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ustomProperty15.bin" ContentType="application/vnd.openxmlformats-officedocument.spreadsheetml.customProperty"/>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ilgov.sharepoint.com/teams/IPA.Team/Shared Documents/Legal/2024 Long Term Plan/LTP Finalization/Appendices/"/>
    </mc:Choice>
  </mc:AlternateContent>
  <xr:revisionPtr revIDLastSave="15" documentId="13_ncr:1_{AF8D5257-6250-443A-B08E-05F54D62DBE4}" xr6:coauthVersionLast="47" xr6:coauthVersionMax="47" xr10:uidLastSave="{868C4B8E-A0F3-4842-9DB1-9E7A53BF951F}"/>
  <bookViews>
    <workbookView xWindow="-28920" yWindow="-120" windowWidth="29040" windowHeight="17640" tabRatio="787" firstSheet="7" activeTab="13" xr2:uid="{9DBC5021-4E64-4817-ABB6-936E9A43EEEB}"/>
  </bookViews>
  <sheets>
    <sheet name="Appendix B Annotations" sheetId="23" r:id="rId1"/>
    <sheet name="Collections and ACP" sheetId="8" r:id="rId2"/>
    <sheet name="Indexed REC Calculator" sheetId="1" r:id="rId3"/>
    <sheet name="Indexed REC Activities" sheetId="2" r:id="rId4"/>
    <sheet name="Indexed REC Spend" sheetId="5" r:id="rId5"/>
    <sheet name="ABP Future Assumptions" sheetId="18" r:id="rId6"/>
    <sheet name="24-25 ABP Activities" sheetId="19" r:id="rId7"/>
    <sheet name="24-25 ABP Summary" sheetId="22" r:id="rId8"/>
    <sheet name="Projected ABP RECs" sheetId="21" r:id="rId9"/>
    <sheet name="Projected ABP Spend" sheetId="20" r:id="rId10"/>
    <sheet name="ABP Under Contract" sheetId="16" r:id="rId11"/>
    <sheet name="Total REC Deliveries" sheetId="9" r:id="rId12"/>
    <sheet name="REC Spend projected" sheetId="10" r:id="rId13"/>
    <sheet name="Ch. 3 Tables and Graphs" sheetId="7" r:id="rId14"/>
    <sheet name="$ Tables and Graphs" sheetId="12" r:id="rId15"/>
  </sheets>
  <definedNames>
    <definedName name="_ftn1" localSheetId="13">'Ch. 3 Tables and Graphs'!#REF!</definedName>
    <definedName name="_ftn2" localSheetId="13">'Ch. 3 Tables and Graphs'!#REF!</definedName>
    <definedName name="_ftn3" localSheetId="13">'Ch. 3 Tables and Graphs'!#REF!</definedName>
    <definedName name="_ftn4" localSheetId="13">'Ch. 3 Tables and Graphs'!#REF!</definedName>
    <definedName name="_ftnref1" localSheetId="13">'Ch. 3 Tables and Graphs'!$D$193</definedName>
    <definedName name="_ftnref2" localSheetId="13">'Ch. 3 Tables and Graphs'!$E$193</definedName>
    <definedName name="_ftnref3" localSheetId="13">'Ch. 3 Tables and Graphs'!$F$193</definedName>
    <definedName name="_ftnref4" localSheetId="13">'Ch. 3 Tables and Graphs'!$C$196</definedName>
    <definedName name="_xlnm.Print_Area" localSheetId="14">'$ Tables and Graphs'!$A$1:$AM$119</definedName>
    <definedName name="_xlnm.Print_Area" localSheetId="6">'24-25 ABP Activities'!$B$3:$X$123</definedName>
    <definedName name="_xlnm.Print_Area" localSheetId="5">'ABP Future Assumptions'!$A$1:$P$94</definedName>
    <definedName name="_xlnm.Print_Area" localSheetId="0">'Appendix B Annotations'!$A$1:$J$118</definedName>
    <definedName name="_xlnm.Print_Area" localSheetId="9">'Projected ABP Spend'!$A$10:$T$175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12" l="1"/>
  <c r="E9" i="12"/>
  <c r="E8" i="12"/>
  <c r="F8" i="10"/>
  <c r="Z4" i="2" l="1"/>
  <c r="Y4" i="2"/>
  <c r="X4" i="2"/>
  <c r="W4" i="2"/>
  <c r="V4" i="2"/>
  <c r="U4" i="2"/>
  <c r="T4" i="2"/>
  <c r="S4" i="2"/>
  <c r="S80" i="2" s="1"/>
  <c r="R4" i="2"/>
  <c r="Q4" i="2"/>
  <c r="P4" i="2"/>
  <c r="O4" i="2"/>
  <c r="N4" i="2"/>
  <c r="M4" i="2"/>
  <c r="L4" i="2"/>
  <c r="K4" i="2"/>
  <c r="K80" i="2" s="1"/>
  <c r="J4" i="2"/>
  <c r="R80" i="2"/>
  <c r="Z80" i="2"/>
  <c r="D80" i="5"/>
  <c r="E80" i="5"/>
  <c r="F80" i="5"/>
  <c r="G80" i="5"/>
  <c r="D81" i="5"/>
  <c r="E81" i="5"/>
  <c r="D82" i="5"/>
  <c r="E82" i="5"/>
  <c r="F82" i="5"/>
  <c r="G82" i="5"/>
  <c r="H82" i="5"/>
  <c r="I82" i="5"/>
  <c r="C82" i="5"/>
  <c r="C81" i="5"/>
  <c r="C74" i="5"/>
  <c r="C75" i="5"/>
  <c r="C76" i="5"/>
  <c r="D74" i="5"/>
  <c r="E74" i="5"/>
  <c r="D75" i="5"/>
  <c r="E75" i="5"/>
  <c r="D76" i="5"/>
  <c r="E76" i="5"/>
  <c r="D80" i="2"/>
  <c r="E80" i="2"/>
  <c r="F80" i="2"/>
  <c r="G80" i="2"/>
  <c r="H80" i="2"/>
  <c r="I80" i="2"/>
  <c r="J80" i="2"/>
  <c r="L80" i="2"/>
  <c r="M80" i="2"/>
  <c r="N80" i="2"/>
  <c r="O80" i="2"/>
  <c r="P80" i="2"/>
  <c r="Q80" i="2"/>
  <c r="T80" i="2"/>
  <c r="U80" i="2"/>
  <c r="V80" i="2"/>
  <c r="W80" i="2"/>
  <c r="X80" i="2"/>
  <c r="Y80" i="2"/>
  <c r="D81" i="2"/>
  <c r="E81" i="2"/>
  <c r="F81" i="2"/>
  <c r="G81" i="2"/>
  <c r="H81" i="2"/>
  <c r="I81" i="2"/>
  <c r="J81" i="2"/>
  <c r="K81" i="2"/>
  <c r="L81" i="2"/>
  <c r="M81" i="2"/>
  <c r="N81" i="2"/>
  <c r="O81" i="2"/>
  <c r="P81" i="2"/>
  <c r="Q81" i="2"/>
  <c r="R81" i="2"/>
  <c r="S81" i="2"/>
  <c r="T81" i="2"/>
  <c r="U81" i="2"/>
  <c r="V81" i="2"/>
  <c r="W81" i="2"/>
  <c r="X81" i="2"/>
  <c r="Y81" i="2"/>
  <c r="Z81" i="2"/>
  <c r="D82" i="2"/>
  <c r="E82" i="2"/>
  <c r="F82" i="2"/>
  <c r="G82" i="2"/>
  <c r="H82" i="2"/>
  <c r="I82" i="2"/>
  <c r="J82" i="2"/>
  <c r="K82" i="2"/>
  <c r="L82" i="2"/>
  <c r="M82" i="2"/>
  <c r="N82" i="2"/>
  <c r="O82" i="2"/>
  <c r="P82" i="2"/>
  <c r="Q82" i="2"/>
  <c r="R82" i="2"/>
  <c r="S82" i="2"/>
  <c r="T82" i="2"/>
  <c r="U82" i="2"/>
  <c r="V82" i="2"/>
  <c r="W82" i="2"/>
  <c r="X82" i="2"/>
  <c r="Y82" i="2"/>
  <c r="Z82" i="2"/>
  <c r="C82" i="2"/>
  <c r="C81" i="2"/>
  <c r="C80" i="2"/>
  <c r="I74" i="2"/>
  <c r="J74" i="2"/>
  <c r="K74" i="2"/>
  <c r="L74" i="2"/>
  <c r="M74" i="2"/>
  <c r="N74" i="2"/>
  <c r="O74" i="2"/>
  <c r="P74" i="2"/>
  <c r="Q74" i="2"/>
  <c r="R74" i="2"/>
  <c r="S74" i="2"/>
  <c r="T74" i="2"/>
  <c r="U74" i="2"/>
  <c r="V74" i="2"/>
  <c r="W74" i="2"/>
  <c r="X74" i="2"/>
  <c r="Y74" i="2"/>
  <c r="Z74" i="2"/>
  <c r="K75" i="2"/>
  <c r="I13" i="18" l="1"/>
  <c r="H75" i="2"/>
  <c r="D74" i="2"/>
  <c r="E74" i="2"/>
  <c r="F74" i="2"/>
  <c r="G74" i="2"/>
  <c r="H74" i="2"/>
  <c r="D75" i="2"/>
  <c r="E75" i="2"/>
  <c r="F75" i="2"/>
  <c r="G75" i="2"/>
  <c r="I75" i="2"/>
  <c r="J75" i="2"/>
  <c r="L75" i="2"/>
  <c r="D76" i="2"/>
  <c r="E76" i="2"/>
  <c r="F76" i="2"/>
  <c r="G76" i="2"/>
  <c r="H76" i="2"/>
  <c r="I76" i="2"/>
  <c r="J76" i="2"/>
  <c r="K76" i="2"/>
  <c r="L76" i="2"/>
  <c r="G8" i="18"/>
  <c r="I10" i="8"/>
  <c r="J11" i="8"/>
  <c r="I11" i="8"/>
  <c r="H11" i="8"/>
  <c r="C80" i="5"/>
  <c r="D11" i="21" l="1"/>
  <c r="D17" i="21" s="1"/>
  <c r="D175" i="21" s="1"/>
  <c r="C175" i="21"/>
  <c r="C176" i="21"/>
  <c r="D176" i="21"/>
  <c r="E176" i="21"/>
  <c r="H176" i="21"/>
  <c r="I176" i="21"/>
  <c r="J176" i="21"/>
  <c r="K176" i="21"/>
  <c r="L176" i="21"/>
  <c r="M176" i="21"/>
  <c r="N176" i="21"/>
  <c r="O176" i="21"/>
  <c r="P176" i="21"/>
  <c r="Q176" i="21"/>
  <c r="R176" i="21"/>
  <c r="S176" i="21"/>
  <c r="T176" i="21"/>
  <c r="U176" i="21"/>
  <c r="B166" i="21"/>
  <c r="B183" i="21"/>
  <c r="B182" i="21"/>
  <c r="B181" i="21"/>
  <c r="C181" i="21"/>
  <c r="B180" i="21"/>
  <c r="B179" i="21"/>
  <c r="B178" i="21"/>
  <c r="B177" i="21"/>
  <c r="B176" i="21"/>
  <c r="B175" i="21"/>
  <c r="O10" i="12" l="1"/>
  <c r="Z4" i="10" l="1"/>
  <c r="AC4" i="10"/>
  <c r="E149" i="8"/>
  <c r="E141" i="8"/>
  <c r="C149" i="8"/>
  <c r="AA31" i="10"/>
  <c r="AA4" i="10"/>
  <c r="G9" i="8"/>
  <c r="G5" i="8"/>
  <c r="K5" i="8"/>
  <c r="F5" i="8"/>
  <c r="K36" i="8"/>
  <c r="K106" i="8"/>
  <c r="K105" i="8"/>
  <c r="K7" i="8"/>
  <c r="M4" i="10"/>
  <c r="F194" i="7"/>
  <c r="G194" i="7"/>
  <c r="H5" i="8"/>
  <c r="H6" i="8"/>
  <c r="H7" i="8"/>
  <c r="H8" i="8"/>
  <c r="H9" i="8"/>
  <c r="H12" i="8"/>
  <c r="H13" i="8"/>
  <c r="H14" i="8"/>
  <c r="H15" i="8"/>
  <c r="H16" i="8"/>
  <c r="H17" i="8"/>
  <c r="H18" i="8"/>
  <c r="H19" i="8"/>
  <c r="H20" i="8"/>
  <c r="H21" i="8"/>
  <c r="H22" i="8"/>
  <c r="H23" i="8"/>
  <c r="H24" i="8"/>
  <c r="H25" i="8"/>
  <c r="H26" i="8"/>
  <c r="H27" i="8"/>
  <c r="H28" i="8"/>
  <c r="H29" i="8"/>
  <c r="H4" i="8"/>
  <c r="J5" i="8"/>
  <c r="J6" i="8"/>
  <c r="J7" i="8"/>
  <c r="J8" i="8"/>
  <c r="J9" i="8"/>
  <c r="J12" i="8"/>
  <c r="J13" i="8"/>
  <c r="J14" i="8"/>
  <c r="J15" i="8"/>
  <c r="J16" i="8"/>
  <c r="J17" i="8"/>
  <c r="J18" i="8"/>
  <c r="J19" i="8"/>
  <c r="J20" i="8"/>
  <c r="J21" i="8"/>
  <c r="J22" i="8"/>
  <c r="J23" i="8"/>
  <c r="J24" i="8"/>
  <c r="J25" i="8"/>
  <c r="J26" i="8"/>
  <c r="J27" i="8"/>
  <c r="J28" i="8"/>
  <c r="J29" i="8"/>
  <c r="J4" i="8"/>
  <c r="I5" i="8"/>
  <c r="I6" i="8"/>
  <c r="I7" i="8"/>
  <c r="I8" i="8"/>
  <c r="I9" i="8"/>
  <c r="I12" i="8"/>
  <c r="I13" i="8"/>
  <c r="I14" i="8"/>
  <c r="I15" i="8"/>
  <c r="I16" i="8"/>
  <c r="I17" i="8"/>
  <c r="I18" i="8"/>
  <c r="I19" i="8"/>
  <c r="I20" i="8"/>
  <c r="I21" i="8"/>
  <c r="I22" i="8"/>
  <c r="I23" i="8"/>
  <c r="I24" i="8"/>
  <c r="I25" i="8"/>
  <c r="I26" i="8"/>
  <c r="I27" i="8"/>
  <c r="I28" i="8"/>
  <c r="I29" i="8"/>
  <c r="I4" i="8"/>
  <c r="F4" i="8"/>
  <c r="E5" i="8"/>
  <c r="E6" i="8"/>
  <c r="E7" i="8"/>
  <c r="E8" i="8"/>
  <c r="E9" i="8"/>
  <c r="E10" i="8"/>
  <c r="E11" i="8"/>
  <c r="E12" i="8"/>
  <c r="E13" i="8"/>
  <c r="E14" i="8"/>
  <c r="E15" i="8"/>
  <c r="E16" i="8"/>
  <c r="E17" i="8"/>
  <c r="E18" i="8"/>
  <c r="E19" i="8"/>
  <c r="E20" i="8"/>
  <c r="E21" i="8"/>
  <c r="E22" i="8"/>
  <c r="E23" i="8"/>
  <c r="E24" i="8"/>
  <c r="E25" i="8"/>
  <c r="E26" i="8"/>
  <c r="E27" i="8"/>
  <c r="E28" i="8"/>
  <c r="E29" i="8"/>
  <c r="E4" i="8"/>
  <c r="M4" i="9" l="1"/>
  <c r="T33" i="9"/>
  <c r="T61" i="9"/>
  <c r="R88" i="12" l="1"/>
  <c r="G86" i="18" l="1"/>
  <c r="G85" i="18"/>
  <c r="G84" i="18"/>
  <c r="G83" i="18"/>
  <c r="G81" i="18"/>
  <c r="G80" i="18"/>
  <c r="G79" i="18"/>
  <c r="G78" i="18"/>
  <c r="G77" i="18"/>
  <c r="G74" i="18"/>
  <c r="G72" i="18"/>
  <c r="G71" i="18"/>
  <c r="G70" i="18"/>
  <c r="G69" i="18"/>
  <c r="G68" i="18"/>
  <c r="G66" i="18"/>
  <c r="G64" i="18"/>
  <c r="G63" i="18"/>
  <c r="G62" i="18"/>
  <c r="G61" i="18"/>
  <c r="G60" i="18"/>
  <c r="G56" i="18"/>
  <c r="G55" i="18"/>
  <c r="G54" i="18"/>
  <c r="G53" i="18"/>
  <c r="G52" i="18"/>
  <c r="G49" i="18"/>
  <c r="G48" i="18"/>
  <c r="G47" i="18"/>
  <c r="G46" i="18"/>
  <c r="G45" i="18"/>
  <c r="G42" i="18"/>
  <c r="G40" i="18"/>
  <c r="G39" i="18"/>
  <c r="G38" i="18"/>
  <c r="G37" i="18"/>
  <c r="G36" i="18"/>
  <c r="G34" i="18"/>
  <c r="G32" i="18"/>
  <c r="G31" i="18"/>
  <c r="G30" i="18"/>
  <c r="G29" i="18"/>
  <c r="G28" i="18"/>
  <c r="G24" i="18"/>
  <c r="G23" i="18"/>
  <c r="G22" i="18"/>
  <c r="G21" i="18"/>
  <c r="G18" i="18"/>
  <c r="G17" i="18"/>
  <c r="G16" i="18"/>
  <c r="G15" i="18"/>
  <c r="G12" i="18"/>
  <c r="G11" i="18"/>
  <c r="G9" i="18"/>
  <c r="I8" i="18"/>
  <c r="I5" i="10" l="1"/>
  <c r="I6" i="10"/>
  <c r="I7" i="10"/>
  <c r="I8" i="10"/>
  <c r="I9" i="10"/>
  <c r="I10" i="10"/>
  <c r="I11" i="10"/>
  <c r="I12" i="10"/>
  <c r="I13" i="10"/>
  <c r="I14" i="10"/>
  <c r="I15" i="10"/>
  <c r="I16" i="10"/>
  <c r="I17" i="10"/>
  <c r="I18" i="10"/>
  <c r="I19" i="10"/>
  <c r="I20" i="10"/>
  <c r="I21" i="10"/>
  <c r="I22" i="10"/>
  <c r="I23" i="10"/>
  <c r="I24" i="10"/>
  <c r="I25" i="10"/>
  <c r="I26" i="10"/>
  <c r="I27" i="10"/>
  <c r="M5" i="9"/>
  <c r="M6" i="9"/>
  <c r="M7" i="9"/>
  <c r="M8" i="9"/>
  <c r="M9" i="9"/>
  <c r="M10" i="9"/>
  <c r="M11" i="9"/>
  <c r="M12" i="9"/>
  <c r="M13" i="9"/>
  <c r="M14" i="9"/>
  <c r="M15" i="9"/>
  <c r="M16" i="9"/>
  <c r="M17" i="9"/>
  <c r="M18" i="9"/>
  <c r="M19" i="9"/>
  <c r="M20" i="9"/>
  <c r="M21" i="9"/>
  <c r="M22" i="9"/>
  <c r="M23" i="9"/>
  <c r="M24" i="9"/>
  <c r="M25" i="9"/>
  <c r="M26" i="9"/>
  <c r="M27" i="9"/>
  <c r="I4" i="10"/>
  <c r="D110" i="12"/>
  <c r="E42" i="8" l="1"/>
  <c r="J42" i="8"/>
  <c r="Y86" i="10"/>
  <c r="X86" i="10"/>
  <c r="W86" i="10"/>
  <c r="Y59" i="10"/>
  <c r="X59" i="10"/>
  <c r="W59" i="10"/>
  <c r="Y32" i="10"/>
  <c r="X32" i="10"/>
  <c r="W32" i="10"/>
  <c r="W31" i="10"/>
  <c r="K42" i="8" l="1"/>
  <c r="B5" i="10"/>
  <c r="C5" i="10"/>
  <c r="D5" i="10"/>
  <c r="Z5" i="10"/>
  <c r="B6" i="10"/>
  <c r="C6" i="10"/>
  <c r="D6" i="10"/>
  <c r="B7" i="10"/>
  <c r="C7" i="10"/>
  <c r="D7" i="10"/>
  <c r="B8" i="10"/>
  <c r="C8" i="10"/>
  <c r="D8" i="10"/>
  <c r="E8" i="10"/>
  <c r="C9" i="10"/>
  <c r="D9" i="10"/>
  <c r="E9" i="10"/>
  <c r="F9" i="10"/>
  <c r="C10" i="10"/>
  <c r="D10" i="10"/>
  <c r="E10" i="10"/>
  <c r="F10" i="10"/>
  <c r="F129" i="12" s="1"/>
  <c r="F159" i="12" s="1"/>
  <c r="C11" i="10"/>
  <c r="D11" i="10"/>
  <c r="E11" i="10"/>
  <c r="F11" i="10"/>
  <c r="C12" i="10"/>
  <c r="D12" i="10"/>
  <c r="E12" i="10"/>
  <c r="F12" i="10"/>
  <c r="C13" i="10"/>
  <c r="D13" i="10"/>
  <c r="E13" i="10"/>
  <c r="F13" i="10"/>
  <c r="C14" i="10"/>
  <c r="D14" i="10"/>
  <c r="E14" i="10"/>
  <c r="F14" i="10"/>
  <c r="D15" i="10"/>
  <c r="E15" i="10"/>
  <c r="D16" i="10"/>
  <c r="E16" i="10"/>
  <c r="D17" i="10"/>
  <c r="E17" i="10"/>
  <c r="F136" i="12" s="1"/>
  <c r="F166" i="12" s="1"/>
  <c r="D18" i="10"/>
  <c r="E18" i="10"/>
  <c r="D19" i="10"/>
  <c r="E19" i="10"/>
  <c r="D20" i="10"/>
  <c r="E20" i="10"/>
  <c r="D21" i="10"/>
  <c r="D140" i="12" s="1"/>
  <c r="D170" i="12" s="1"/>
  <c r="E21" i="10"/>
  <c r="F140" i="12" s="1"/>
  <c r="F170" i="12" s="1"/>
  <c r="D22" i="10"/>
  <c r="E22" i="10"/>
  <c r="D23" i="10"/>
  <c r="E23" i="10"/>
  <c r="D24" i="10"/>
  <c r="E24" i="10"/>
  <c r="D25" i="10"/>
  <c r="E25" i="10"/>
  <c r="D26" i="10"/>
  <c r="D145" i="12" s="1"/>
  <c r="D175" i="12" s="1"/>
  <c r="E26" i="10"/>
  <c r="D27" i="10"/>
  <c r="E27" i="10"/>
  <c r="F6" i="1"/>
  <c r="G6" i="1"/>
  <c r="H6" i="1"/>
  <c r="I6" i="1"/>
  <c r="J6" i="1"/>
  <c r="K6" i="1"/>
  <c r="L6" i="1"/>
  <c r="M6" i="1"/>
  <c r="N6" i="1"/>
  <c r="O6" i="1"/>
  <c r="P6" i="1"/>
  <c r="Q6" i="1"/>
  <c r="R6" i="1"/>
  <c r="S6" i="1"/>
  <c r="T6" i="1"/>
  <c r="U6" i="1"/>
  <c r="V6" i="1"/>
  <c r="W6" i="1"/>
  <c r="X6" i="1"/>
  <c r="E6" i="1"/>
  <c r="D6" i="1"/>
  <c r="I123" i="12"/>
  <c r="I153" i="12" s="1"/>
  <c r="H123" i="12"/>
  <c r="H153" i="12" s="1"/>
  <c r="G124" i="12"/>
  <c r="G154" i="12" s="1"/>
  <c r="G125" i="12"/>
  <c r="G155" i="12" s="1"/>
  <c r="G126" i="12"/>
  <c r="G156" i="12" s="1"/>
  <c r="G123" i="12"/>
  <c r="G153" i="12" s="1"/>
  <c r="F123" i="12"/>
  <c r="F153" i="12" s="1"/>
  <c r="C123" i="12"/>
  <c r="C153" i="12" s="1"/>
  <c r="H69" i="2"/>
  <c r="I124" i="12"/>
  <c r="I154" i="12" s="1"/>
  <c r="H124" i="12"/>
  <c r="H154" i="12" s="1"/>
  <c r="H125" i="12"/>
  <c r="H155" i="12" s="1"/>
  <c r="H126" i="12"/>
  <c r="H156" i="12" s="1"/>
  <c r="F124" i="12"/>
  <c r="F154" i="12" s="1"/>
  <c r="F125" i="12"/>
  <c r="F155" i="12" s="1"/>
  <c r="F126" i="12"/>
  <c r="F156" i="12" s="1"/>
  <c r="F128" i="12"/>
  <c r="F158" i="12" s="1"/>
  <c r="F132" i="12"/>
  <c r="F162" i="12" s="1"/>
  <c r="F138" i="12"/>
  <c r="F168" i="12" s="1"/>
  <c r="E124" i="12"/>
  <c r="E154" i="12" s="1"/>
  <c r="E125" i="12"/>
  <c r="E155" i="12" s="1"/>
  <c r="E126" i="12"/>
  <c r="E156" i="12" s="1"/>
  <c r="E127" i="12"/>
  <c r="E157" i="12" s="1"/>
  <c r="E128" i="12"/>
  <c r="E158" i="12" s="1"/>
  <c r="E129" i="12"/>
  <c r="E159" i="12" s="1"/>
  <c r="E130" i="12"/>
  <c r="E160" i="12" s="1"/>
  <c r="E131" i="12"/>
  <c r="E161" i="12" s="1"/>
  <c r="E132" i="12"/>
  <c r="E162" i="12" s="1"/>
  <c r="E133" i="12"/>
  <c r="E163" i="12" s="1"/>
  <c r="E134" i="12"/>
  <c r="E164" i="12" s="1"/>
  <c r="E135" i="12"/>
  <c r="E165" i="12" s="1"/>
  <c r="E136" i="12"/>
  <c r="E166" i="12" s="1"/>
  <c r="E137" i="12"/>
  <c r="E167" i="12" s="1"/>
  <c r="E138" i="12"/>
  <c r="E168" i="12" s="1"/>
  <c r="E139" i="12"/>
  <c r="E169" i="12" s="1"/>
  <c r="E140" i="12"/>
  <c r="E170" i="12" s="1"/>
  <c r="E141" i="12"/>
  <c r="E171" i="12" s="1"/>
  <c r="E142" i="12"/>
  <c r="E172" i="12" s="1"/>
  <c r="E143" i="12"/>
  <c r="E173" i="12" s="1"/>
  <c r="E144" i="12"/>
  <c r="E174" i="12" s="1"/>
  <c r="E145" i="12"/>
  <c r="E175" i="12" s="1"/>
  <c r="E123" i="12"/>
  <c r="E153" i="12" s="1"/>
  <c r="D135" i="12"/>
  <c r="D165" i="12" s="1"/>
  <c r="D139" i="12"/>
  <c r="D169" i="12" s="1"/>
  <c r="C124" i="12"/>
  <c r="C125" i="12"/>
  <c r="C155" i="12" s="1"/>
  <c r="C126" i="12"/>
  <c r="C156" i="12" s="1"/>
  <c r="C127" i="12"/>
  <c r="C157" i="12" s="1"/>
  <c r="C128" i="12"/>
  <c r="C158" i="12" s="1"/>
  <c r="C129" i="12"/>
  <c r="C159" i="12" s="1"/>
  <c r="C130" i="12"/>
  <c r="C160" i="12" s="1"/>
  <c r="C131" i="12"/>
  <c r="C161" i="12" s="1"/>
  <c r="C132" i="12"/>
  <c r="C162" i="12" s="1"/>
  <c r="C133" i="12"/>
  <c r="C163" i="12" s="1"/>
  <c r="C134" i="12"/>
  <c r="C164" i="12" s="1"/>
  <c r="C135" i="12"/>
  <c r="C165" i="12" s="1"/>
  <c r="C136" i="12"/>
  <c r="C166" i="12" s="1"/>
  <c r="C137" i="12"/>
  <c r="C167" i="12" s="1"/>
  <c r="C138" i="12"/>
  <c r="C168" i="12" s="1"/>
  <c r="C139" i="12"/>
  <c r="C169" i="12" s="1"/>
  <c r="C140" i="12"/>
  <c r="C170" i="12" s="1"/>
  <c r="C141" i="12"/>
  <c r="C171" i="12" s="1"/>
  <c r="C142" i="12"/>
  <c r="C172" i="12" s="1"/>
  <c r="C143" i="12"/>
  <c r="C173" i="12" s="1"/>
  <c r="C144" i="12"/>
  <c r="C174" i="12" s="1"/>
  <c r="C145" i="12"/>
  <c r="C175" i="12" s="1"/>
  <c r="D131" i="12" l="1"/>
  <c r="D161" i="12" s="1"/>
  <c r="D127" i="12"/>
  <c r="D157" i="12" s="1"/>
  <c r="D125" i="12"/>
  <c r="D155" i="12" s="1"/>
  <c r="F137" i="12"/>
  <c r="F167" i="12" s="1"/>
  <c r="D143" i="12"/>
  <c r="D173" i="12" s="1"/>
  <c r="F135" i="12"/>
  <c r="F165" i="12" s="1"/>
  <c r="D141" i="12"/>
  <c r="D171" i="12" s="1"/>
  <c r="F145" i="12"/>
  <c r="F175" i="12" s="1"/>
  <c r="F139" i="12"/>
  <c r="F169" i="12" s="1"/>
  <c r="D137" i="12"/>
  <c r="D167" i="12" s="1"/>
  <c r="F134" i="12"/>
  <c r="F164" i="12" s="1"/>
  <c r="F144" i="12"/>
  <c r="F174" i="12" s="1"/>
  <c r="F142" i="12"/>
  <c r="F172" i="12" s="1"/>
  <c r="F141" i="12"/>
  <c r="F171" i="12" s="1"/>
  <c r="D129" i="12"/>
  <c r="D159" i="12" s="1"/>
  <c r="D124" i="12"/>
  <c r="D154" i="12" s="1"/>
  <c r="F143" i="12"/>
  <c r="F173" i="12" s="1"/>
  <c r="F130" i="12"/>
  <c r="F160" i="12" s="1"/>
  <c r="F133" i="12"/>
  <c r="F163" i="12" s="1"/>
  <c r="D133" i="12"/>
  <c r="D163" i="12" s="1"/>
  <c r="F131" i="12"/>
  <c r="F161" i="12" s="1"/>
  <c r="D132" i="12"/>
  <c r="D162" i="12" s="1"/>
  <c r="D126" i="12"/>
  <c r="D156" i="12" s="1"/>
  <c r="D138" i="12"/>
  <c r="D168" i="12" s="1"/>
  <c r="D130" i="12"/>
  <c r="D160" i="12" s="1"/>
  <c r="F127" i="12"/>
  <c r="F157" i="12" s="1"/>
  <c r="D144" i="12"/>
  <c r="D174" i="12" s="1"/>
  <c r="D136" i="12"/>
  <c r="D166" i="12" s="1"/>
  <c r="D128" i="12"/>
  <c r="D158" i="12" s="1"/>
  <c r="D142" i="12"/>
  <c r="D172" i="12" s="1"/>
  <c r="D134" i="12"/>
  <c r="D164" i="12" s="1"/>
  <c r="C154" i="12"/>
  <c r="J74" i="21"/>
  <c r="B3" i="21"/>
  <c r="C4" i="21"/>
  <c r="B2" i="21"/>
  <c r="B164" i="21" s="1"/>
  <c r="C6" i="21"/>
  <c r="K60" i="18"/>
  <c r="F3" i="5"/>
  <c r="G37" i="5"/>
  <c r="H33" i="12"/>
  <c r="B168" i="20"/>
  <c r="B167" i="20"/>
  <c r="D33" i="1"/>
  <c r="B168" i="21"/>
  <c r="B165" i="21"/>
  <c r="I9" i="18"/>
  <c r="K8" i="18"/>
  <c r="C6" i="18"/>
  <c r="D60" i="1"/>
  <c r="C68" i="2"/>
  <c r="J68" i="2"/>
  <c r="D68" i="2"/>
  <c r="E68" i="2"/>
  <c r="F68" i="2"/>
  <c r="G68" i="2"/>
  <c r="H68" i="2"/>
  <c r="I68" i="2"/>
  <c r="K68" i="2"/>
  <c r="L68" i="2"/>
  <c r="M68" i="2"/>
  <c r="N68" i="2"/>
  <c r="O68" i="2"/>
  <c r="P68" i="2"/>
  <c r="Q68" i="2"/>
  <c r="R68" i="2"/>
  <c r="S68" i="2"/>
  <c r="T68" i="2"/>
  <c r="U68" i="2"/>
  <c r="V68" i="2"/>
  <c r="W68" i="2"/>
  <c r="X68" i="2"/>
  <c r="Y68" i="2"/>
  <c r="Z68" i="2"/>
  <c r="D69" i="2"/>
  <c r="E69" i="2"/>
  <c r="E71" i="2" s="1"/>
  <c r="F69" i="2"/>
  <c r="G69" i="2"/>
  <c r="I69" i="2"/>
  <c r="D70" i="2"/>
  <c r="E70" i="2"/>
  <c r="F70" i="2"/>
  <c r="G70" i="2"/>
  <c r="H70" i="2"/>
  <c r="I70" i="2"/>
  <c r="C70" i="2"/>
  <c r="C69" i="2"/>
  <c r="G89" i="12"/>
  <c r="H89" i="12"/>
  <c r="I89" i="12"/>
  <c r="J89" i="12"/>
  <c r="K89" i="12"/>
  <c r="L89" i="12"/>
  <c r="M89" i="12"/>
  <c r="N89" i="12"/>
  <c r="H90" i="12"/>
  <c r="I90" i="12"/>
  <c r="J90" i="12"/>
  <c r="K90" i="12"/>
  <c r="L90" i="12"/>
  <c r="M90" i="12"/>
  <c r="N90" i="12"/>
  <c r="G91" i="12"/>
  <c r="H91" i="12"/>
  <c r="I91" i="12"/>
  <c r="J91" i="12"/>
  <c r="K91" i="12"/>
  <c r="L91" i="12"/>
  <c r="M91" i="12"/>
  <c r="N91" i="12"/>
  <c r="G92" i="12"/>
  <c r="H92" i="12"/>
  <c r="I92" i="12"/>
  <c r="J92" i="12"/>
  <c r="K92" i="12"/>
  <c r="L92" i="12"/>
  <c r="M92" i="12"/>
  <c r="N92" i="12"/>
  <c r="G93" i="12"/>
  <c r="H93" i="12"/>
  <c r="I93" i="12"/>
  <c r="J93" i="12"/>
  <c r="K93" i="12"/>
  <c r="L93" i="12"/>
  <c r="M93" i="12"/>
  <c r="N93" i="12"/>
  <c r="G94" i="12"/>
  <c r="H94" i="12"/>
  <c r="I94" i="12"/>
  <c r="J94" i="12"/>
  <c r="K94" i="12"/>
  <c r="L94" i="12"/>
  <c r="M94" i="12"/>
  <c r="N94" i="12"/>
  <c r="H88" i="12"/>
  <c r="I88" i="12"/>
  <c r="J88" i="12"/>
  <c r="K88" i="12"/>
  <c r="L88" i="12"/>
  <c r="M88" i="12"/>
  <c r="N88" i="12"/>
  <c r="G88" i="12"/>
  <c r="F89" i="12"/>
  <c r="F90" i="12"/>
  <c r="F91" i="12"/>
  <c r="F92" i="12"/>
  <c r="F88" i="12"/>
  <c r="F60" i="12"/>
  <c r="C89" i="12"/>
  <c r="C90" i="12"/>
  <c r="C91" i="12"/>
  <c r="C92" i="12"/>
  <c r="C93" i="12"/>
  <c r="C94" i="12"/>
  <c r="C95" i="12"/>
  <c r="C96" i="12"/>
  <c r="C97" i="12"/>
  <c r="C98" i="12"/>
  <c r="C99" i="12"/>
  <c r="C100" i="12"/>
  <c r="C101" i="12"/>
  <c r="C102" i="12"/>
  <c r="C103" i="12"/>
  <c r="C104" i="12"/>
  <c r="C105" i="12"/>
  <c r="C106" i="12"/>
  <c r="C107" i="12"/>
  <c r="C108" i="12"/>
  <c r="C109" i="12"/>
  <c r="C110" i="12"/>
  <c r="C88" i="12"/>
  <c r="C82" i="12"/>
  <c r="D27" i="9"/>
  <c r="E27" i="9"/>
  <c r="F27" i="9"/>
  <c r="G27" i="9"/>
  <c r="C27" i="9"/>
  <c r="B27" i="9"/>
  <c r="C4" i="12"/>
  <c r="C60" i="12"/>
  <c r="C32" i="12"/>
  <c r="B4" i="9"/>
  <c r="D4" i="9"/>
  <c r="E86" i="10"/>
  <c r="F86" i="10"/>
  <c r="G86" i="10"/>
  <c r="J86" i="10"/>
  <c r="K86" i="10"/>
  <c r="L86" i="10"/>
  <c r="O86" i="10"/>
  <c r="Q86" i="10"/>
  <c r="R86" i="10"/>
  <c r="S86" i="10"/>
  <c r="T86" i="10"/>
  <c r="U86" i="10"/>
  <c r="V86" i="10"/>
  <c r="E87" i="10"/>
  <c r="F87" i="10"/>
  <c r="G87" i="10"/>
  <c r="J87" i="10"/>
  <c r="K87" i="10"/>
  <c r="L87" i="10"/>
  <c r="O87" i="10"/>
  <c r="Q87" i="10"/>
  <c r="R87" i="10"/>
  <c r="S87" i="10"/>
  <c r="T87" i="10"/>
  <c r="U87" i="10"/>
  <c r="V87" i="10"/>
  <c r="E88" i="10"/>
  <c r="F88" i="10"/>
  <c r="G88" i="10"/>
  <c r="J88" i="10"/>
  <c r="K88" i="10"/>
  <c r="L88" i="10"/>
  <c r="O88" i="10"/>
  <c r="Q88" i="10"/>
  <c r="R88" i="10"/>
  <c r="S88" i="10"/>
  <c r="T88" i="10"/>
  <c r="U88" i="10"/>
  <c r="V88" i="10"/>
  <c r="E89" i="10"/>
  <c r="F89" i="10"/>
  <c r="G89" i="10"/>
  <c r="O89" i="10"/>
  <c r="E90" i="10"/>
  <c r="F90" i="10"/>
  <c r="G90" i="10"/>
  <c r="O90" i="10"/>
  <c r="E91" i="10"/>
  <c r="F91" i="10"/>
  <c r="G91" i="10"/>
  <c r="O91" i="10"/>
  <c r="E92" i="10"/>
  <c r="F92" i="10"/>
  <c r="G92" i="10"/>
  <c r="O92" i="10"/>
  <c r="E93" i="10"/>
  <c r="F93" i="10"/>
  <c r="G93" i="10"/>
  <c r="O93" i="10"/>
  <c r="E94" i="10"/>
  <c r="F94" i="10"/>
  <c r="G94" i="10"/>
  <c r="O94" i="10"/>
  <c r="E95" i="10"/>
  <c r="F95" i="10"/>
  <c r="G95" i="10"/>
  <c r="O95" i="10"/>
  <c r="E96" i="10"/>
  <c r="F96" i="10"/>
  <c r="G96" i="10"/>
  <c r="O96" i="10"/>
  <c r="E97" i="10"/>
  <c r="F97" i="10"/>
  <c r="G97" i="10"/>
  <c r="O97" i="10"/>
  <c r="E98" i="10"/>
  <c r="F98" i="10"/>
  <c r="G98" i="10"/>
  <c r="O98" i="10"/>
  <c r="E99" i="10"/>
  <c r="F99" i="10"/>
  <c r="G99" i="10"/>
  <c r="O99" i="10"/>
  <c r="E100" i="10"/>
  <c r="F100" i="10"/>
  <c r="G100" i="10"/>
  <c r="O100" i="10"/>
  <c r="E101" i="10"/>
  <c r="F101" i="10"/>
  <c r="G101" i="10"/>
  <c r="O101" i="10"/>
  <c r="E102" i="10"/>
  <c r="F102" i="10"/>
  <c r="G102" i="10"/>
  <c r="O102" i="10"/>
  <c r="E103" i="10"/>
  <c r="F103" i="10"/>
  <c r="G103" i="10"/>
  <c r="O103" i="10"/>
  <c r="E104" i="10"/>
  <c r="F104" i="10"/>
  <c r="G104" i="10"/>
  <c r="O104" i="10"/>
  <c r="E105" i="10"/>
  <c r="F105" i="10"/>
  <c r="G105" i="10"/>
  <c r="O105" i="10"/>
  <c r="E106" i="10"/>
  <c r="F106" i="10"/>
  <c r="G106" i="10"/>
  <c r="O106" i="10"/>
  <c r="E107" i="10"/>
  <c r="F107" i="10"/>
  <c r="G107" i="10"/>
  <c r="O107" i="10"/>
  <c r="E108" i="10"/>
  <c r="F108" i="10"/>
  <c r="G108" i="10"/>
  <c r="O108" i="10"/>
  <c r="B86" i="10"/>
  <c r="C86" i="10"/>
  <c r="D86" i="10"/>
  <c r="B87" i="10"/>
  <c r="C87" i="10"/>
  <c r="D87" i="10"/>
  <c r="B88" i="10"/>
  <c r="C88" i="10"/>
  <c r="D88" i="10"/>
  <c r="B89" i="10"/>
  <c r="C89" i="10"/>
  <c r="D89" i="10"/>
  <c r="B90" i="10"/>
  <c r="C90" i="10"/>
  <c r="D90" i="10"/>
  <c r="B91" i="10"/>
  <c r="C91" i="10"/>
  <c r="D91" i="10"/>
  <c r="B92" i="10"/>
  <c r="C92" i="10"/>
  <c r="D92" i="10"/>
  <c r="B93" i="10"/>
  <c r="C93" i="10"/>
  <c r="D93" i="10"/>
  <c r="B94" i="10"/>
  <c r="C94" i="10"/>
  <c r="D94" i="10"/>
  <c r="B95" i="10"/>
  <c r="C95" i="10"/>
  <c r="D95" i="10"/>
  <c r="B96" i="10"/>
  <c r="C96" i="10"/>
  <c r="D96" i="10"/>
  <c r="B97" i="10"/>
  <c r="C97" i="10"/>
  <c r="D97" i="10"/>
  <c r="B98" i="10"/>
  <c r="C98" i="10"/>
  <c r="D98" i="10"/>
  <c r="B99" i="10"/>
  <c r="C99" i="10"/>
  <c r="D99" i="10"/>
  <c r="B100" i="10"/>
  <c r="C100" i="10"/>
  <c r="D100" i="10"/>
  <c r="B101" i="10"/>
  <c r="C101" i="10"/>
  <c r="D101" i="10"/>
  <c r="B102" i="10"/>
  <c r="C102" i="10"/>
  <c r="D102" i="10"/>
  <c r="B103" i="10"/>
  <c r="C103" i="10"/>
  <c r="D103" i="10"/>
  <c r="B104" i="10"/>
  <c r="C104" i="10"/>
  <c r="D104" i="10"/>
  <c r="B105" i="10"/>
  <c r="C105" i="10"/>
  <c r="D105" i="10"/>
  <c r="B106" i="10"/>
  <c r="C106" i="10"/>
  <c r="D106" i="10"/>
  <c r="B107" i="10"/>
  <c r="C107" i="10"/>
  <c r="D107" i="10"/>
  <c r="B108" i="10"/>
  <c r="C108" i="10"/>
  <c r="D108" i="10"/>
  <c r="O85" i="10"/>
  <c r="R85" i="10"/>
  <c r="S85" i="10"/>
  <c r="Q85" i="10"/>
  <c r="T85" i="10"/>
  <c r="U85" i="10"/>
  <c r="V85" i="10"/>
  <c r="W85" i="10"/>
  <c r="X85" i="10"/>
  <c r="Y85" i="10"/>
  <c r="D145" i="8"/>
  <c r="D170" i="8"/>
  <c r="D171" i="8"/>
  <c r="B152" i="8"/>
  <c r="J75" i="8"/>
  <c r="Q61" i="10"/>
  <c r="J77" i="18"/>
  <c r="K77" i="18" s="1"/>
  <c r="J78" i="18"/>
  <c r="J79" i="18"/>
  <c r="J80" i="18"/>
  <c r="J81" i="18"/>
  <c r="K75" i="8" l="1"/>
  <c r="K10" i="8" s="1"/>
  <c r="AB7" i="10" s="1"/>
  <c r="J10" i="8"/>
  <c r="H10" i="8" s="1"/>
  <c r="C2" i="21"/>
  <c r="C164" i="21" s="1"/>
  <c r="H27" i="9"/>
  <c r="D88" i="12"/>
  <c r="Z85" i="10"/>
  <c r="D89" i="12"/>
  <c r="Z86" i="10"/>
  <c r="C71" i="2"/>
  <c r="D71" i="2"/>
  <c r="B144" i="8"/>
  <c r="B145" i="8" s="1"/>
  <c r="C152" i="8" l="1"/>
  <c r="F9" i="1"/>
  <c r="E33" i="1"/>
  <c r="E60" i="1"/>
  <c r="E143" i="8"/>
  <c r="E142" i="8"/>
  <c r="C144" i="8"/>
  <c r="E144" i="8" s="1"/>
  <c r="G33" i="1" l="1"/>
  <c r="F2" i="5"/>
  <c r="F74" i="5" s="1"/>
  <c r="F60" i="1"/>
  <c r="F63" i="1" s="1"/>
  <c r="F44" i="5" s="1"/>
  <c r="F33" i="1"/>
  <c r="F36" i="1" s="1"/>
  <c r="C145" i="8"/>
  <c r="E145" i="8" s="1"/>
  <c r="O5" i="12"/>
  <c r="O7" i="12"/>
  <c r="O8" i="12"/>
  <c r="O9" i="12"/>
  <c r="O4" i="12"/>
  <c r="D196" i="7"/>
  <c r="F196" i="7" s="1"/>
  <c r="D195" i="7"/>
  <c r="F195" i="7" s="1"/>
  <c r="D194" i="7"/>
  <c r="K50" i="8"/>
  <c r="B160" i="8" s="1"/>
  <c r="I56" i="18"/>
  <c r="I55" i="18"/>
  <c r="I54" i="18"/>
  <c r="I53" i="18"/>
  <c r="I52" i="18"/>
  <c r="I49" i="18"/>
  <c r="I48" i="18"/>
  <c r="I47" i="18"/>
  <c r="I46" i="18"/>
  <c r="I45" i="18"/>
  <c r="I42" i="18"/>
  <c r="I41" i="18"/>
  <c r="I40" i="18"/>
  <c r="I39" i="18"/>
  <c r="I38" i="18"/>
  <c r="I37" i="18"/>
  <c r="I36" i="18"/>
  <c r="I34" i="18"/>
  <c r="I33" i="18"/>
  <c r="I32" i="18"/>
  <c r="I31" i="18"/>
  <c r="I30" i="18"/>
  <c r="I29" i="18"/>
  <c r="I28" i="18"/>
  <c r="I86" i="18"/>
  <c r="I85" i="18"/>
  <c r="I84" i="18"/>
  <c r="I83" i="18"/>
  <c r="I81" i="18"/>
  <c r="I80" i="18"/>
  <c r="I79" i="18"/>
  <c r="I78" i="18"/>
  <c r="I77" i="18"/>
  <c r="I74" i="18"/>
  <c r="I73" i="18"/>
  <c r="I72" i="18"/>
  <c r="I71" i="18"/>
  <c r="I70" i="18"/>
  <c r="I69" i="18"/>
  <c r="I68" i="18"/>
  <c r="I66" i="18"/>
  <c r="I65" i="18"/>
  <c r="I64" i="18"/>
  <c r="I63" i="18"/>
  <c r="I62" i="18"/>
  <c r="I61" i="18"/>
  <c r="I60" i="18"/>
  <c r="I24" i="18"/>
  <c r="I23" i="18"/>
  <c r="I22" i="18"/>
  <c r="I21" i="18"/>
  <c r="I18" i="18"/>
  <c r="I17" i="18"/>
  <c r="I16" i="18"/>
  <c r="I15" i="18"/>
  <c r="I12" i="18"/>
  <c r="I11" i="18"/>
  <c r="I6" i="18" s="1"/>
  <c r="B2" i="20" s="1"/>
  <c r="B165" i="20" s="1"/>
  <c r="I67" i="18"/>
  <c r="I19" i="18"/>
  <c r="D6" i="21"/>
  <c r="E6" i="21" s="1"/>
  <c r="F6" i="21" s="1"/>
  <c r="G6" i="21" s="1"/>
  <c r="H6" i="21" s="1"/>
  <c r="I6" i="21" s="1"/>
  <c r="J6" i="21" s="1"/>
  <c r="K6" i="21" s="1"/>
  <c r="L6" i="21" s="1"/>
  <c r="M6" i="21" s="1"/>
  <c r="N6" i="21" s="1"/>
  <c r="O6" i="21" s="1"/>
  <c r="P6" i="21" s="1"/>
  <c r="Q6" i="21" s="1"/>
  <c r="R6" i="21" s="1"/>
  <c r="S6" i="21" s="1"/>
  <c r="T6" i="21" s="1"/>
  <c r="U6" i="21" s="1"/>
  <c r="D4" i="21"/>
  <c r="E4" i="21" s="1"/>
  <c r="F4" i="21" s="1"/>
  <c r="G4" i="21" s="1"/>
  <c r="H4" i="21" s="1"/>
  <c r="I4" i="21" s="1"/>
  <c r="J4" i="21" s="1"/>
  <c r="K4" i="21" s="1"/>
  <c r="L4" i="21" s="1"/>
  <c r="M4" i="21" s="1"/>
  <c r="N4" i="21" s="1"/>
  <c r="O4" i="21" s="1"/>
  <c r="P4" i="21" s="1"/>
  <c r="Q4" i="21" s="1"/>
  <c r="R4" i="21" s="1"/>
  <c r="S4" i="21" s="1"/>
  <c r="T4" i="21" s="1"/>
  <c r="U4" i="21" s="1"/>
  <c r="H87" i="18"/>
  <c r="H86" i="18"/>
  <c r="H85" i="18"/>
  <c r="H84" i="18"/>
  <c r="H83" i="18"/>
  <c r="H81" i="18"/>
  <c r="H80" i="18"/>
  <c r="H79" i="18"/>
  <c r="H78" i="18"/>
  <c r="H77" i="18"/>
  <c r="L85" i="10"/>
  <c r="K85" i="10"/>
  <c r="J85" i="10"/>
  <c r="F85" i="10"/>
  <c r="G85" i="10"/>
  <c r="E85" i="10"/>
  <c r="O81" i="10"/>
  <c r="G81" i="10"/>
  <c r="F81" i="10"/>
  <c r="C81" i="10"/>
  <c r="B81" i="10"/>
  <c r="O73" i="10"/>
  <c r="O74" i="10"/>
  <c r="O75" i="10"/>
  <c r="O76" i="10"/>
  <c r="O77" i="10"/>
  <c r="O78" i="10"/>
  <c r="O79" i="10"/>
  <c r="O80" i="10"/>
  <c r="L61" i="10"/>
  <c r="L60" i="10"/>
  <c r="L59" i="10"/>
  <c r="L58" i="10"/>
  <c r="K61" i="10"/>
  <c r="K60" i="10"/>
  <c r="K59" i="10"/>
  <c r="K58" i="10"/>
  <c r="J61" i="10"/>
  <c r="J60" i="10"/>
  <c r="J59" i="10"/>
  <c r="J58" i="10"/>
  <c r="G80" i="10"/>
  <c r="G79" i="10"/>
  <c r="G78" i="10"/>
  <c r="G77" i="10"/>
  <c r="G76" i="10"/>
  <c r="G75" i="10"/>
  <c r="G74" i="10"/>
  <c r="G73" i="10"/>
  <c r="G72" i="10"/>
  <c r="G71" i="10"/>
  <c r="G70" i="10"/>
  <c r="G69" i="10"/>
  <c r="G68" i="10"/>
  <c r="G67" i="10"/>
  <c r="G66" i="10"/>
  <c r="G65" i="10"/>
  <c r="G64" i="10"/>
  <c r="G63" i="10"/>
  <c r="G62" i="10"/>
  <c r="G61" i="10"/>
  <c r="G60" i="10"/>
  <c r="G59" i="10"/>
  <c r="G58" i="10"/>
  <c r="F80" i="10"/>
  <c r="F79" i="10"/>
  <c r="F78" i="10"/>
  <c r="F77" i="10"/>
  <c r="F76" i="10"/>
  <c r="F75" i="10"/>
  <c r="F74" i="10"/>
  <c r="F73" i="10"/>
  <c r="F72" i="10"/>
  <c r="F71" i="10"/>
  <c r="F70" i="10"/>
  <c r="F69" i="10"/>
  <c r="F61" i="10"/>
  <c r="F60" i="10"/>
  <c r="F59" i="10"/>
  <c r="F58" i="10"/>
  <c r="E59" i="10"/>
  <c r="E60" i="10"/>
  <c r="E61" i="10"/>
  <c r="E58" i="10"/>
  <c r="O49" i="10"/>
  <c r="O50" i="10"/>
  <c r="O51" i="10"/>
  <c r="O52" i="10"/>
  <c r="O53" i="10"/>
  <c r="O54" i="10"/>
  <c r="J32" i="10"/>
  <c r="K32" i="10"/>
  <c r="L32" i="10"/>
  <c r="J33" i="10"/>
  <c r="K33" i="10"/>
  <c r="L33" i="10"/>
  <c r="J34" i="10"/>
  <c r="K34" i="10"/>
  <c r="L34" i="10"/>
  <c r="K31" i="10"/>
  <c r="L31" i="10"/>
  <c r="J31" i="10"/>
  <c r="E31" i="10"/>
  <c r="F31" i="10"/>
  <c r="G31" i="10"/>
  <c r="E32" i="10"/>
  <c r="F32" i="10"/>
  <c r="G32" i="10"/>
  <c r="E33" i="10"/>
  <c r="F33" i="10"/>
  <c r="G33" i="10"/>
  <c r="E34" i="10"/>
  <c r="F34" i="10"/>
  <c r="G34" i="10"/>
  <c r="G35" i="10"/>
  <c r="G36" i="10"/>
  <c r="G37" i="10"/>
  <c r="G38" i="10"/>
  <c r="G39" i="10"/>
  <c r="G40" i="10"/>
  <c r="G41" i="10"/>
  <c r="F42" i="10"/>
  <c r="G42" i="10"/>
  <c r="F43" i="10"/>
  <c r="G43" i="10"/>
  <c r="F44" i="10"/>
  <c r="G44" i="10"/>
  <c r="F45" i="10"/>
  <c r="G45" i="10"/>
  <c r="F46" i="10"/>
  <c r="G46" i="10"/>
  <c r="F47" i="10"/>
  <c r="G47" i="10"/>
  <c r="F48" i="10"/>
  <c r="G48" i="10"/>
  <c r="F49" i="10"/>
  <c r="G49" i="10"/>
  <c r="F50" i="10"/>
  <c r="G50" i="10"/>
  <c r="F51" i="10"/>
  <c r="G51" i="10"/>
  <c r="F52" i="10"/>
  <c r="G52" i="10"/>
  <c r="F53" i="10"/>
  <c r="G53" i="10"/>
  <c r="F54" i="10"/>
  <c r="G54" i="10"/>
  <c r="B54" i="10"/>
  <c r="C54" i="10"/>
  <c r="F61" i="12"/>
  <c r="G61" i="12"/>
  <c r="H61" i="12"/>
  <c r="I61" i="12"/>
  <c r="J61" i="12"/>
  <c r="K61" i="12"/>
  <c r="L61" i="12"/>
  <c r="M61" i="12"/>
  <c r="N61" i="12"/>
  <c r="F62" i="12"/>
  <c r="H62" i="12"/>
  <c r="I62" i="12"/>
  <c r="J62" i="12"/>
  <c r="K62" i="12"/>
  <c r="L62" i="12"/>
  <c r="M62" i="12"/>
  <c r="N62" i="12"/>
  <c r="F63" i="12"/>
  <c r="G63" i="12"/>
  <c r="H63" i="12"/>
  <c r="I63" i="12"/>
  <c r="J63" i="12"/>
  <c r="K63" i="12"/>
  <c r="L63" i="12"/>
  <c r="M63" i="12"/>
  <c r="N63" i="12"/>
  <c r="F64" i="12"/>
  <c r="G64" i="12"/>
  <c r="H64" i="12"/>
  <c r="I64" i="12"/>
  <c r="J64" i="12"/>
  <c r="K64" i="12"/>
  <c r="L64" i="12"/>
  <c r="M64" i="12"/>
  <c r="N64" i="12"/>
  <c r="G65" i="12"/>
  <c r="H65" i="12"/>
  <c r="I65" i="12"/>
  <c r="J65" i="12"/>
  <c r="K65" i="12"/>
  <c r="L65" i="12"/>
  <c r="M65" i="12"/>
  <c r="N65" i="12"/>
  <c r="G66" i="12"/>
  <c r="H66" i="12"/>
  <c r="I66" i="12"/>
  <c r="J66" i="12"/>
  <c r="K66" i="12"/>
  <c r="L66" i="12"/>
  <c r="M66" i="12"/>
  <c r="N66" i="12"/>
  <c r="G60" i="12"/>
  <c r="H60" i="12"/>
  <c r="I60" i="12"/>
  <c r="J60" i="12"/>
  <c r="K60" i="12"/>
  <c r="L60" i="12"/>
  <c r="M60" i="12"/>
  <c r="N60" i="12"/>
  <c r="F33" i="12"/>
  <c r="G33" i="12"/>
  <c r="I33" i="12"/>
  <c r="J33" i="12"/>
  <c r="K33" i="12"/>
  <c r="L33" i="12"/>
  <c r="M33" i="12"/>
  <c r="N33" i="12"/>
  <c r="F34" i="12"/>
  <c r="H34" i="12"/>
  <c r="I34" i="12"/>
  <c r="J34" i="12"/>
  <c r="K34" i="12"/>
  <c r="L34" i="12"/>
  <c r="M34" i="12"/>
  <c r="N34" i="12"/>
  <c r="F35" i="12"/>
  <c r="G35" i="12"/>
  <c r="H35" i="12"/>
  <c r="I35" i="12"/>
  <c r="J35" i="12"/>
  <c r="K35" i="12"/>
  <c r="L35" i="12"/>
  <c r="M35" i="12"/>
  <c r="N35" i="12"/>
  <c r="F36" i="12"/>
  <c r="G36" i="12"/>
  <c r="H36" i="12"/>
  <c r="I36" i="12"/>
  <c r="J36" i="12"/>
  <c r="K36" i="12"/>
  <c r="L36" i="12"/>
  <c r="M36" i="12"/>
  <c r="N36" i="12"/>
  <c r="G37" i="12"/>
  <c r="H37" i="12"/>
  <c r="I37" i="12"/>
  <c r="J37" i="12"/>
  <c r="K37" i="12"/>
  <c r="L37" i="12"/>
  <c r="M37" i="12"/>
  <c r="N37" i="12"/>
  <c r="G38" i="12"/>
  <c r="H38" i="12"/>
  <c r="I38" i="12"/>
  <c r="J38" i="12"/>
  <c r="K38" i="12"/>
  <c r="L38" i="12"/>
  <c r="M38" i="12"/>
  <c r="N38" i="12"/>
  <c r="G32" i="12"/>
  <c r="H32" i="12"/>
  <c r="I32" i="12"/>
  <c r="J32" i="12"/>
  <c r="K32" i="12"/>
  <c r="L32" i="12"/>
  <c r="M32" i="12"/>
  <c r="N32" i="12"/>
  <c r="F32" i="12"/>
  <c r="C61" i="12"/>
  <c r="C62" i="12"/>
  <c r="C63" i="12"/>
  <c r="C64" i="12"/>
  <c r="C65" i="12"/>
  <c r="C66" i="12"/>
  <c r="C67" i="12"/>
  <c r="C68" i="12"/>
  <c r="C69" i="12"/>
  <c r="C70" i="12"/>
  <c r="C71" i="12"/>
  <c r="C72" i="12"/>
  <c r="C73" i="12"/>
  <c r="C74" i="12"/>
  <c r="C75" i="12"/>
  <c r="C76" i="12"/>
  <c r="C77" i="12"/>
  <c r="C78" i="12"/>
  <c r="C79" i="12"/>
  <c r="C80" i="12"/>
  <c r="C81" i="12"/>
  <c r="C54" i="12"/>
  <c r="C53" i="12"/>
  <c r="C52" i="12"/>
  <c r="C51" i="12"/>
  <c r="C50" i="12"/>
  <c r="C49" i="12"/>
  <c r="C48" i="12"/>
  <c r="C47" i="12"/>
  <c r="C46" i="12"/>
  <c r="C45" i="12"/>
  <c r="C44" i="12"/>
  <c r="C43" i="12"/>
  <c r="C42" i="12"/>
  <c r="C41" i="12"/>
  <c r="C40" i="12"/>
  <c r="C39" i="12"/>
  <c r="C38" i="12"/>
  <c r="C37" i="12"/>
  <c r="C36" i="12"/>
  <c r="C35" i="12"/>
  <c r="C34" i="12"/>
  <c r="C33" i="12"/>
  <c r="Y94" i="12"/>
  <c r="Y93" i="12"/>
  <c r="Y92" i="12"/>
  <c r="X92" i="12"/>
  <c r="Y91" i="12"/>
  <c r="X91" i="12"/>
  <c r="X90" i="12"/>
  <c r="Y89" i="12"/>
  <c r="X89" i="12"/>
  <c r="Y88" i="12"/>
  <c r="X88" i="12"/>
  <c r="G31" i="7"/>
  <c r="F31" i="7"/>
  <c r="C26" i="12"/>
  <c r="C25" i="12"/>
  <c r="W5" i="12"/>
  <c r="X5" i="12"/>
  <c r="Y5" i="12"/>
  <c r="W6" i="12"/>
  <c r="X6" i="12"/>
  <c r="W7" i="12"/>
  <c r="X7" i="12"/>
  <c r="Y7" i="12"/>
  <c r="X8" i="12"/>
  <c r="Y8" i="12"/>
  <c r="Y9" i="12"/>
  <c r="Y10" i="12"/>
  <c r="Y4" i="12"/>
  <c r="X4" i="12"/>
  <c r="W4" i="12"/>
  <c r="D173" i="20"/>
  <c r="E173" i="20"/>
  <c r="F173" i="20"/>
  <c r="G173" i="20"/>
  <c r="H173" i="20"/>
  <c r="I173" i="20"/>
  <c r="J173" i="20"/>
  <c r="K173" i="20"/>
  <c r="L173" i="20"/>
  <c r="M173" i="20"/>
  <c r="N173" i="20"/>
  <c r="O173" i="20"/>
  <c r="P173" i="20"/>
  <c r="Q173" i="20"/>
  <c r="R173" i="20"/>
  <c r="S173" i="20"/>
  <c r="T173" i="20"/>
  <c r="U173" i="20"/>
  <c r="C173" i="20"/>
  <c r="C5" i="12"/>
  <c r="D5" i="12"/>
  <c r="C6" i="12"/>
  <c r="D6" i="12"/>
  <c r="C7" i="12"/>
  <c r="D7" i="12"/>
  <c r="C8" i="12"/>
  <c r="C9" i="12"/>
  <c r="C10" i="12"/>
  <c r="C11" i="12"/>
  <c r="C12" i="12"/>
  <c r="C13" i="12"/>
  <c r="C14" i="12"/>
  <c r="C15" i="12"/>
  <c r="C16" i="12"/>
  <c r="C17" i="12"/>
  <c r="C18" i="12"/>
  <c r="C19" i="12"/>
  <c r="C20" i="12"/>
  <c r="C21" i="12"/>
  <c r="C22" i="12"/>
  <c r="C23" i="12"/>
  <c r="C24" i="12"/>
  <c r="D4" i="12"/>
  <c r="Q152" i="21"/>
  <c r="P152" i="21"/>
  <c r="O152" i="21"/>
  <c r="N152" i="21"/>
  <c r="M152" i="21"/>
  <c r="L152" i="21"/>
  <c r="K152" i="21"/>
  <c r="J152" i="21"/>
  <c r="I152" i="21"/>
  <c r="H152" i="21"/>
  <c r="G152" i="21"/>
  <c r="F152" i="21"/>
  <c r="E152" i="21"/>
  <c r="D152" i="21"/>
  <c r="C152" i="21"/>
  <c r="D142" i="7"/>
  <c r="E142" i="7"/>
  <c r="D143" i="7"/>
  <c r="E143" i="7"/>
  <c r="D144" i="7"/>
  <c r="E144" i="7"/>
  <c r="D145" i="7"/>
  <c r="E145" i="7"/>
  <c r="D146" i="7"/>
  <c r="E146" i="7"/>
  <c r="D147" i="7"/>
  <c r="E147" i="7"/>
  <c r="D148" i="7"/>
  <c r="E148" i="7"/>
  <c r="D149" i="7"/>
  <c r="E149" i="7"/>
  <c r="D150" i="7"/>
  <c r="E150" i="7"/>
  <c r="D151" i="7"/>
  <c r="E151" i="7"/>
  <c r="D152" i="7"/>
  <c r="E152" i="7"/>
  <c r="D153" i="7"/>
  <c r="E153" i="7"/>
  <c r="D154" i="7"/>
  <c r="E154" i="7"/>
  <c r="D155" i="7"/>
  <c r="E155" i="7"/>
  <c r="D156" i="7"/>
  <c r="E156" i="7"/>
  <c r="D157" i="7"/>
  <c r="E157" i="7"/>
  <c r="D158" i="7"/>
  <c r="E158" i="7"/>
  <c r="D159" i="7"/>
  <c r="E159" i="7"/>
  <c r="D160" i="7"/>
  <c r="E160" i="7"/>
  <c r="D161" i="7"/>
  <c r="E161" i="7"/>
  <c r="D162" i="7"/>
  <c r="E162" i="7"/>
  <c r="D163" i="7"/>
  <c r="E163" i="7"/>
  <c r="D141" i="7"/>
  <c r="D109" i="7"/>
  <c r="F109" i="7"/>
  <c r="G109" i="7"/>
  <c r="I109" i="7"/>
  <c r="D88" i="7"/>
  <c r="F88" i="7"/>
  <c r="G88" i="7"/>
  <c r="I88" i="7"/>
  <c r="D89" i="7"/>
  <c r="F89" i="7"/>
  <c r="G89" i="7"/>
  <c r="I89" i="7"/>
  <c r="D90" i="7"/>
  <c r="F90" i="7"/>
  <c r="G90" i="7"/>
  <c r="I90" i="7"/>
  <c r="D91" i="7"/>
  <c r="F91" i="7"/>
  <c r="G91" i="7"/>
  <c r="I91" i="7"/>
  <c r="D92" i="7"/>
  <c r="F92" i="7"/>
  <c r="G92" i="7"/>
  <c r="I92" i="7"/>
  <c r="D93" i="7"/>
  <c r="F93" i="7"/>
  <c r="G93" i="7"/>
  <c r="I93" i="7"/>
  <c r="D94" i="7"/>
  <c r="F94" i="7"/>
  <c r="G94" i="7"/>
  <c r="I94" i="7"/>
  <c r="D95" i="7"/>
  <c r="F95" i="7"/>
  <c r="G95" i="7"/>
  <c r="I95" i="7"/>
  <c r="D96" i="7"/>
  <c r="F96" i="7"/>
  <c r="G96" i="7"/>
  <c r="I96" i="7"/>
  <c r="D97" i="7"/>
  <c r="F97" i="7"/>
  <c r="G97" i="7"/>
  <c r="I97" i="7"/>
  <c r="D98" i="7"/>
  <c r="F98" i="7"/>
  <c r="G98" i="7"/>
  <c r="I98" i="7"/>
  <c r="D99" i="7"/>
  <c r="F99" i="7"/>
  <c r="G99" i="7"/>
  <c r="I99" i="7"/>
  <c r="D100" i="7"/>
  <c r="F100" i="7"/>
  <c r="G100" i="7"/>
  <c r="I100" i="7"/>
  <c r="D101" i="7"/>
  <c r="F101" i="7"/>
  <c r="G101" i="7"/>
  <c r="I101" i="7"/>
  <c r="D102" i="7"/>
  <c r="F102" i="7"/>
  <c r="G102" i="7"/>
  <c r="I102" i="7"/>
  <c r="D103" i="7"/>
  <c r="F103" i="7"/>
  <c r="G103" i="7"/>
  <c r="I103" i="7"/>
  <c r="D104" i="7"/>
  <c r="F104" i="7"/>
  <c r="G104" i="7"/>
  <c r="I104" i="7"/>
  <c r="D105" i="7"/>
  <c r="F105" i="7"/>
  <c r="G105" i="7"/>
  <c r="I105" i="7"/>
  <c r="D106" i="7"/>
  <c r="F106" i="7"/>
  <c r="G106" i="7"/>
  <c r="I106" i="7"/>
  <c r="D107" i="7"/>
  <c r="F107" i="7"/>
  <c r="G107" i="7"/>
  <c r="I107" i="7"/>
  <c r="D108" i="7"/>
  <c r="F108" i="7"/>
  <c r="G108" i="7"/>
  <c r="I108" i="7"/>
  <c r="I87" i="7"/>
  <c r="G87" i="7"/>
  <c r="F87" i="7"/>
  <c r="D87" i="7"/>
  <c r="D54" i="10"/>
  <c r="E54" i="10"/>
  <c r="E35" i="10"/>
  <c r="F64" i="10"/>
  <c r="E65" i="10"/>
  <c r="F65" i="10"/>
  <c r="E66" i="10"/>
  <c r="E67" i="10"/>
  <c r="F67" i="10"/>
  <c r="E41" i="10"/>
  <c r="F41" i="10"/>
  <c r="E69" i="10"/>
  <c r="E43" i="10"/>
  <c r="E73" i="10"/>
  <c r="E74" i="10"/>
  <c r="E75" i="10"/>
  <c r="E49" i="10"/>
  <c r="E77" i="10"/>
  <c r="E51" i="10"/>
  <c r="E53" i="10"/>
  <c r="C4" i="10"/>
  <c r="C85" i="10" s="1"/>
  <c r="D4" i="10"/>
  <c r="D85" i="10" s="1"/>
  <c r="B4" i="10"/>
  <c r="AG112" i="9"/>
  <c r="AH112" i="9" s="1"/>
  <c r="AG84" i="9"/>
  <c r="AH84" i="9" s="1"/>
  <c r="AE56" i="9"/>
  <c r="AF56" i="9"/>
  <c r="F79" i="2"/>
  <c r="G79" i="2" s="1"/>
  <c r="H79" i="2" s="1"/>
  <c r="I79" i="2" s="1"/>
  <c r="J79" i="2" s="1"/>
  <c r="J89" i="2" s="1"/>
  <c r="T90" i="9"/>
  <c r="T92" i="9"/>
  <c r="L105" i="9"/>
  <c r="L106" i="9"/>
  <c r="L107" i="9"/>
  <c r="L108" i="9"/>
  <c r="L109" i="9"/>
  <c r="L110" i="9"/>
  <c r="L111" i="9"/>
  <c r="L112" i="9"/>
  <c r="T89" i="9"/>
  <c r="T62" i="9"/>
  <c r="T63" i="9"/>
  <c r="T64" i="9"/>
  <c r="L77" i="9"/>
  <c r="L78" i="9"/>
  <c r="L79" i="9"/>
  <c r="L80" i="9"/>
  <c r="L81" i="9"/>
  <c r="L82" i="9"/>
  <c r="L83" i="9"/>
  <c r="L84" i="9"/>
  <c r="T36" i="9"/>
  <c r="L49" i="9"/>
  <c r="L50" i="9"/>
  <c r="L51" i="9"/>
  <c r="L52" i="9"/>
  <c r="L53" i="9"/>
  <c r="L54" i="9"/>
  <c r="L55" i="9"/>
  <c r="L56" i="9"/>
  <c r="T91" i="9"/>
  <c r="U112" i="9"/>
  <c r="U32" i="9"/>
  <c r="U60" i="9"/>
  <c r="U84" i="9"/>
  <c r="T32" i="9"/>
  <c r="T34" i="9"/>
  <c r="T35" i="9"/>
  <c r="D62" i="7" s="1"/>
  <c r="T60" i="9"/>
  <c r="X21" i="5"/>
  <c r="X22" i="5"/>
  <c r="X42" i="5"/>
  <c r="X43" i="5"/>
  <c r="X63" i="5"/>
  <c r="X64" i="5"/>
  <c r="Z61" i="2"/>
  <c r="C87" i="9"/>
  <c r="D87" i="9"/>
  <c r="E87" i="9"/>
  <c r="F87" i="9"/>
  <c r="G87" i="9"/>
  <c r="B87" i="9"/>
  <c r="B90" i="9"/>
  <c r="C90" i="9"/>
  <c r="D90" i="9"/>
  <c r="E90" i="9"/>
  <c r="F90" i="9"/>
  <c r="G90" i="9"/>
  <c r="B91" i="9"/>
  <c r="C91" i="9"/>
  <c r="D91" i="9"/>
  <c r="E91" i="9"/>
  <c r="F91" i="9"/>
  <c r="G91" i="9"/>
  <c r="B92" i="9"/>
  <c r="C92" i="9"/>
  <c r="D92" i="9"/>
  <c r="E92" i="9"/>
  <c r="F92" i="9"/>
  <c r="G92" i="9"/>
  <c r="B93" i="9"/>
  <c r="C93" i="9"/>
  <c r="D93" i="9"/>
  <c r="E93" i="9"/>
  <c r="F93" i="9"/>
  <c r="G93" i="9"/>
  <c r="B94" i="9"/>
  <c r="C94" i="9"/>
  <c r="D94" i="9"/>
  <c r="E94" i="9"/>
  <c r="F94" i="9"/>
  <c r="G94" i="9"/>
  <c r="B95" i="9"/>
  <c r="C95" i="9"/>
  <c r="D95" i="9"/>
  <c r="E95" i="9"/>
  <c r="F95" i="9"/>
  <c r="G95" i="9"/>
  <c r="B96" i="9"/>
  <c r="C96" i="9"/>
  <c r="D96" i="9"/>
  <c r="E96" i="9"/>
  <c r="F96" i="9"/>
  <c r="G96" i="9"/>
  <c r="B97" i="9"/>
  <c r="C97" i="9"/>
  <c r="D97" i="9"/>
  <c r="E97" i="9"/>
  <c r="F97" i="9"/>
  <c r="G97" i="9"/>
  <c r="B98" i="9"/>
  <c r="C98" i="9"/>
  <c r="D98" i="9"/>
  <c r="E98" i="9"/>
  <c r="F98" i="9"/>
  <c r="G98" i="9"/>
  <c r="B99" i="9"/>
  <c r="C99" i="9"/>
  <c r="D99" i="9"/>
  <c r="E99" i="9"/>
  <c r="F99" i="9"/>
  <c r="G99" i="9"/>
  <c r="B100" i="9"/>
  <c r="C100" i="9"/>
  <c r="D100" i="9"/>
  <c r="E100" i="9"/>
  <c r="F100" i="9"/>
  <c r="G100" i="9"/>
  <c r="B101" i="9"/>
  <c r="C101" i="9"/>
  <c r="D101" i="9"/>
  <c r="E101" i="9"/>
  <c r="F101" i="9"/>
  <c r="G101" i="9"/>
  <c r="B102" i="9"/>
  <c r="C102" i="9"/>
  <c r="D102" i="9"/>
  <c r="E102" i="9"/>
  <c r="F102" i="9"/>
  <c r="G102" i="9"/>
  <c r="B103" i="9"/>
  <c r="C103" i="9"/>
  <c r="D103" i="9"/>
  <c r="E103" i="9"/>
  <c r="F103" i="9"/>
  <c r="G103" i="9"/>
  <c r="B104" i="9"/>
  <c r="C104" i="9"/>
  <c r="D104" i="9"/>
  <c r="E104" i="9"/>
  <c r="F104" i="9"/>
  <c r="G104" i="9"/>
  <c r="B105" i="9"/>
  <c r="C105" i="9"/>
  <c r="D105" i="9"/>
  <c r="E105" i="9"/>
  <c r="F105" i="9"/>
  <c r="G105" i="9"/>
  <c r="B106" i="9"/>
  <c r="C106" i="9"/>
  <c r="D106" i="9"/>
  <c r="E106" i="9"/>
  <c r="F106" i="9"/>
  <c r="G106" i="9"/>
  <c r="B107" i="9"/>
  <c r="C107" i="9"/>
  <c r="D107" i="9"/>
  <c r="E107" i="9"/>
  <c r="F107" i="9"/>
  <c r="G107" i="9"/>
  <c r="B108" i="9"/>
  <c r="C108" i="9"/>
  <c r="D108" i="9"/>
  <c r="E108" i="9"/>
  <c r="F108" i="9"/>
  <c r="G108" i="9"/>
  <c r="B109" i="9"/>
  <c r="C109" i="9"/>
  <c r="D109" i="9"/>
  <c r="E109" i="9"/>
  <c r="F109" i="9"/>
  <c r="G109" i="9"/>
  <c r="B110" i="9"/>
  <c r="C110" i="9"/>
  <c r="D110" i="9"/>
  <c r="E110" i="9"/>
  <c r="F110" i="9"/>
  <c r="G110" i="9"/>
  <c r="B111" i="9"/>
  <c r="C111" i="9"/>
  <c r="D111" i="9"/>
  <c r="E111" i="9"/>
  <c r="F111" i="9"/>
  <c r="G111" i="9"/>
  <c r="C89" i="9"/>
  <c r="D89" i="9"/>
  <c r="E89" i="9"/>
  <c r="F89" i="9"/>
  <c r="G89" i="9"/>
  <c r="B89" i="9"/>
  <c r="C59" i="9"/>
  <c r="D59" i="9"/>
  <c r="E59" i="9"/>
  <c r="F59" i="9"/>
  <c r="G59" i="9"/>
  <c r="B59" i="9"/>
  <c r="B62" i="9"/>
  <c r="C62" i="9"/>
  <c r="D62" i="9"/>
  <c r="E62" i="9"/>
  <c r="F62" i="9"/>
  <c r="G62" i="9"/>
  <c r="B63" i="9"/>
  <c r="C63" i="9"/>
  <c r="D63" i="9"/>
  <c r="E63" i="9"/>
  <c r="F63" i="9"/>
  <c r="G63" i="9"/>
  <c r="B64" i="9"/>
  <c r="C64" i="9"/>
  <c r="D64" i="9"/>
  <c r="E64" i="9"/>
  <c r="F64" i="9"/>
  <c r="G64" i="9"/>
  <c r="B65" i="9"/>
  <c r="C65" i="9"/>
  <c r="D65" i="9"/>
  <c r="E65" i="9"/>
  <c r="F65" i="9"/>
  <c r="G65" i="9"/>
  <c r="B66" i="9"/>
  <c r="C66" i="9"/>
  <c r="D66" i="9"/>
  <c r="E66" i="9"/>
  <c r="F66" i="9"/>
  <c r="G66" i="9"/>
  <c r="B67" i="9"/>
  <c r="C67" i="9"/>
  <c r="D67" i="9"/>
  <c r="E67" i="9"/>
  <c r="F67" i="9"/>
  <c r="G67" i="9"/>
  <c r="B68" i="9"/>
  <c r="C68" i="9"/>
  <c r="D68" i="9"/>
  <c r="E68" i="9"/>
  <c r="F68" i="9"/>
  <c r="G68" i="9"/>
  <c r="B69" i="9"/>
  <c r="C69" i="9"/>
  <c r="D69" i="9"/>
  <c r="E69" i="9"/>
  <c r="F69" i="9"/>
  <c r="G69" i="9"/>
  <c r="B70" i="9"/>
  <c r="C70" i="9"/>
  <c r="D70" i="9"/>
  <c r="E70" i="9"/>
  <c r="F70" i="9"/>
  <c r="G70" i="9"/>
  <c r="B71" i="9"/>
  <c r="C71" i="9"/>
  <c r="D71" i="9"/>
  <c r="E71" i="9"/>
  <c r="F71" i="9"/>
  <c r="G71" i="9"/>
  <c r="B72" i="9"/>
  <c r="C72" i="9"/>
  <c r="D72" i="9"/>
  <c r="E72" i="9"/>
  <c r="F72" i="9"/>
  <c r="G72" i="9"/>
  <c r="B73" i="9"/>
  <c r="C73" i="9"/>
  <c r="D73" i="9"/>
  <c r="E73" i="9"/>
  <c r="F73" i="9"/>
  <c r="G73" i="9"/>
  <c r="B74" i="9"/>
  <c r="C74" i="9"/>
  <c r="D74" i="9"/>
  <c r="E74" i="9"/>
  <c r="F74" i="9"/>
  <c r="G74" i="9"/>
  <c r="B75" i="9"/>
  <c r="C75" i="9"/>
  <c r="D75" i="9"/>
  <c r="E75" i="9"/>
  <c r="F75" i="9"/>
  <c r="G75" i="9"/>
  <c r="B76" i="9"/>
  <c r="C76" i="9"/>
  <c r="D76" i="9"/>
  <c r="E76" i="9"/>
  <c r="F76" i="9"/>
  <c r="G76" i="9"/>
  <c r="B77" i="9"/>
  <c r="C77" i="9"/>
  <c r="D77" i="9"/>
  <c r="E77" i="9"/>
  <c r="F77" i="9"/>
  <c r="G77" i="9"/>
  <c r="B78" i="9"/>
  <c r="C78" i="9"/>
  <c r="D78" i="9"/>
  <c r="E78" i="9"/>
  <c r="F78" i="9"/>
  <c r="G78" i="9"/>
  <c r="B79" i="9"/>
  <c r="C79" i="9"/>
  <c r="D79" i="9"/>
  <c r="E79" i="9"/>
  <c r="F79" i="9"/>
  <c r="G79" i="9"/>
  <c r="B80" i="9"/>
  <c r="C80" i="9"/>
  <c r="D80" i="9"/>
  <c r="E80" i="9"/>
  <c r="F80" i="9"/>
  <c r="G80" i="9"/>
  <c r="B81" i="9"/>
  <c r="C81" i="9"/>
  <c r="D81" i="9"/>
  <c r="E81" i="9"/>
  <c r="F81" i="9"/>
  <c r="G81" i="9"/>
  <c r="B82" i="9"/>
  <c r="C82" i="9"/>
  <c r="D82" i="9"/>
  <c r="E82" i="9"/>
  <c r="F82" i="9"/>
  <c r="G82" i="9"/>
  <c r="B83" i="9"/>
  <c r="C83" i="9"/>
  <c r="D83" i="9"/>
  <c r="E83" i="9"/>
  <c r="F83" i="9"/>
  <c r="G83" i="9"/>
  <c r="C61" i="9"/>
  <c r="D61" i="9"/>
  <c r="E61" i="9"/>
  <c r="F61" i="9"/>
  <c r="G61" i="9"/>
  <c r="B61" i="9"/>
  <c r="B34" i="9"/>
  <c r="C34" i="9"/>
  <c r="D34" i="9"/>
  <c r="E34" i="9"/>
  <c r="F34" i="9"/>
  <c r="G34" i="9"/>
  <c r="B35" i="9"/>
  <c r="C35" i="9"/>
  <c r="D35" i="9"/>
  <c r="E35" i="9"/>
  <c r="F35" i="9"/>
  <c r="G35" i="9"/>
  <c r="B36" i="9"/>
  <c r="C36" i="9"/>
  <c r="D36" i="9"/>
  <c r="E36" i="9"/>
  <c r="F36" i="9"/>
  <c r="G36" i="9"/>
  <c r="B37" i="9"/>
  <c r="C37" i="9"/>
  <c r="D37" i="9"/>
  <c r="E37" i="9"/>
  <c r="F37" i="9"/>
  <c r="G37" i="9"/>
  <c r="B38" i="9"/>
  <c r="C38" i="9"/>
  <c r="D38" i="9"/>
  <c r="E38" i="9"/>
  <c r="F38" i="9"/>
  <c r="G38" i="9"/>
  <c r="B39" i="9"/>
  <c r="C39" i="9"/>
  <c r="D39" i="9"/>
  <c r="E39" i="9"/>
  <c r="F39" i="9"/>
  <c r="G39" i="9"/>
  <c r="B40" i="9"/>
  <c r="C40" i="9"/>
  <c r="D40" i="9"/>
  <c r="E40" i="9"/>
  <c r="F40" i="9"/>
  <c r="G40" i="9"/>
  <c r="B41" i="9"/>
  <c r="C41" i="9"/>
  <c r="D41" i="9"/>
  <c r="E41" i="9"/>
  <c r="F41" i="9"/>
  <c r="G41" i="9"/>
  <c r="B42" i="9"/>
  <c r="C42" i="9"/>
  <c r="D42" i="9"/>
  <c r="E42" i="9"/>
  <c r="F42" i="9"/>
  <c r="G42" i="9"/>
  <c r="B43" i="9"/>
  <c r="C43" i="9"/>
  <c r="D43" i="9"/>
  <c r="E43" i="9"/>
  <c r="F43" i="9"/>
  <c r="G43" i="9"/>
  <c r="B44" i="9"/>
  <c r="C44" i="9"/>
  <c r="D44" i="9"/>
  <c r="E44" i="9"/>
  <c r="F44" i="9"/>
  <c r="G44" i="9"/>
  <c r="B45" i="9"/>
  <c r="C45" i="9"/>
  <c r="D45" i="9"/>
  <c r="E45" i="9"/>
  <c r="F45" i="9"/>
  <c r="G45" i="9"/>
  <c r="B46" i="9"/>
  <c r="C46" i="9"/>
  <c r="D46" i="9"/>
  <c r="E46" i="9"/>
  <c r="F46" i="9"/>
  <c r="G46" i="9"/>
  <c r="B47" i="9"/>
  <c r="C47" i="9"/>
  <c r="D47" i="9"/>
  <c r="E47" i="9"/>
  <c r="F47" i="9"/>
  <c r="G47" i="9"/>
  <c r="B48" i="9"/>
  <c r="C48" i="9"/>
  <c r="D48" i="9"/>
  <c r="E48" i="9"/>
  <c r="F48" i="9"/>
  <c r="G48" i="9"/>
  <c r="B49" i="9"/>
  <c r="C49" i="9"/>
  <c r="D49" i="9"/>
  <c r="E49" i="9"/>
  <c r="F49" i="9"/>
  <c r="G49" i="9"/>
  <c r="B50" i="9"/>
  <c r="C50" i="9"/>
  <c r="D50" i="9"/>
  <c r="E50" i="9"/>
  <c r="F50" i="9"/>
  <c r="G50" i="9"/>
  <c r="B51" i="9"/>
  <c r="C51" i="9"/>
  <c r="D51" i="9"/>
  <c r="E51" i="9"/>
  <c r="F51" i="9"/>
  <c r="G51" i="9"/>
  <c r="B52" i="9"/>
  <c r="C52" i="9"/>
  <c r="D52" i="9"/>
  <c r="E52" i="9"/>
  <c r="F52" i="9"/>
  <c r="G52" i="9"/>
  <c r="B53" i="9"/>
  <c r="C53" i="9"/>
  <c r="D53" i="9"/>
  <c r="E53" i="9"/>
  <c r="F53" i="9"/>
  <c r="G53" i="9"/>
  <c r="B54" i="9"/>
  <c r="C54" i="9"/>
  <c r="D54" i="9"/>
  <c r="E54" i="9"/>
  <c r="F54" i="9"/>
  <c r="G54" i="9"/>
  <c r="B55" i="9"/>
  <c r="C55" i="9"/>
  <c r="D55" i="9"/>
  <c r="E55" i="9"/>
  <c r="F55" i="9"/>
  <c r="G55" i="9"/>
  <c r="C33" i="9"/>
  <c r="D33" i="9"/>
  <c r="E33" i="9"/>
  <c r="F33" i="9"/>
  <c r="G33" i="9"/>
  <c r="B33" i="9"/>
  <c r="G31" i="9"/>
  <c r="F31" i="9"/>
  <c r="E31" i="9"/>
  <c r="D31" i="9"/>
  <c r="C31" i="9"/>
  <c r="B31" i="9"/>
  <c r="B5" i="9"/>
  <c r="C5" i="9"/>
  <c r="D5" i="9"/>
  <c r="E5" i="9"/>
  <c r="F5" i="9"/>
  <c r="G5" i="9"/>
  <c r="B6" i="9"/>
  <c r="C6" i="9"/>
  <c r="D6" i="9"/>
  <c r="E6" i="9"/>
  <c r="F6" i="9"/>
  <c r="G6" i="9"/>
  <c r="B7" i="9"/>
  <c r="C7" i="9"/>
  <c r="D7" i="9"/>
  <c r="E7" i="9"/>
  <c r="F7" i="9"/>
  <c r="G7" i="9"/>
  <c r="B8" i="9"/>
  <c r="C8" i="9"/>
  <c r="D8" i="9"/>
  <c r="E8" i="9"/>
  <c r="F8" i="9"/>
  <c r="G8" i="9"/>
  <c r="B9" i="9"/>
  <c r="C9" i="9"/>
  <c r="D9" i="9"/>
  <c r="E9" i="9"/>
  <c r="F9" i="9"/>
  <c r="G9" i="9"/>
  <c r="B10" i="9"/>
  <c r="C10" i="9"/>
  <c r="D10" i="9"/>
  <c r="E10" i="9"/>
  <c r="F10" i="9"/>
  <c r="G10" i="9"/>
  <c r="B11" i="9"/>
  <c r="C11" i="9"/>
  <c r="D11" i="9"/>
  <c r="E11" i="9"/>
  <c r="F11" i="9"/>
  <c r="G11" i="9"/>
  <c r="B12" i="9"/>
  <c r="C12" i="9"/>
  <c r="D12" i="9"/>
  <c r="E12" i="9"/>
  <c r="F12" i="9"/>
  <c r="G12" i="9"/>
  <c r="B13" i="9"/>
  <c r="C13" i="9"/>
  <c r="D13" i="9"/>
  <c r="E13" i="9"/>
  <c r="F13" i="9"/>
  <c r="G13" i="9"/>
  <c r="B14" i="9"/>
  <c r="C14" i="9"/>
  <c r="D14" i="9"/>
  <c r="E14" i="9"/>
  <c r="F14" i="9"/>
  <c r="G14" i="9"/>
  <c r="B15" i="9"/>
  <c r="C15" i="9"/>
  <c r="D15" i="9"/>
  <c r="E15" i="9"/>
  <c r="F15" i="9"/>
  <c r="G15" i="9"/>
  <c r="B16" i="9"/>
  <c r="C16" i="9"/>
  <c r="D16" i="9"/>
  <c r="E16" i="9"/>
  <c r="F16" i="9"/>
  <c r="G16" i="9"/>
  <c r="B17" i="9"/>
  <c r="C17" i="9"/>
  <c r="D17" i="9"/>
  <c r="E17" i="9"/>
  <c r="F17" i="9"/>
  <c r="G17" i="9"/>
  <c r="B18" i="9"/>
  <c r="C18" i="9"/>
  <c r="D18" i="9"/>
  <c r="E18" i="9"/>
  <c r="F18" i="9"/>
  <c r="G18" i="9"/>
  <c r="B19" i="9"/>
  <c r="C19" i="9"/>
  <c r="D19" i="9"/>
  <c r="E19" i="9"/>
  <c r="F19" i="9"/>
  <c r="G19" i="9"/>
  <c r="B20" i="9"/>
  <c r="C20" i="9"/>
  <c r="D20" i="9"/>
  <c r="E20" i="9"/>
  <c r="F20" i="9"/>
  <c r="G20" i="9"/>
  <c r="B21" i="9"/>
  <c r="C21" i="9"/>
  <c r="D21" i="9"/>
  <c r="E21" i="9"/>
  <c r="F21" i="9"/>
  <c r="G21" i="9"/>
  <c r="B22" i="9"/>
  <c r="C22" i="9"/>
  <c r="D22" i="9"/>
  <c r="E22" i="9"/>
  <c r="F22" i="9"/>
  <c r="G22" i="9"/>
  <c r="B23" i="9"/>
  <c r="C23" i="9"/>
  <c r="D23" i="9"/>
  <c r="E23" i="9"/>
  <c r="F23" i="9"/>
  <c r="G23" i="9"/>
  <c r="B24" i="9"/>
  <c r="C24" i="9"/>
  <c r="D24" i="9"/>
  <c r="E24" i="9"/>
  <c r="F24" i="9"/>
  <c r="G24" i="9"/>
  <c r="B25" i="9"/>
  <c r="C25" i="9"/>
  <c r="D25" i="9"/>
  <c r="E25" i="9"/>
  <c r="F25" i="9"/>
  <c r="G25" i="9"/>
  <c r="B26" i="9"/>
  <c r="C26" i="9"/>
  <c r="D26" i="9"/>
  <c r="E26" i="9"/>
  <c r="F26" i="9"/>
  <c r="G26" i="9"/>
  <c r="C4" i="9"/>
  <c r="E4" i="9"/>
  <c r="F4" i="9"/>
  <c r="G4" i="9"/>
  <c r="D34" i="20"/>
  <c r="E43" i="20" s="1"/>
  <c r="F52" i="20" s="1"/>
  <c r="G61" i="20" s="1"/>
  <c r="H70" i="20" s="1"/>
  <c r="I79" i="20" s="1"/>
  <c r="J88" i="20" s="1"/>
  <c r="K97" i="20" s="1"/>
  <c r="L106" i="20" s="1"/>
  <c r="M115" i="20" s="1"/>
  <c r="N124" i="20" s="1"/>
  <c r="O133" i="20" s="1"/>
  <c r="P142" i="20" s="1"/>
  <c r="Q151" i="20" s="1"/>
  <c r="R160" i="20" s="1"/>
  <c r="D33" i="20"/>
  <c r="E42" i="20" s="1"/>
  <c r="F51" i="20" s="1"/>
  <c r="G60" i="20" s="1"/>
  <c r="H69" i="20" s="1"/>
  <c r="I78" i="20" s="1"/>
  <c r="J87" i="20" s="1"/>
  <c r="K96" i="20" s="1"/>
  <c r="L105" i="20" s="1"/>
  <c r="M114" i="20" s="1"/>
  <c r="N123" i="20" s="1"/>
  <c r="O132" i="20" s="1"/>
  <c r="P141" i="20" s="1"/>
  <c r="Q150" i="20" s="1"/>
  <c r="R159" i="20" s="1"/>
  <c r="D32" i="20"/>
  <c r="E41" i="20" s="1"/>
  <c r="F50" i="20" s="1"/>
  <c r="G59" i="20" s="1"/>
  <c r="H68" i="20" s="1"/>
  <c r="I77" i="20" s="1"/>
  <c r="J86" i="20" s="1"/>
  <c r="K95" i="20" s="1"/>
  <c r="L104" i="20" s="1"/>
  <c r="M113" i="20" s="1"/>
  <c r="N122" i="20" s="1"/>
  <c r="O131" i="20" s="1"/>
  <c r="P140" i="20" s="1"/>
  <c r="Q149" i="20" s="1"/>
  <c r="R158" i="20" s="1"/>
  <c r="D31" i="20"/>
  <c r="E40" i="20" s="1"/>
  <c r="F49" i="20" s="1"/>
  <c r="G58" i="20" s="1"/>
  <c r="H67" i="20" s="1"/>
  <c r="I76" i="20" s="1"/>
  <c r="J85" i="20" s="1"/>
  <c r="K94" i="20" s="1"/>
  <c r="L103" i="20" s="1"/>
  <c r="M112" i="20" s="1"/>
  <c r="N121" i="20" s="1"/>
  <c r="O130" i="20" s="1"/>
  <c r="P139" i="20" s="1"/>
  <c r="Q148" i="20" s="1"/>
  <c r="R157" i="20" s="1"/>
  <c r="D30" i="20"/>
  <c r="E39" i="20" s="1"/>
  <c r="F48" i="20" s="1"/>
  <c r="G57" i="20" s="1"/>
  <c r="H66" i="20" s="1"/>
  <c r="I75" i="20" s="1"/>
  <c r="J84" i="20" s="1"/>
  <c r="K93" i="20" s="1"/>
  <c r="L102" i="20" s="1"/>
  <c r="M111" i="20" s="1"/>
  <c r="N120" i="20" s="1"/>
  <c r="O129" i="20" s="1"/>
  <c r="P138" i="20" s="1"/>
  <c r="Q147" i="20" s="1"/>
  <c r="R156" i="20" s="1"/>
  <c r="D29" i="20"/>
  <c r="E38" i="20" s="1"/>
  <c r="F47" i="20" s="1"/>
  <c r="G56" i="20" s="1"/>
  <c r="H65" i="20" s="1"/>
  <c r="I74" i="20" s="1"/>
  <c r="J83" i="20" s="1"/>
  <c r="K92" i="20" s="1"/>
  <c r="L101" i="20" s="1"/>
  <c r="M110" i="20" s="1"/>
  <c r="N119" i="20" s="1"/>
  <c r="O128" i="20" s="1"/>
  <c r="P137" i="20" s="1"/>
  <c r="Q146" i="20" s="1"/>
  <c r="R155" i="20" s="1"/>
  <c r="U19" i="21"/>
  <c r="U28" i="21" s="1"/>
  <c r="D19" i="21"/>
  <c r="D28" i="21" s="1"/>
  <c r="D37" i="21" s="1"/>
  <c r="D46" i="21" s="1"/>
  <c r="D55" i="21" s="1"/>
  <c r="D64" i="21" s="1"/>
  <c r="D73" i="21" s="1"/>
  <c r="D82" i="21" s="1"/>
  <c r="D91" i="21" s="1"/>
  <c r="D100" i="21" s="1"/>
  <c r="D109" i="21" s="1"/>
  <c r="D118" i="21" s="1"/>
  <c r="D127" i="21" s="1"/>
  <c r="D136" i="21" s="1"/>
  <c r="D145" i="21" s="1"/>
  <c r="D154" i="21" s="1"/>
  <c r="D163" i="21" s="1"/>
  <c r="D173" i="21" s="1"/>
  <c r="E19" i="21"/>
  <c r="E28" i="21" s="1"/>
  <c r="E37" i="21" s="1"/>
  <c r="E46" i="21" s="1"/>
  <c r="E55" i="21" s="1"/>
  <c r="E64" i="21" s="1"/>
  <c r="E73" i="21" s="1"/>
  <c r="E82" i="21" s="1"/>
  <c r="E91" i="21" s="1"/>
  <c r="E100" i="21" s="1"/>
  <c r="E109" i="21" s="1"/>
  <c r="E118" i="21" s="1"/>
  <c r="E127" i="21" s="1"/>
  <c r="E136" i="21" s="1"/>
  <c r="E145" i="21" s="1"/>
  <c r="E154" i="21" s="1"/>
  <c r="E163" i="21" s="1"/>
  <c r="E173" i="21" s="1"/>
  <c r="F19" i="21"/>
  <c r="F28" i="21" s="1"/>
  <c r="F37" i="21" s="1"/>
  <c r="F46" i="21" s="1"/>
  <c r="F55" i="21" s="1"/>
  <c r="F64" i="21" s="1"/>
  <c r="F73" i="21" s="1"/>
  <c r="F82" i="21" s="1"/>
  <c r="F91" i="21" s="1"/>
  <c r="F100" i="21" s="1"/>
  <c r="F109" i="21" s="1"/>
  <c r="F118" i="21" s="1"/>
  <c r="F127" i="21" s="1"/>
  <c r="F136" i="21" s="1"/>
  <c r="F145" i="21" s="1"/>
  <c r="F154" i="21" s="1"/>
  <c r="F163" i="21" s="1"/>
  <c r="F173" i="21" s="1"/>
  <c r="G19" i="21"/>
  <c r="G28" i="21" s="1"/>
  <c r="G37" i="21" s="1"/>
  <c r="G46" i="21" s="1"/>
  <c r="G55" i="21" s="1"/>
  <c r="G64" i="21" s="1"/>
  <c r="G73" i="21" s="1"/>
  <c r="G82" i="21" s="1"/>
  <c r="G91" i="21" s="1"/>
  <c r="G100" i="21" s="1"/>
  <c r="G109" i="21" s="1"/>
  <c r="G118" i="21" s="1"/>
  <c r="G127" i="21" s="1"/>
  <c r="G136" i="21" s="1"/>
  <c r="G145" i="21" s="1"/>
  <c r="G154" i="21" s="1"/>
  <c r="G163" i="21" s="1"/>
  <c r="G173" i="21" s="1"/>
  <c r="H19" i="21"/>
  <c r="H28" i="21" s="1"/>
  <c r="H37" i="21" s="1"/>
  <c r="H46" i="21" s="1"/>
  <c r="H55" i="21" s="1"/>
  <c r="H64" i="21" s="1"/>
  <c r="H73" i="21" s="1"/>
  <c r="H82" i="21" s="1"/>
  <c r="H91" i="21" s="1"/>
  <c r="H100" i="21" s="1"/>
  <c r="H109" i="21" s="1"/>
  <c r="H118" i="21" s="1"/>
  <c r="H127" i="21" s="1"/>
  <c r="H136" i="21" s="1"/>
  <c r="H145" i="21" s="1"/>
  <c r="H154" i="21" s="1"/>
  <c r="H163" i="21" s="1"/>
  <c r="H173" i="21" s="1"/>
  <c r="I19" i="21"/>
  <c r="I28" i="21" s="1"/>
  <c r="I37" i="21" s="1"/>
  <c r="I46" i="21" s="1"/>
  <c r="I55" i="21" s="1"/>
  <c r="I64" i="21" s="1"/>
  <c r="I73" i="21" s="1"/>
  <c r="I82" i="21" s="1"/>
  <c r="I91" i="21" s="1"/>
  <c r="I100" i="21" s="1"/>
  <c r="I109" i="21" s="1"/>
  <c r="I118" i="21" s="1"/>
  <c r="I127" i="21" s="1"/>
  <c r="I136" i="21" s="1"/>
  <c r="I145" i="21" s="1"/>
  <c r="I154" i="21" s="1"/>
  <c r="I163" i="21" s="1"/>
  <c r="I173" i="21" s="1"/>
  <c r="J19" i="21"/>
  <c r="J28" i="21" s="1"/>
  <c r="J37" i="21" s="1"/>
  <c r="J46" i="21" s="1"/>
  <c r="J55" i="21" s="1"/>
  <c r="J64" i="21" s="1"/>
  <c r="J73" i="21" s="1"/>
  <c r="J82" i="21" s="1"/>
  <c r="J91" i="21" s="1"/>
  <c r="J100" i="21" s="1"/>
  <c r="J109" i="21" s="1"/>
  <c r="J118" i="21" s="1"/>
  <c r="J127" i="21" s="1"/>
  <c r="J136" i="21" s="1"/>
  <c r="J145" i="21" s="1"/>
  <c r="J154" i="21" s="1"/>
  <c r="J163" i="21" s="1"/>
  <c r="J173" i="21" s="1"/>
  <c r="K19" i="21"/>
  <c r="K28" i="21" s="1"/>
  <c r="K37" i="21" s="1"/>
  <c r="K46" i="21" s="1"/>
  <c r="K55" i="21" s="1"/>
  <c r="K64" i="21" s="1"/>
  <c r="K73" i="21" s="1"/>
  <c r="K82" i="21" s="1"/>
  <c r="K91" i="21" s="1"/>
  <c r="K100" i="21" s="1"/>
  <c r="K109" i="21" s="1"/>
  <c r="K118" i="21" s="1"/>
  <c r="K127" i="21" s="1"/>
  <c r="K136" i="21" s="1"/>
  <c r="K145" i="21" s="1"/>
  <c r="K154" i="21" s="1"/>
  <c r="K163" i="21" s="1"/>
  <c r="K173" i="21" s="1"/>
  <c r="L19" i="21"/>
  <c r="L28" i="21" s="1"/>
  <c r="L37" i="21" s="1"/>
  <c r="L46" i="21" s="1"/>
  <c r="L55" i="21" s="1"/>
  <c r="L64" i="21" s="1"/>
  <c r="L73" i="21" s="1"/>
  <c r="L82" i="21" s="1"/>
  <c r="L91" i="21" s="1"/>
  <c r="L100" i="21" s="1"/>
  <c r="L109" i="21" s="1"/>
  <c r="L118" i="21" s="1"/>
  <c r="L127" i="21" s="1"/>
  <c r="L136" i="21" s="1"/>
  <c r="L145" i="21" s="1"/>
  <c r="L154" i="21" s="1"/>
  <c r="L163" i="21" s="1"/>
  <c r="L173" i="21" s="1"/>
  <c r="M19" i="21"/>
  <c r="M28" i="21" s="1"/>
  <c r="M37" i="21" s="1"/>
  <c r="M46" i="21" s="1"/>
  <c r="M55" i="21" s="1"/>
  <c r="M64" i="21" s="1"/>
  <c r="M73" i="21" s="1"/>
  <c r="M82" i="21" s="1"/>
  <c r="M91" i="21" s="1"/>
  <c r="M100" i="21" s="1"/>
  <c r="M109" i="21" s="1"/>
  <c r="M118" i="21" s="1"/>
  <c r="M127" i="21" s="1"/>
  <c r="M136" i="21" s="1"/>
  <c r="M145" i="21" s="1"/>
  <c r="M154" i="21" s="1"/>
  <c r="M163" i="21" s="1"/>
  <c r="M173" i="21" s="1"/>
  <c r="N19" i="21"/>
  <c r="N28" i="21" s="1"/>
  <c r="N37" i="21" s="1"/>
  <c r="N46" i="21" s="1"/>
  <c r="N55" i="21" s="1"/>
  <c r="N64" i="21" s="1"/>
  <c r="N73" i="21" s="1"/>
  <c r="N82" i="21" s="1"/>
  <c r="N91" i="21" s="1"/>
  <c r="N100" i="21" s="1"/>
  <c r="N109" i="21" s="1"/>
  <c r="N118" i="21" s="1"/>
  <c r="N127" i="21" s="1"/>
  <c r="N136" i="21" s="1"/>
  <c r="N145" i="21" s="1"/>
  <c r="N154" i="21" s="1"/>
  <c r="N163" i="21" s="1"/>
  <c r="N173" i="21" s="1"/>
  <c r="O19" i="21"/>
  <c r="O28" i="21" s="1"/>
  <c r="O37" i="21" s="1"/>
  <c r="O46" i="21" s="1"/>
  <c r="O55" i="21" s="1"/>
  <c r="O64" i="21" s="1"/>
  <c r="O73" i="21" s="1"/>
  <c r="O82" i="21" s="1"/>
  <c r="O91" i="21" s="1"/>
  <c r="O100" i="21" s="1"/>
  <c r="O109" i="21" s="1"/>
  <c r="O118" i="21" s="1"/>
  <c r="O127" i="21" s="1"/>
  <c r="O136" i="21" s="1"/>
  <c r="O145" i="21" s="1"/>
  <c r="O154" i="21" s="1"/>
  <c r="O163" i="21" s="1"/>
  <c r="O173" i="21" s="1"/>
  <c r="P19" i="21"/>
  <c r="P28" i="21" s="1"/>
  <c r="P37" i="21" s="1"/>
  <c r="P46" i="21" s="1"/>
  <c r="P55" i="21" s="1"/>
  <c r="P64" i="21" s="1"/>
  <c r="P73" i="21" s="1"/>
  <c r="P82" i="21" s="1"/>
  <c r="P91" i="21" s="1"/>
  <c r="P100" i="21" s="1"/>
  <c r="P109" i="21" s="1"/>
  <c r="P118" i="21" s="1"/>
  <c r="P127" i="21" s="1"/>
  <c r="P136" i="21" s="1"/>
  <c r="P145" i="21" s="1"/>
  <c r="P154" i="21" s="1"/>
  <c r="P163" i="21" s="1"/>
  <c r="P173" i="21" s="1"/>
  <c r="Q19" i="21"/>
  <c r="Q28" i="21" s="1"/>
  <c r="Q37" i="21" s="1"/>
  <c r="Q46" i="21" s="1"/>
  <c r="Q55" i="21" s="1"/>
  <c r="Q64" i="21" s="1"/>
  <c r="Q73" i="21" s="1"/>
  <c r="Q82" i="21" s="1"/>
  <c r="Q91" i="21" s="1"/>
  <c r="Q100" i="21" s="1"/>
  <c r="Q109" i="21" s="1"/>
  <c r="Q118" i="21" s="1"/>
  <c r="Q127" i="21" s="1"/>
  <c r="Q136" i="21" s="1"/>
  <c r="Q145" i="21" s="1"/>
  <c r="Q154" i="21" s="1"/>
  <c r="Q163" i="21" s="1"/>
  <c r="Q173" i="21" s="1"/>
  <c r="R19" i="21"/>
  <c r="R28" i="21" s="1"/>
  <c r="R37" i="21" s="1"/>
  <c r="R46" i="21" s="1"/>
  <c r="R55" i="21" s="1"/>
  <c r="R64" i="21" s="1"/>
  <c r="R73" i="21" s="1"/>
  <c r="R82" i="21" s="1"/>
  <c r="R91" i="21" s="1"/>
  <c r="R100" i="21" s="1"/>
  <c r="R109" i="21" s="1"/>
  <c r="R118" i="21" s="1"/>
  <c r="R127" i="21" s="1"/>
  <c r="R136" i="21" s="1"/>
  <c r="R145" i="21" s="1"/>
  <c r="R154" i="21" s="1"/>
  <c r="R163" i="21" s="1"/>
  <c r="R173" i="21" s="1"/>
  <c r="S19" i="21"/>
  <c r="S28" i="21" s="1"/>
  <c r="S37" i="21" s="1"/>
  <c r="S46" i="21" s="1"/>
  <c r="S55" i="21" s="1"/>
  <c r="S64" i="21" s="1"/>
  <c r="S73" i="21" s="1"/>
  <c r="S82" i="21" s="1"/>
  <c r="S91" i="21" s="1"/>
  <c r="S100" i="21" s="1"/>
  <c r="S109" i="21" s="1"/>
  <c r="S118" i="21" s="1"/>
  <c r="S127" i="21" s="1"/>
  <c r="S136" i="21" s="1"/>
  <c r="S145" i="21" s="1"/>
  <c r="S154" i="21" s="1"/>
  <c r="S163" i="21" s="1"/>
  <c r="S173" i="21" s="1"/>
  <c r="T19" i="21"/>
  <c r="T28" i="21" s="1"/>
  <c r="T37" i="21" s="1"/>
  <c r="T46" i="21" s="1"/>
  <c r="T55" i="21" s="1"/>
  <c r="T64" i="21" s="1"/>
  <c r="C19" i="21"/>
  <c r="C28" i="21" s="1"/>
  <c r="C37" i="21" s="1"/>
  <c r="C46" i="21" s="1"/>
  <c r="C55" i="21" s="1"/>
  <c r="C64" i="21" s="1"/>
  <c r="C73" i="21" s="1"/>
  <c r="C82" i="21" s="1"/>
  <c r="C91" i="21" s="1"/>
  <c r="C100" i="21" s="1"/>
  <c r="C109" i="21" s="1"/>
  <c r="C118" i="21" s="1"/>
  <c r="C127" i="21" s="1"/>
  <c r="C136" i="21" s="1"/>
  <c r="C145" i="21" s="1"/>
  <c r="C154" i="21" s="1"/>
  <c r="C163" i="21" s="1"/>
  <c r="C173" i="21" s="1"/>
  <c r="D62" i="19"/>
  <c r="D61" i="19"/>
  <c r="D60" i="19"/>
  <c r="D59" i="19"/>
  <c r="D58" i="19"/>
  <c r="D56" i="19"/>
  <c r="D55" i="19"/>
  <c r="D54" i="19"/>
  <c r="D53" i="19"/>
  <c r="D52" i="19"/>
  <c r="D49" i="19"/>
  <c r="D48" i="19"/>
  <c r="D46" i="19"/>
  <c r="D45" i="19"/>
  <c r="D44" i="19"/>
  <c r="D43" i="19"/>
  <c r="D42" i="19"/>
  <c r="D41" i="19"/>
  <c r="D39" i="19"/>
  <c r="D38" i="19"/>
  <c r="D37" i="19"/>
  <c r="D36" i="19"/>
  <c r="D35" i="19"/>
  <c r="D34" i="19"/>
  <c r="D31" i="19"/>
  <c r="D30" i="19"/>
  <c r="D28" i="19"/>
  <c r="D27" i="19"/>
  <c r="D26" i="19"/>
  <c r="D25" i="19"/>
  <c r="D24" i="19"/>
  <c r="D22" i="19"/>
  <c r="D21" i="19"/>
  <c r="D20" i="19"/>
  <c r="D19" i="19"/>
  <c r="D18" i="19"/>
  <c r="D15" i="19"/>
  <c r="D14" i="19"/>
  <c r="D12" i="19"/>
  <c r="D11" i="19"/>
  <c r="C1" i="22"/>
  <c r="C10" i="22" s="1"/>
  <c r="D1" i="22"/>
  <c r="D10" i="22" s="1"/>
  <c r="E1" i="22"/>
  <c r="E10" i="22" s="1"/>
  <c r="F1" i="22"/>
  <c r="F10" i="22" s="1"/>
  <c r="G1" i="22"/>
  <c r="G10" i="22" s="1"/>
  <c r="H1" i="22"/>
  <c r="H10" i="22" s="1"/>
  <c r="I1" i="22"/>
  <c r="I10" i="22" s="1"/>
  <c r="J1" i="22"/>
  <c r="J10" i="22" s="1"/>
  <c r="K1" i="22"/>
  <c r="K10" i="22" s="1"/>
  <c r="L1" i="22"/>
  <c r="L10" i="22" s="1"/>
  <c r="M1" i="22"/>
  <c r="M10" i="22" s="1"/>
  <c r="N1" i="22"/>
  <c r="N10" i="22" s="1"/>
  <c r="O1" i="22"/>
  <c r="O10" i="22" s="1"/>
  <c r="P1" i="22"/>
  <c r="P10" i="22" s="1"/>
  <c r="Q1" i="22"/>
  <c r="Q10" i="22" s="1"/>
  <c r="R1" i="22"/>
  <c r="R10" i="22" s="1"/>
  <c r="S1" i="22"/>
  <c r="S10" i="22" s="1"/>
  <c r="T1" i="22"/>
  <c r="T10" i="22" s="1"/>
  <c r="B1" i="22"/>
  <c r="B10" i="22" s="1"/>
  <c r="B15" i="22"/>
  <c r="C15" i="20" s="1"/>
  <c r="C26" i="21"/>
  <c r="C35" i="21"/>
  <c r="D35" i="21"/>
  <c r="C44" i="21"/>
  <c r="D44" i="21"/>
  <c r="E44" i="21"/>
  <c r="C53" i="21"/>
  <c r="D53" i="21"/>
  <c r="E53" i="21"/>
  <c r="F53" i="21"/>
  <c r="C62" i="21"/>
  <c r="D62" i="21"/>
  <c r="E62" i="21"/>
  <c r="F62" i="21"/>
  <c r="G62" i="21"/>
  <c r="C71" i="21"/>
  <c r="D71" i="21"/>
  <c r="E71" i="21"/>
  <c r="F71" i="21"/>
  <c r="G71" i="21"/>
  <c r="H71" i="21"/>
  <c r="I71" i="21"/>
  <c r="J71" i="21"/>
  <c r="K71" i="21"/>
  <c r="L71" i="21"/>
  <c r="M71" i="21"/>
  <c r="N71" i="21"/>
  <c r="O71" i="21"/>
  <c r="P71" i="21"/>
  <c r="Q71" i="21"/>
  <c r="R71" i="21"/>
  <c r="S71" i="21"/>
  <c r="T71" i="21"/>
  <c r="U71" i="21"/>
  <c r="K83" i="21"/>
  <c r="L92" i="21" s="1"/>
  <c r="M101" i="21" s="1"/>
  <c r="N110" i="21" s="1"/>
  <c r="O119" i="21" s="1"/>
  <c r="P128" i="21" s="1"/>
  <c r="Q137" i="21" s="1"/>
  <c r="R146" i="21" s="1"/>
  <c r="K74" i="21"/>
  <c r="L83" i="21" s="1"/>
  <c r="L74" i="21"/>
  <c r="M74" i="21"/>
  <c r="N83" i="21" s="1"/>
  <c r="O92" i="21" s="1"/>
  <c r="P101" i="21" s="1"/>
  <c r="Q110" i="21" s="1"/>
  <c r="N74" i="21"/>
  <c r="O83" i="21" s="1"/>
  <c r="P92" i="21" s="1"/>
  <c r="Q101" i="21" s="1"/>
  <c r="O74" i="21"/>
  <c r="P83" i="21" s="1"/>
  <c r="Q92" i="21" s="1"/>
  <c r="R101" i="21" s="1"/>
  <c r="S110" i="21" s="1"/>
  <c r="T119" i="21" s="1"/>
  <c r="U128" i="21" s="1"/>
  <c r="P74" i="21"/>
  <c r="Q74" i="21"/>
  <c r="R74" i="21"/>
  <c r="S74" i="21"/>
  <c r="T83" i="21" s="1"/>
  <c r="U92" i="21" s="1"/>
  <c r="T74" i="21"/>
  <c r="U83" i="21" s="1"/>
  <c r="U74" i="21"/>
  <c r="J75" i="21"/>
  <c r="K84" i="21" s="1"/>
  <c r="L93" i="21" s="1"/>
  <c r="M102" i="21" s="1"/>
  <c r="K75" i="21"/>
  <c r="L84" i="21" s="1"/>
  <c r="M93" i="21" s="1"/>
  <c r="N102" i="21" s="1"/>
  <c r="O111" i="21" s="1"/>
  <c r="P120" i="21" s="1"/>
  <c r="Q129" i="21" s="1"/>
  <c r="R138" i="21" s="1"/>
  <c r="S147" i="21" s="1"/>
  <c r="T156" i="21" s="1"/>
  <c r="L75" i="21"/>
  <c r="M84" i="21" s="1"/>
  <c r="N93" i="21" s="1"/>
  <c r="O102" i="21" s="1"/>
  <c r="P111" i="21" s="1"/>
  <c r="Q120" i="21" s="1"/>
  <c r="M75" i="21"/>
  <c r="N84" i="21" s="1"/>
  <c r="N75" i="21"/>
  <c r="O84" i="21" s="1"/>
  <c r="P93" i="21" s="1"/>
  <c r="O75" i="21"/>
  <c r="P84" i="21" s="1"/>
  <c r="Q93" i="21" s="1"/>
  <c r="R102" i="21" s="1"/>
  <c r="P75" i="21"/>
  <c r="Q84" i="21" s="1"/>
  <c r="R93" i="21" s="1"/>
  <c r="S102" i="21" s="1"/>
  <c r="T111" i="21" s="1"/>
  <c r="U120" i="21" s="1"/>
  <c r="Q75" i="21"/>
  <c r="R84" i="21" s="1"/>
  <c r="S93" i="21" s="1"/>
  <c r="T102" i="21" s="1"/>
  <c r="U111" i="21" s="1"/>
  <c r="R75" i="21"/>
  <c r="S84" i="21" s="1"/>
  <c r="T93" i="21" s="1"/>
  <c r="U102" i="21" s="1"/>
  <c r="S75" i="21"/>
  <c r="T84" i="21" s="1"/>
  <c r="U93" i="21" s="1"/>
  <c r="T75" i="21"/>
  <c r="U84" i="21" s="1"/>
  <c r="U75" i="21"/>
  <c r="J76" i="21"/>
  <c r="K85" i="21" s="1"/>
  <c r="K76" i="21"/>
  <c r="L85" i="21" s="1"/>
  <c r="M94" i="21" s="1"/>
  <c r="N103" i="21" s="1"/>
  <c r="O112" i="21" s="1"/>
  <c r="P121" i="21" s="1"/>
  <c r="Q130" i="21" s="1"/>
  <c r="R139" i="21" s="1"/>
  <c r="S148" i="21" s="1"/>
  <c r="T157" i="21" s="1"/>
  <c r="L76" i="21"/>
  <c r="M85" i="21" s="1"/>
  <c r="N94" i="21" s="1"/>
  <c r="M76" i="21"/>
  <c r="N85" i="21" s="1"/>
  <c r="O94" i="21" s="1"/>
  <c r="P103" i="21" s="1"/>
  <c r="Q112" i="21" s="1"/>
  <c r="R121" i="21" s="1"/>
  <c r="S130" i="21" s="1"/>
  <c r="T139" i="21" s="1"/>
  <c r="U148" i="21" s="1"/>
  <c r="N76" i="21"/>
  <c r="O85" i="21" s="1"/>
  <c r="P94" i="21" s="1"/>
  <c r="Q103" i="21" s="1"/>
  <c r="R112" i="21" s="1"/>
  <c r="S121" i="21" s="1"/>
  <c r="T130" i="21" s="1"/>
  <c r="U139" i="21" s="1"/>
  <c r="O76" i="21"/>
  <c r="P85" i="21" s="1"/>
  <c r="Q94" i="21" s="1"/>
  <c r="R103" i="21" s="1"/>
  <c r="S112" i="21" s="1"/>
  <c r="T121" i="21" s="1"/>
  <c r="U130" i="21" s="1"/>
  <c r="P76" i="21"/>
  <c r="Q85" i="21" s="1"/>
  <c r="R94" i="21" s="1"/>
  <c r="S103" i="21" s="1"/>
  <c r="T112" i="21" s="1"/>
  <c r="U121" i="21" s="1"/>
  <c r="Q76" i="21"/>
  <c r="R85" i="21" s="1"/>
  <c r="S94" i="21" s="1"/>
  <c r="T103" i="21" s="1"/>
  <c r="U112" i="21" s="1"/>
  <c r="R76" i="21"/>
  <c r="S85" i="21" s="1"/>
  <c r="S76" i="21"/>
  <c r="T85" i="21" s="1"/>
  <c r="U94" i="21" s="1"/>
  <c r="T76" i="21"/>
  <c r="U85" i="21" s="1"/>
  <c r="U76" i="21"/>
  <c r="J77" i="21"/>
  <c r="K86" i="21" s="1"/>
  <c r="K77" i="21"/>
  <c r="L86" i="21" s="1"/>
  <c r="M95" i="21" s="1"/>
  <c r="N104" i="21" s="1"/>
  <c r="L77" i="21"/>
  <c r="M86" i="21" s="1"/>
  <c r="N95" i="21" s="1"/>
  <c r="O104" i="21" s="1"/>
  <c r="P113" i="21" s="1"/>
  <c r="Q122" i="21" s="1"/>
  <c r="R131" i="21" s="1"/>
  <c r="S140" i="21" s="1"/>
  <c r="T149" i="21" s="1"/>
  <c r="U158" i="21" s="1"/>
  <c r="M77" i="21"/>
  <c r="N86" i="21" s="1"/>
  <c r="O95" i="21" s="1"/>
  <c r="P104" i="21" s="1"/>
  <c r="Q113" i="21" s="1"/>
  <c r="R122" i="21" s="1"/>
  <c r="S131" i="21" s="1"/>
  <c r="T140" i="21" s="1"/>
  <c r="U149" i="21" s="1"/>
  <c r="N77" i="21"/>
  <c r="O86" i="21" s="1"/>
  <c r="P95" i="21" s="1"/>
  <c r="Q104" i="21" s="1"/>
  <c r="R113" i="21" s="1"/>
  <c r="S122" i="21" s="1"/>
  <c r="T131" i="21" s="1"/>
  <c r="U140" i="21" s="1"/>
  <c r="O77" i="21"/>
  <c r="P86" i="21" s="1"/>
  <c r="P77" i="21"/>
  <c r="Q77" i="21"/>
  <c r="R86" i="21" s="1"/>
  <c r="S95" i="21" s="1"/>
  <c r="T104" i="21" s="1"/>
  <c r="U113" i="21" s="1"/>
  <c r="R77" i="21"/>
  <c r="S86" i="21" s="1"/>
  <c r="T95" i="21" s="1"/>
  <c r="U104" i="21" s="1"/>
  <c r="S77" i="21"/>
  <c r="T86" i="21" s="1"/>
  <c r="U95" i="21" s="1"/>
  <c r="T77" i="21"/>
  <c r="U86" i="21" s="1"/>
  <c r="U77" i="21"/>
  <c r="J78" i="21"/>
  <c r="K87" i="21" s="1"/>
  <c r="L96" i="21" s="1"/>
  <c r="M105" i="21" s="1"/>
  <c r="N114" i="21" s="1"/>
  <c r="O123" i="21" s="1"/>
  <c r="P132" i="21" s="1"/>
  <c r="Q141" i="21" s="1"/>
  <c r="R150" i="21" s="1"/>
  <c r="S159" i="21" s="1"/>
  <c r="K78" i="21"/>
  <c r="L87" i="21" s="1"/>
  <c r="M96" i="21" s="1"/>
  <c r="N105" i="21" s="1"/>
  <c r="O114" i="21" s="1"/>
  <c r="P123" i="21" s="1"/>
  <c r="Q132" i="21" s="1"/>
  <c r="R141" i="21" s="1"/>
  <c r="S150" i="21" s="1"/>
  <c r="T159" i="21" s="1"/>
  <c r="L78" i="21"/>
  <c r="M78" i="21"/>
  <c r="N87" i="21" s="1"/>
  <c r="O96" i="21" s="1"/>
  <c r="P105" i="21" s="1"/>
  <c r="Q114" i="21" s="1"/>
  <c r="R123" i="21" s="1"/>
  <c r="S132" i="21" s="1"/>
  <c r="T141" i="21" s="1"/>
  <c r="U150" i="21" s="1"/>
  <c r="N78" i="21"/>
  <c r="O87" i="21" s="1"/>
  <c r="P96" i="21" s="1"/>
  <c r="Q105" i="21" s="1"/>
  <c r="R114" i="21" s="1"/>
  <c r="S123" i="21" s="1"/>
  <c r="T132" i="21" s="1"/>
  <c r="U141" i="21" s="1"/>
  <c r="O78" i="21"/>
  <c r="P87" i="21" s="1"/>
  <c r="Q96" i="21" s="1"/>
  <c r="R105" i="21" s="1"/>
  <c r="S114" i="21" s="1"/>
  <c r="T123" i="21" s="1"/>
  <c r="U132" i="21" s="1"/>
  <c r="P78" i="21"/>
  <c r="Q87" i="21" s="1"/>
  <c r="R96" i="21" s="1"/>
  <c r="Q78" i="21"/>
  <c r="R87" i="21" s="1"/>
  <c r="S96" i="21" s="1"/>
  <c r="T105" i="21" s="1"/>
  <c r="U114" i="21" s="1"/>
  <c r="R78" i="21"/>
  <c r="S87" i="21" s="1"/>
  <c r="T96" i="21" s="1"/>
  <c r="U105" i="21" s="1"/>
  <c r="S78" i="21"/>
  <c r="T87" i="21" s="1"/>
  <c r="U96" i="21" s="1"/>
  <c r="T78" i="21"/>
  <c r="U78" i="21"/>
  <c r="J79" i="21"/>
  <c r="K88" i="21" s="1"/>
  <c r="L97" i="21" s="1"/>
  <c r="M106" i="21" s="1"/>
  <c r="N115" i="21" s="1"/>
  <c r="O124" i="21" s="1"/>
  <c r="P133" i="21" s="1"/>
  <c r="Q142" i="21" s="1"/>
  <c r="R151" i="21" s="1"/>
  <c r="S160" i="21" s="1"/>
  <c r="K79" i="21"/>
  <c r="L88" i="21" s="1"/>
  <c r="M97" i="21" s="1"/>
  <c r="N106" i="21" s="1"/>
  <c r="O115" i="21" s="1"/>
  <c r="P124" i="21" s="1"/>
  <c r="Q133" i="21" s="1"/>
  <c r="R142" i="21" s="1"/>
  <c r="S151" i="21" s="1"/>
  <c r="T160" i="21" s="1"/>
  <c r="L79" i="21"/>
  <c r="M88" i="21" s="1"/>
  <c r="N97" i="21" s="1"/>
  <c r="O106" i="21" s="1"/>
  <c r="P115" i="21" s="1"/>
  <c r="Q124" i="21" s="1"/>
  <c r="R133" i="21" s="1"/>
  <c r="S142" i="21" s="1"/>
  <c r="T151" i="21" s="1"/>
  <c r="U160" i="21" s="1"/>
  <c r="M79" i="21"/>
  <c r="N88" i="21" s="1"/>
  <c r="O97" i="21" s="1"/>
  <c r="P106" i="21" s="1"/>
  <c r="Q115" i="21" s="1"/>
  <c r="R124" i="21" s="1"/>
  <c r="S133" i="21" s="1"/>
  <c r="T142" i="21" s="1"/>
  <c r="U151" i="21" s="1"/>
  <c r="N79" i="21"/>
  <c r="O88" i="21" s="1"/>
  <c r="P97" i="21" s="1"/>
  <c r="Q106" i="21" s="1"/>
  <c r="R115" i="21" s="1"/>
  <c r="S124" i="21" s="1"/>
  <c r="T133" i="21" s="1"/>
  <c r="U142" i="21" s="1"/>
  <c r="O79" i="21"/>
  <c r="P88" i="21" s="1"/>
  <c r="Q97" i="21" s="1"/>
  <c r="R106" i="21" s="1"/>
  <c r="S115" i="21" s="1"/>
  <c r="T124" i="21" s="1"/>
  <c r="U133" i="21" s="1"/>
  <c r="P79" i="21"/>
  <c r="Q79" i="21"/>
  <c r="R88" i="21" s="1"/>
  <c r="S97" i="21" s="1"/>
  <c r="T106" i="21" s="1"/>
  <c r="U115" i="21" s="1"/>
  <c r="R79" i="21"/>
  <c r="S88" i="21" s="1"/>
  <c r="T97" i="21" s="1"/>
  <c r="U106" i="21" s="1"/>
  <c r="S79" i="21"/>
  <c r="T88" i="21" s="1"/>
  <c r="U97" i="21" s="1"/>
  <c r="T79" i="21"/>
  <c r="U88" i="21" s="1"/>
  <c r="U79" i="21"/>
  <c r="C80" i="21"/>
  <c r="D80" i="21"/>
  <c r="E80" i="21"/>
  <c r="F80" i="21"/>
  <c r="G80" i="21"/>
  <c r="H80" i="21"/>
  <c r="I80" i="21"/>
  <c r="M83" i="21"/>
  <c r="N92" i="21" s="1"/>
  <c r="O101" i="21" s="1"/>
  <c r="P110" i="21" s="1"/>
  <c r="Q119" i="21" s="1"/>
  <c r="R128" i="21" s="1"/>
  <c r="Q86" i="21"/>
  <c r="R95" i="21" s="1"/>
  <c r="S104" i="21" s="1"/>
  <c r="T113" i="21" s="1"/>
  <c r="U122" i="21" s="1"/>
  <c r="M87" i="21"/>
  <c r="U87" i="21"/>
  <c r="Q88" i="21"/>
  <c r="R97" i="21" s="1"/>
  <c r="S106" i="21" s="1"/>
  <c r="T115" i="21" s="1"/>
  <c r="U124" i="21" s="1"/>
  <c r="C89" i="21"/>
  <c r="D89" i="21"/>
  <c r="E89" i="21"/>
  <c r="F89" i="21"/>
  <c r="G89" i="21"/>
  <c r="H89" i="21"/>
  <c r="I89" i="21"/>
  <c r="J89" i="21"/>
  <c r="C98" i="21"/>
  <c r="D98" i="21"/>
  <c r="E98" i="21"/>
  <c r="F98" i="21"/>
  <c r="G98" i="21"/>
  <c r="H98" i="21"/>
  <c r="I98" i="21"/>
  <c r="J98" i="21"/>
  <c r="K98" i="21"/>
  <c r="C107" i="21"/>
  <c r="D107" i="21"/>
  <c r="E107" i="21"/>
  <c r="F107" i="21"/>
  <c r="F180" i="21" s="1"/>
  <c r="G107" i="21"/>
  <c r="H107" i="21"/>
  <c r="I107" i="21"/>
  <c r="J107" i="21"/>
  <c r="J180" i="21" s="1"/>
  <c r="K107" i="21"/>
  <c r="L107" i="21"/>
  <c r="C116" i="21"/>
  <c r="D116" i="21"/>
  <c r="E116" i="21"/>
  <c r="F116" i="21"/>
  <c r="G116" i="21"/>
  <c r="H116" i="21"/>
  <c r="I116" i="21"/>
  <c r="J116" i="21"/>
  <c r="K116" i="21"/>
  <c r="L116" i="21"/>
  <c r="M116" i="21"/>
  <c r="C125" i="21"/>
  <c r="D125" i="21"/>
  <c r="E125" i="21"/>
  <c r="F125" i="21"/>
  <c r="G125" i="21"/>
  <c r="G181" i="21" s="1"/>
  <c r="H125" i="21"/>
  <c r="I125" i="21"/>
  <c r="J125" i="21"/>
  <c r="K125" i="21"/>
  <c r="L125" i="21"/>
  <c r="M125" i="21"/>
  <c r="N125" i="21"/>
  <c r="C134" i="21"/>
  <c r="D134" i="21"/>
  <c r="E134" i="21"/>
  <c r="F134" i="21"/>
  <c r="G134" i="21"/>
  <c r="H134" i="21"/>
  <c r="I134" i="21"/>
  <c r="J134" i="21"/>
  <c r="K134" i="21"/>
  <c r="L134" i="21"/>
  <c r="M134" i="21"/>
  <c r="N134" i="21"/>
  <c r="O134" i="21"/>
  <c r="C143" i="21"/>
  <c r="C182" i="21" s="1"/>
  <c r="D143" i="21"/>
  <c r="D182" i="21" s="1"/>
  <c r="E143" i="21"/>
  <c r="E182" i="21" s="1"/>
  <c r="F143" i="21"/>
  <c r="F182" i="21" s="1"/>
  <c r="G143" i="21"/>
  <c r="G182" i="21" s="1"/>
  <c r="H143" i="21"/>
  <c r="H182" i="21" s="1"/>
  <c r="I143" i="21"/>
  <c r="I182" i="21" s="1"/>
  <c r="J143" i="21"/>
  <c r="K143" i="21"/>
  <c r="K182" i="21" s="1"/>
  <c r="L143" i="21"/>
  <c r="L182" i="21" s="1"/>
  <c r="M143" i="21"/>
  <c r="M182" i="21" s="1"/>
  <c r="N143" i="21"/>
  <c r="N182" i="21" s="1"/>
  <c r="O143" i="21"/>
  <c r="O182" i="21" s="1"/>
  <c r="P143" i="21"/>
  <c r="P182" i="21" s="1"/>
  <c r="C161" i="21"/>
  <c r="C183" i="21" s="1"/>
  <c r="D161" i="21"/>
  <c r="D183" i="21" s="1"/>
  <c r="E161" i="21"/>
  <c r="E183" i="21" s="1"/>
  <c r="F161" i="21"/>
  <c r="F183" i="21" s="1"/>
  <c r="G161" i="21"/>
  <c r="G183" i="21" s="1"/>
  <c r="H161" i="21"/>
  <c r="H183" i="21" s="1"/>
  <c r="I161" i="21"/>
  <c r="I183" i="21" s="1"/>
  <c r="J161" i="21"/>
  <c r="J183" i="21" s="1"/>
  <c r="K161" i="21"/>
  <c r="K183" i="21" s="1"/>
  <c r="L161" i="21"/>
  <c r="L183" i="21" s="1"/>
  <c r="M161" i="21"/>
  <c r="M183" i="21" s="1"/>
  <c r="N161" i="21"/>
  <c r="N183" i="21" s="1"/>
  <c r="O161" i="21"/>
  <c r="O183" i="21" s="1"/>
  <c r="P161" i="21"/>
  <c r="P183" i="21" s="1"/>
  <c r="Q161" i="21"/>
  <c r="Q183" i="21" s="1"/>
  <c r="R161" i="21"/>
  <c r="R183" i="21" s="1"/>
  <c r="C35" i="20"/>
  <c r="C176" i="20" s="1"/>
  <c r="C44" i="20"/>
  <c r="D44" i="20"/>
  <c r="C53" i="20"/>
  <c r="D53" i="20"/>
  <c r="E53" i="20"/>
  <c r="C62" i="20"/>
  <c r="D62" i="20"/>
  <c r="E62" i="20"/>
  <c r="F62" i="20"/>
  <c r="C71" i="20"/>
  <c r="D71" i="20"/>
  <c r="E71" i="20"/>
  <c r="E178" i="20" s="1"/>
  <c r="F71" i="20"/>
  <c r="G71" i="20"/>
  <c r="C80" i="20"/>
  <c r="D80" i="20"/>
  <c r="E80" i="20"/>
  <c r="F80" i="20"/>
  <c r="G80" i="20"/>
  <c r="H80" i="20"/>
  <c r="C89" i="20"/>
  <c r="D89" i="20"/>
  <c r="E89" i="20"/>
  <c r="F89" i="20"/>
  <c r="G89" i="20"/>
  <c r="H89" i="20"/>
  <c r="I89" i="20"/>
  <c r="C98" i="20"/>
  <c r="D98" i="20"/>
  <c r="D179" i="20" s="1"/>
  <c r="E98" i="20"/>
  <c r="F98" i="20"/>
  <c r="G98" i="20"/>
  <c r="H98" i="20"/>
  <c r="I98" i="20"/>
  <c r="J98" i="20"/>
  <c r="C107" i="20"/>
  <c r="D107" i="20"/>
  <c r="E107" i="20"/>
  <c r="F107" i="20"/>
  <c r="G107" i="20"/>
  <c r="H107" i="20"/>
  <c r="I107" i="20"/>
  <c r="J107" i="20"/>
  <c r="K107" i="20"/>
  <c r="C125" i="20"/>
  <c r="C181" i="20" s="1"/>
  <c r="C134" i="20"/>
  <c r="D134" i="20"/>
  <c r="C143" i="20"/>
  <c r="D143" i="20"/>
  <c r="E143" i="20"/>
  <c r="C152" i="20"/>
  <c r="D152" i="20"/>
  <c r="E152" i="20"/>
  <c r="F152" i="20"/>
  <c r="C161" i="20"/>
  <c r="C183" i="20" s="1"/>
  <c r="D161" i="20"/>
  <c r="D183" i="20" s="1"/>
  <c r="E161" i="20"/>
  <c r="E183" i="20" s="1"/>
  <c r="F161" i="20"/>
  <c r="F183" i="20" s="1"/>
  <c r="G161" i="20"/>
  <c r="G183" i="20" s="1"/>
  <c r="G67" i="19"/>
  <c r="H67" i="19" s="1"/>
  <c r="I67" i="19" s="1"/>
  <c r="J67" i="19" s="1"/>
  <c r="K67" i="19" s="1"/>
  <c r="L67" i="19" s="1"/>
  <c r="M67" i="19" s="1"/>
  <c r="N67" i="19" s="1"/>
  <c r="O67" i="19" s="1"/>
  <c r="P67" i="19" s="1"/>
  <c r="Q67" i="19" s="1"/>
  <c r="R67" i="19" s="1"/>
  <c r="S67" i="19" s="1"/>
  <c r="T67" i="19" s="1"/>
  <c r="U67" i="19" s="1"/>
  <c r="V67" i="19" s="1"/>
  <c r="W67" i="19" s="1"/>
  <c r="X67" i="19" s="1"/>
  <c r="D110" i="19"/>
  <c r="D109" i="19"/>
  <c r="D107" i="19"/>
  <c r="D106" i="19"/>
  <c r="D105" i="19"/>
  <c r="D104" i="19"/>
  <c r="D103" i="19"/>
  <c r="D102" i="19"/>
  <c r="D100" i="19"/>
  <c r="D99" i="19"/>
  <c r="D98" i="19"/>
  <c r="D97" i="19"/>
  <c r="D96" i="19"/>
  <c r="D95" i="19"/>
  <c r="D92" i="19"/>
  <c r="D91" i="19"/>
  <c r="D89" i="19"/>
  <c r="D88" i="19"/>
  <c r="D87" i="19"/>
  <c r="D86" i="19"/>
  <c r="D85" i="19"/>
  <c r="D83" i="19"/>
  <c r="D82" i="19"/>
  <c r="D81" i="19"/>
  <c r="D80" i="19"/>
  <c r="D79" i="19"/>
  <c r="D76" i="19"/>
  <c r="D75" i="19"/>
  <c r="D73" i="19"/>
  <c r="D72" i="19"/>
  <c r="G5" i="19"/>
  <c r="H5" i="19" s="1"/>
  <c r="I5" i="19" s="1"/>
  <c r="J5" i="19" s="1"/>
  <c r="K5" i="19" s="1"/>
  <c r="L5" i="19" s="1"/>
  <c r="M5" i="19" s="1"/>
  <c r="N5" i="19" s="1"/>
  <c r="O5" i="19" s="1"/>
  <c r="P5" i="19" s="1"/>
  <c r="Q5" i="19" s="1"/>
  <c r="R5" i="19" s="1"/>
  <c r="S5" i="19" s="1"/>
  <c r="T5" i="19" s="1"/>
  <c r="U5" i="19" s="1"/>
  <c r="V5" i="19" s="1"/>
  <c r="W5" i="19" s="1"/>
  <c r="X5" i="19" s="1"/>
  <c r="U9" i="19"/>
  <c r="Q2" i="22" s="1"/>
  <c r="R11" i="21" s="1"/>
  <c r="V9" i="19"/>
  <c r="R2" i="22" s="1"/>
  <c r="S11" i="21" s="1"/>
  <c r="W9" i="19"/>
  <c r="S2" i="22" s="1"/>
  <c r="T11" i="21" s="1"/>
  <c r="X9" i="19"/>
  <c r="T2" i="22" s="1"/>
  <c r="U11" i="21" s="1"/>
  <c r="U16" i="19"/>
  <c r="Q3" i="22" s="1"/>
  <c r="R12" i="21" s="1"/>
  <c r="V16" i="19"/>
  <c r="R3" i="22" s="1"/>
  <c r="S12" i="21" s="1"/>
  <c r="W16" i="19"/>
  <c r="S3" i="22" s="1"/>
  <c r="T12" i="21" s="1"/>
  <c r="X16" i="19"/>
  <c r="T3" i="22" s="1"/>
  <c r="U12" i="21" s="1"/>
  <c r="F29" i="19"/>
  <c r="B4" i="22" s="1"/>
  <c r="C13" i="21" s="1"/>
  <c r="C166" i="21" s="1"/>
  <c r="F47" i="19"/>
  <c r="B6" i="22" s="1"/>
  <c r="C15" i="21" s="1"/>
  <c r="C168" i="21" s="1"/>
  <c r="V47" i="19"/>
  <c r="R6" i="22" s="1"/>
  <c r="S15" i="21" s="1"/>
  <c r="W47" i="19"/>
  <c r="S6" i="22" s="1"/>
  <c r="T15" i="21" s="1"/>
  <c r="X47" i="19"/>
  <c r="T6" i="22" s="1"/>
  <c r="U15" i="21" s="1"/>
  <c r="U50" i="19"/>
  <c r="Q7" i="22" s="1"/>
  <c r="R16" i="21" s="1"/>
  <c r="V50" i="19"/>
  <c r="R7" i="22" s="1"/>
  <c r="S16" i="21" s="1"/>
  <c r="W50" i="19"/>
  <c r="S7" i="22" s="1"/>
  <c r="T16" i="21" s="1"/>
  <c r="X50" i="19"/>
  <c r="T7" i="22" s="1"/>
  <c r="U16" i="21" s="1"/>
  <c r="G70" i="19"/>
  <c r="H70" i="19"/>
  <c r="D11" i="22" s="1"/>
  <c r="E11" i="20" s="1"/>
  <c r="I70" i="19"/>
  <c r="E11" i="22" s="1"/>
  <c r="F11" i="20" s="1"/>
  <c r="J70" i="19"/>
  <c r="F11" i="22" s="1"/>
  <c r="G11" i="20" s="1"/>
  <c r="K70" i="19"/>
  <c r="G11" i="22" s="1"/>
  <c r="H11" i="20" s="1"/>
  <c r="L70" i="19"/>
  <c r="H11" i="22" s="1"/>
  <c r="I11" i="20" s="1"/>
  <c r="M70" i="19"/>
  <c r="I11" i="22" s="1"/>
  <c r="J11" i="20" s="1"/>
  <c r="N70" i="19"/>
  <c r="J11" i="22" s="1"/>
  <c r="K11" i="20" s="1"/>
  <c r="O70" i="19"/>
  <c r="K11" i="22" s="1"/>
  <c r="L11" i="20" s="1"/>
  <c r="P70" i="19"/>
  <c r="L11" i="22" s="1"/>
  <c r="M11" i="20" s="1"/>
  <c r="Q70" i="19"/>
  <c r="M11" i="22" s="1"/>
  <c r="N11" i="20" s="1"/>
  <c r="R70" i="19"/>
  <c r="N11" i="22" s="1"/>
  <c r="O11" i="20" s="1"/>
  <c r="S70" i="19"/>
  <c r="O11" i="22" s="1"/>
  <c r="P11" i="20" s="1"/>
  <c r="T70" i="19"/>
  <c r="P11" i="22" s="1"/>
  <c r="Q11" i="20" s="1"/>
  <c r="U70" i="19"/>
  <c r="Q11" i="22" s="1"/>
  <c r="R11" i="20" s="1"/>
  <c r="V70" i="19"/>
  <c r="R11" i="22" s="1"/>
  <c r="S11" i="20" s="1"/>
  <c r="M77" i="19"/>
  <c r="I12" i="22" s="1"/>
  <c r="J12" i="20" s="1"/>
  <c r="N77" i="19"/>
  <c r="J12" i="22" s="1"/>
  <c r="K12" i="20" s="1"/>
  <c r="O77" i="19"/>
  <c r="K12" i="22" s="1"/>
  <c r="L12" i="20" s="1"/>
  <c r="P77" i="19"/>
  <c r="L12" i="22" s="1"/>
  <c r="M12" i="20" s="1"/>
  <c r="Q77" i="19"/>
  <c r="M12" i="22" s="1"/>
  <c r="N12" i="20" s="1"/>
  <c r="R77" i="19"/>
  <c r="N12" i="22" s="1"/>
  <c r="O12" i="20" s="1"/>
  <c r="S77" i="19"/>
  <c r="O12" i="22" s="1"/>
  <c r="P12" i="20" s="1"/>
  <c r="T77" i="19"/>
  <c r="P12" i="22" s="1"/>
  <c r="Q12" i="20" s="1"/>
  <c r="U77" i="19"/>
  <c r="Q12" i="22" s="1"/>
  <c r="R12" i="20" s="1"/>
  <c r="V77" i="19"/>
  <c r="R12" i="22" s="1"/>
  <c r="S12" i="20" s="1"/>
  <c r="F90" i="19"/>
  <c r="B13" i="22" s="1"/>
  <c r="C13" i="20" s="1"/>
  <c r="N108" i="19"/>
  <c r="J15" i="22" s="1"/>
  <c r="K15" i="20" s="1"/>
  <c r="O108" i="19"/>
  <c r="K15" i="22" s="1"/>
  <c r="L15" i="20" s="1"/>
  <c r="P108" i="19"/>
  <c r="L15" i="22" s="1"/>
  <c r="M15" i="20" s="1"/>
  <c r="Q108" i="19"/>
  <c r="M15" i="22" s="1"/>
  <c r="N15" i="20" s="1"/>
  <c r="R108" i="19"/>
  <c r="N15" i="22" s="1"/>
  <c r="O15" i="20" s="1"/>
  <c r="S108" i="19"/>
  <c r="O15" i="22" s="1"/>
  <c r="P15" i="20" s="1"/>
  <c r="T108" i="19"/>
  <c r="P15" i="22" s="1"/>
  <c r="Q15" i="20" s="1"/>
  <c r="U108" i="19"/>
  <c r="Q15" i="22" s="1"/>
  <c r="R15" i="20" s="1"/>
  <c r="V108" i="19"/>
  <c r="R15" i="22" s="1"/>
  <c r="S15" i="20" s="1"/>
  <c r="M111" i="19"/>
  <c r="I16" i="22" s="1"/>
  <c r="J16" i="20" s="1"/>
  <c r="N111" i="19"/>
  <c r="J16" i="22" s="1"/>
  <c r="K16" i="20" s="1"/>
  <c r="O111" i="19"/>
  <c r="K16" i="22" s="1"/>
  <c r="L16" i="20" s="1"/>
  <c r="P111" i="19"/>
  <c r="L16" i="22" s="1"/>
  <c r="M16" i="20" s="1"/>
  <c r="Q111" i="19"/>
  <c r="M16" i="22" s="1"/>
  <c r="N16" i="20" s="1"/>
  <c r="R111" i="19"/>
  <c r="N16" i="22" s="1"/>
  <c r="O16" i="20" s="1"/>
  <c r="S111" i="19"/>
  <c r="O16" i="22" s="1"/>
  <c r="P16" i="20" s="1"/>
  <c r="T111" i="19"/>
  <c r="P16" i="22" s="1"/>
  <c r="Q16" i="20" s="1"/>
  <c r="U111" i="19"/>
  <c r="Q16" i="22" s="1"/>
  <c r="R16" i="20" s="1"/>
  <c r="K84" i="18"/>
  <c r="L84" i="18" s="1"/>
  <c r="M84" i="18" s="1"/>
  <c r="N84" i="18" s="1"/>
  <c r="O84" i="18" s="1"/>
  <c r="P84" i="18" s="1"/>
  <c r="Q84" i="18" s="1"/>
  <c r="R84" i="18" s="1"/>
  <c r="S84" i="18" s="1"/>
  <c r="T84" i="18" s="1"/>
  <c r="U84" i="18" s="1"/>
  <c r="V84" i="18" s="1"/>
  <c r="W84" i="18" s="1"/>
  <c r="X84" i="18" s="1"/>
  <c r="Y84" i="18" s="1"/>
  <c r="Z84" i="18" s="1"/>
  <c r="D121" i="19"/>
  <c r="D122" i="19"/>
  <c r="K87" i="18"/>
  <c r="L87" i="18" s="1"/>
  <c r="M87" i="18" s="1"/>
  <c r="N87" i="18" s="1"/>
  <c r="O87" i="18" s="1"/>
  <c r="P87" i="18" s="1"/>
  <c r="Q87" i="18" s="1"/>
  <c r="R87" i="18" s="1"/>
  <c r="S87" i="18" s="1"/>
  <c r="T87" i="18" s="1"/>
  <c r="U87" i="18" s="1"/>
  <c r="V87" i="18" s="1"/>
  <c r="W87" i="18" s="1"/>
  <c r="X87" i="18" s="1"/>
  <c r="Y87" i="18" s="1"/>
  <c r="Z87" i="18" s="1"/>
  <c r="K78" i="18"/>
  <c r="L78" i="18" s="1"/>
  <c r="M78" i="18" s="1"/>
  <c r="N78" i="18" s="1"/>
  <c r="O78" i="18" s="1"/>
  <c r="P78" i="18" s="1"/>
  <c r="Q78" i="18" s="1"/>
  <c r="R78" i="18" s="1"/>
  <c r="S78" i="18" s="1"/>
  <c r="T78" i="18" s="1"/>
  <c r="U78" i="18" s="1"/>
  <c r="V78" i="18" s="1"/>
  <c r="W78" i="18" s="1"/>
  <c r="X78" i="18" s="1"/>
  <c r="Y78" i="18" s="1"/>
  <c r="Z78" i="18" s="1"/>
  <c r="K79" i="18"/>
  <c r="L79" i="18" s="1"/>
  <c r="M79" i="18" s="1"/>
  <c r="N79" i="18" s="1"/>
  <c r="O79" i="18" s="1"/>
  <c r="P79" i="18" s="1"/>
  <c r="Q79" i="18" s="1"/>
  <c r="R79" i="18" s="1"/>
  <c r="S79" i="18" s="1"/>
  <c r="T79" i="18" s="1"/>
  <c r="U79" i="18" s="1"/>
  <c r="V79" i="18" s="1"/>
  <c r="W79" i="18" s="1"/>
  <c r="X79" i="18" s="1"/>
  <c r="Y79" i="18" s="1"/>
  <c r="Z79" i="18" s="1"/>
  <c r="D116" i="19"/>
  <c r="D117" i="19"/>
  <c r="L77" i="18"/>
  <c r="M77" i="18" s="1"/>
  <c r="N77" i="18" s="1"/>
  <c r="O77" i="18" s="1"/>
  <c r="P77" i="18" s="1"/>
  <c r="Q77" i="18" s="1"/>
  <c r="R77" i="18" s="1"/>
  <c r="S77" i="18" s="1"/>
  <c r="T77" i="18" s="1"/>
  <c r="U77" i="18" s="1"/>
  <c r="V77" i="18" s="1"/>
  <c r="W77" i="18" s="1"/>
  <c r="X77" i="18" s="1"/>
  <c r="Y77" i="18" s="1"/>
  <c r="Z77" i="18" s="1"/>
  <c r="K47" i="18"/>
  <c r="L47" i="18" s="1"/>
  <c r="M47" i="18" s="1"/>
  <c r="N47" i="18" s="1"/>
  <c r="O47" i="18" s="1"/>
  <c r="P47" i="18" s="1"/>
  <c r="Q47" i="18" s="1"/>
  <c r="R47" i="18" s="1"/>
  <c r="S47" i="18" s="1"/>
  <c r="T47" i="18" s="1"/>
  <c r="U47" i="18" s="1"/>
  <c r="V47" i="18" s="1"/>
  <c r="W47" i="18" s="1"/>
  <c r="X47" i="18" s="1"/>
  <c r="Y47" i="18" s="1"/>
  <c r="Z47" i="18" s="1"/>
  <c r="K28" i="18"/>
  <c r="L28" i="18" s="1"/>
  <c r="K29" i="18"/>
  <c r="L29" i="18" s="1"/>
  <c r="M29" i="18" s="1"/>
  <c r="N29" i="18" s="1"/>
  <c r="O29" i="18" s="1"/>
  <c r="P29" i="18" s="1"/>
  <c r="Q29" i="18" s="1"/>
  <c r="R29" i="18" s="1"/>
  <c r="S29" i="18" s="1"/>
  <c r="T29" i="18" s="1"/>
  <c r="U29" i="18" s="1"/>
  <c r="V29" i="18" s="1"/>
  <c r="W29" i="18" s="1"/>
  <c r="X29" i="18" s="1"/>
  <c r="Y29" i="18" s="1"/>
  <c r="Z29" i="18" s="1"/>
  <c r="K30" i="18"/>
  <c r="L30" i="18" s="1"/>
  <c r="M30" i="18" s="1"/>
  <c r="N30" i="18" s="1"/>
  <c r="O30" i="18" s="1"/>
  <c r="P30" i="18" s="1"/>
  <c r="Q30" i="18" s="1"/>
  <c r="R30" i="18" s="1"/>
  <c r="S30" i="18" s="1"/>
  <c r="T30" i="18" s="1"/>
  <c r="U30" i="18" s="1"/>
  <c r="V30" i="18" s="1"/>
  <c r="W30" i="18" s="1"/>
  <c r="X30" i="18" s="1"/>
  <c r="Y30" i="18" s="1"/>
  <c r="Z30" i="18" s="1"/>
  <c r="K19" i="18"/>
  <c r="L19" i="18" s="1"/>
  <c r="M19" i="18" s="1"/>
  <c r="N19" i="18" s="1"/>
  <c r="O19" i="18" s="1"/>
  <c r="P19" i="18" s="1"/>
  <c r="Q19" i="18" s="1"/>
  <c r="R19" i="18" s="1"/>
  <c r="S19" i="18" s="1"/>
  <c r="T19" i="18" s="1"/>
  <c r="U19" i="18" s="1"/>
  <c r="V19" i="18" s="1"/>
  <c r="W19" i="18" s="1"/>
  <c r="X19" i="18" s="1"/>
  <c r="Y19" i="18" s="1"/>
  <c r="Z19" i="18" s="1"/>
  <c r="E75" i="18"/>
  <c r="E82" i="18" s="1"/>
  <c r="C75" i="18"/>
  <c r="C76" i="18" s="1"/>
  <c r="C51" i="19" s="1"/>
  <c r="K74" i="18"/>
  <c r="L74" i="18" s="1"/>
  <c r="M74" i="18" s="1"/>
  <c r="N74" i="18" s="1"/>
  <c r="O74" i="18" s="1"/>
  <c r="P74" i="18" s="1"/>
  <c r="Q74" i="18" s="1"/>
  <c r="R74" i="18" s="1"/>
  <c r="S74" i="18" s="1"/>
  <c r="T74" i="18" s="1"/>
  <c r="U74" i="18" s="1"/>
  <c r="V74" i="18" s="1"/>
  <c r="W74" i="18" s="1"/>
  <c r="X74" i="18" s="1"/>
  <c r="Y74" i="18" s="1"/>
  <c r="Z74" i="18" s="1"/>
  <c r="K73" i="18"/>
  <c r="L73" i="18" s="1"/>
  <c r="M73" i="18" s="1"/>
  <c r="N73" i="18" s="1"/>
  <c r="O73" i="18" s="1"/>
  <c r="P73" i="18" s="1"/>
  <c r="Q73" i="18" s="1"/>
  <c r="R73" i="18" s="1"/>
  <c r="S73" i="18" s="1"/>
  <c r="T73" i="18" s="1"/>
  <c r="U73" i="18" s="1"/>
  <c r="V73" i="18" s="1"/>
  <c r="W73" i="18" s="1"/>
  <c r="X73" i="18" s="1"/>
  <c r="Y73" i="18" s="1"/>
  <c r="Z73" i="18" s="1"/>
  <c r="K72" i="18"/>
  <c r="L72" i="18" s="1"/>
  <c r="M72" i="18" s="1"/>
  <c r="N72" i="18" s="1"/>
  <c r="O72" i="18" s="1"/>
  <c r="P72" i="18" s="1"/>
  <c r="Q72" i="18" s="1"/>
  <c r="R72" i="18" s="1"/>
  <c r="S72" i="18" s="1"/>
  <c r="T72" i="18" s="1"/>
  <c r="U72" i="18" s="1"/>
  <c r="V72" i="18" s="1"/>
  <c r="W72" i="18" s="1"/>
  <c r="X72" i="18" s="1"/>
  <c r="Y72" i="18" s="1"/>
  <c r="Z72" i="18" s="1"/>
  <c r="K71" i="18"/>
  <c r="L71" i="18" s="1"/>
  <c r="M71" i="18" s="1"/>
  <c r="N71" i="18" s="1"/>
  <c r="O71" i="18" s="1"/>
  <c r="P71" i="18" s="1"/>
  <c r="Q71" i="18" s="1"/>
  <c r="R71" i="18" s="1"/>
  <c r="S71" i="18" s="1"/>
  <c r="T71" i="18" s="1"/>
  <c r="U71" i="18" s="1"/>
  <c r="V71" i="18" s="1"/>
  <c r="W71" i="18" s="1"/>
  <c r="X71" i="18" s="1"/>
  <c r="Y71" i="18" s="1"/>
  <c r="Z71" i="18" s="1"/>
  <c r="K70" i="18"/>
  <c r="L70" i="18" s="1"/>
  <c r="M70" i="18" s="1"/>
  <c r="N70" i="18" s="1"/>
  <c r="O70" i="18" s="1"/>
  <c r="P70" i="18" s="1"/>
  <c r="Q70" i="18" s="1"/>
  <c r="R70" i="18" s="1"/>
  <c r="S70" i="18" s="1"/>
  <c r="T70" i="18" s="1"/>
  <c r="U70" i="18" s="1"/>
  <c r="V70" i="18" s="1"/>
  <c r="W70" i="18" s="1"/>
  <c r="X70" i="18" s="1"/>
  <c r="Y70" i="18" s="1"/>
  <c r="Z70" i="18" s="1"/>
  <c r="K69" i="18"/>
  <c r="L69" i="18" s="1"/>
  <c r="M69" i="18" s="1"/>
  <c r="N69" i="18" s="1"/>
  <c r="O69" i="18" s="1"/>
  <c r="P69" i="18" s="1"/>
  <c r="Q69" i="18" s="1"/>
  <c r="R69" i="18" s="1"/>
  <c r="S69" i="18" s="1"/>
  <c r="T69" i="18" s="1"/>
  <c r="U69" i="18" s="1"/>
  <c r="V69" i="18" s="1"/>
  <c r="W69" i="18" s="1"/>
  <c r="X69" i="18" s="1"/>
  <c r="Y69" i="18" s="1"/>
  <c r="Z69" i="18" s="1"/>
  <c r="K68" i="18"/>
  <c r="L68" i="18" s="1"/>
  <c r="M68" i="18" s="1"/>
  <c r="N68" i="18" s="1"/>
  <c r="O68" i="18" s="1"/>
  <c r="P68" i="18" s="1"/>
  <c r="Q68" i="18" s="1"/>
  <c r="R68" i="18" s="1"/>
  <c r="S68" i="18" s="1"/>
  <c r="T68" i="18" s="1"/>
  <c r="U68" i="18" s="1"/>
  <c r="V68" i="18" s="1"/>
  <c r="W68" i="18" s="1"/>
  <c r="X68" i="18" s="1"/>
  <c r="Y68" i="18" s="1"/>
  <c r="Z68" i="18" s="1"/>
  <c r="K66" i="18"/>
  <c r="L66" i="18" s="1"/>
  <c r="M66" i="18" s="1"/>
  <c r="N66" i="18" s="1"/>
  <c r="O66" i="18" s="1"/>
  <c r="P66" i="18" s="1"/>
  <c r="Q66" i="18" s="1"/>
  <c r="R66" i="18" s="1"/>
  <c r="S66" i="18" s="1"/>
  <c r="T66" i="18" s="1"/>
  <c r="U66" i="18" s="1"/>
  <c r="V66" i="18" s="1"/>
  <c r="W66" i="18" s="1"/>
  <c r="X66" i="18" s="1"/>
  <c r="Y66" i="18" s="1"/>
  <c r="Z66" i="18" s="1"/>
  <c r="K65" i="18"/>
  <c r="L65" i="18" s="1"/>
  <c r="M65" i="18" s="1"/>
  <c r="N65" i="18" s="1"/>
  <c r="O65" i="18" s="1"/>
  <c r="P65" i="18" s="1"/>
  <c r="Q65" i="18" s="1"/>
  <c r="R65" i="18" s="1"/>
  <c r="S65" i="18" s="1"/>
  <c r="T65" i="18" s="1"/>
  <c r="U65" i="18" s="1"/>
  <c r="V65" i="18" s="1"/>
  <c r="W65" i="18" s="1"/>
  <c r="X65" i="18" s="1"/>
  <c r="Y65" i="18" s="1"/>
  <c r="Z65" i="18" s="1"/>
  <c r="K64" i="18"/>
  <c r="L64" i="18" s="1"/>
  <c r="M64" i="18" s="1"/>
  <c r="N64" i="18" s="1"/>
  <c r="O64" i="18" s="1"/>
  <c r="P64" i="18" s="1"/>
  <c r="Q64" i="18" s="1"/>
  <c r="R64" i="18" s="1"/>
  <c r="S64" i="18" s="1"/>
  <c r="T64" i="18" s="1"/>
  <c r="U64" i="18" s="1"/>
  <c r="V64" i="18" s="1"/>
  <c r="W64" i="18" s="1"/>
  <c r="X64" i="18" s="1"/>
  <c r="Y64" i="18" s="1"/>
  <c r="Z64" i="18" s="1"/>
  <c r="K63" i="18"/>
  <c r="L63" i="18" s="1"/>
  <c r="M63" i="18" s="1"/>
  <c r="N63" i="18" s="1"/>
  <c r="O63" i="18" s="1"/>
  <c r="P63" i="18" s="1"/>
  <c r="Q63" i="18" s="1"/>
  <c r="R63" i="18" s="1"/>
  <c r="S63" i="18" s="1"/>
  <c r="T63" i="18" s="1"/>
  <c r="U63" i="18" s="1"/>
  <c r="V63" i="18" s="1"/>
  <c r="W63" i="18" s="1"/>
  <c r="X63" i="18" s="1"/>
  <c r="Y63" i="18" s="1"/>
  <c r="Z63" i="18" s="1"/>
  <c r="K62" i="18"/>
  <c r="L62" i="18" s="1"/>
  <c r="M62" i="18" s="1"/>
  <c r="N62" i="18" s="1"/>
  <c r="O62" i="18" s="1"/>
  <c r="P62" i="18" s="1"/>
  <c r="Q62" i="18" s="1"/>
  <c r="R62" i="18" s="1"/>
  <c r="S62" i="18" s="1"/>
  <c r="T62" i="18" s="1"/>
  <c r="U62" i="18" s="1"/>
  <c r="V62" i="18" s="1"/>
  <c r="W62" i="18" s="1"/>
  <c r="X62" i="18" s="1"/>
  <c r="Y62" i="18" s="1"/>
  <c r="Z62" i="18" s="1"/>
  <c r="K61" i="18"/>
  <c r="L61" i="18" s="1"/>
  <c r="M61" i="18" s="1"/>
  <c r="N61" i="18" s="1"/>
  <c r="O61" i="18" s="1"/>
  <c r="P61" i="18" s="1"/>
  <c r="Q61" i="18" s="1"/>
  <c r="R61" i="18" s="1"/>
  <c r="S61" i="18" s="1"/>
  <c r="T61" i="18" s="1"/>
  <c r="U61" i="18" s="1"/>
  <c r="V61" i="18" s="1"/>
  <c r="W61" i="18" s="1"/>
  <c r="X61" i="18" s="1"/>
  <c r="Y61" i="18" s="1"/>
  <c r="Z61" i="18" s="1"/>
  <c r="L60" i="18"/>
  <c r="M60" i="18" s="1"/>
  <c r="N60" i="18" s="1"/>
  <c r="O60" i="18" s="1"/>
  <c r="P60" i="18" s="1"/>
  <c r="Q60" i="18" s="1"/>
  <c r="R60" i="18" s="1"/>
  <c r="S60" i="18" s="1"/>
  <c r="T60" i="18" s="1"/>
  <c r="U60" i="18" s="1"/>
  <c r="V60" i="18" s="1"/>
  <c r="W60" i="18" s="1"/>
  <c r="X60" i="18" s="1"/>
  <c r="Y60" i="18" s="1"/>
  <c r="Z60" i="18" s="1"/>
  <c r="E58" i="18"/>
  <c r="E67" i="18" s="1"/>
  <c r="C58" i="18"/>
  <c r="C67" i="18" s="1"/>
  <c r="C110" i="19" s="1"/>
  <c r="K57" i="18"/>
  <c r="L57" i="18" s="1"/>
  <c r="M57" i="18" s="1"/>
  <c r="N57" i="18" s="1"/>
  <c r="O57" i="18" s="1"/>
  <c r="P57" i="18" s="1"/>
  <c r="Q57" i="18" s="1"/>
  <c r="R57" i="18" s="1"/>
  <c r="S57" i="18" s="1"/>
  <c r="T57" i="18" s="1"/>
  <c r="U57" i="18" s="1"/>
  <c r="V57" i="18" s="1"/>
  <c r="W57" i="18" s="1"/>
  <c r="X57" i="18" s="1"/>
  <c r="Y57" i="18" s="1"/>
  <c r="Z57" i="18" s="1"/>
  <c r="K56" i="18"/>
  <c r="L56" i="18" s="1"/>
  <c r="M56" i="18" s="1"/>
  <c r="N56" i="18" s="1"/>
  <c r="O56" i="18" s="1"/>
  <c r="P56" i="18" s="1"/>
  <c r="Q56" i="18" s="1"/>
  <c r="R56" i="18" s="1"/>
  <c r="S56" i="18" s="1"/>
  <c r="T56" i="18" s="1"/>
  <c r="U56" i="18" s="1"/>
  <c r="V56" i="18" s="1"/>
  <c r="W56" i="18" s="1"/>
  <c r="X56" i="18" s="1"/>
  <c r="Y56" i="18" s="1"/>
  <c r="Z56" i="18" s="1"/>
  <c r="K55" i="18"/>
  <c r="L55" i="18" s="1"/>
  <c r="M55" i="18" s="1"/>
  <c r="N55" i="18" s="1"/>
  <c r="O55" i="18" s="1"/>
  <c r="P55" i="18" s="1"/>
  <c r="Q55" i="18" s="1"/>
  <c r="R55" i="18" s="1"/>
  <c r="S55" i="18" s="1"/>
  <c r="T55" i="18" s="1"/>
  <c r="U55" i="18" s="1"/>
  <c r="V55" i="18" s="1"/>
  <c r="W55" i="18" s="1"/>
  <c r="X55" i="18" s="1"/>
  <c r="Y55" i="18" s="1"/>
  <c r="Z55" i="18" s="1"/>
  <c r="K54" i="18"/>
  <c r="L54" i="18" s="1"/>
  <c r="M54" i="18" s="1"/>
  <c r="N54" i="18" s="1"/>
  <c r="O54" i="18" s="1"/>
  <c r="P54" i="18" s="1"/>
  <c r="Q54" i="18" s="1"/>
  <c r="R54" i="18" s="1"/>
  <c r="S54" i="18" s="1"/>
  <c r="T54" i="18" s="1"/>
  <c r="U54" i="18" s="1"/>
  <c r="V54" i="18" s="1"/>
  <c r="W54" i="18" s="1"/>
  <c r="X54" i="18" s="1"/>
  <c r="Y54" i="18" s="1"/>
  <c r="Z54" i="18" s="1"/>
  <c r="K53" i="18"/>
  <c r="L53" i="18" s="1"/>
  <c r="M53" i="18" s="1"/>
  <c r="N53" i="18" s="1"/>
  <c r="O53" i="18" s="1"/>
  <c r="P53" i="18" s="1"/>
  <c r="Q53" i="18" s="1"/>
  <c r="R53" i="18" s="1"/>
  <c r="S53" i="18" s="1"/>
  <c r="T53" i="18" s="1"/>
  <c r="U53" i="18" s="1"/>
  <c r="V53" i="18" s="1"/>
  <c r="W53" i="18" s="1"/>
  <c r="X53" i="18" s="1"/>
  <c r="Y53" i="18" s="1"/>
  <c r="Z53" i="18" s="1"/>
  <c r="K52" i="18"/>
  <c r="L52" i="18" s="1"/>
  <c r="M52" i="18" s="1"/>
  <c r="N52" i="18" s="1"/>
  <c r="O52" i="18" s="1"/>
  <c r="P52" i="18" s="1"/>
  <c r="Q52" i="18" s="1"/>
  <c r="R52" i="18" s="1"/>
  <c r="S52" i="18" s="1"/>
  <c r="T52" i="18" s="1"/>
  <c r="U52" i="18" s="1"/>
  <c r="V52" i="18" s="1"/>
  <c r="W52" i="18" s="1"/>
  <c r="X52" i="18" s="1"/>
  <c r="Y52" i="18" s="1"/>
  <c r="Z52" i="18" s="1"/>
  <c r="K50" i="18"/>
  <c r="L50" i="18" s="1"/>
  <c r="M50" i="18" s="1"/>
  <c r="N50" i="18" s="1"/>
  <c r="O50" i="18" s="1"/>
  <c r="P50" i="18" s="1"/>
  <c r="Q50" i="18" s="1"/>
  <c r="R50" i="18" s="1"/>
  <c r="S50" i="18" s="1"/>
  <c r="T50" i="18" s="1"/>
  <c r="U50" i="18" s="1"/>
  <c r="V50" i="18" s="1"/>
  <c r="W50" i="18" s="1"/>
  <c r="X50" i="18" s="1"/>
  <c r="Y50" i="18" s="1"/>
  <c r="Z50" i="18" s="1"/>
  <c r="K49" i="18"/>
  <c r="L49" i="18" s="1"/>
  <c r="M49" i="18" s="1"/>
  <c r="N49" i="18" s="1"/>
  <c r="O49" i="18" s="1"/>
  <c r="P49" i="18" s="1"/>
  <c r="Q49" i="18" s="1"/>
  <c r="R49" i="18" s="1"/>
  <c r="S49" i="18" s="1"/>
  <c r="T49" i="18" s="1"/>
  <c r="U49" i="18" s="1"/>
  <c r="V49" i="18" s="1"/>
  <c r="W49" i="18" s="1"/>
  <c r="X49" i="18" s="1"/>
  <c r="Y49" i="18" s="1"/>
  <c r="Z49" i="18" s="1"/>
  <c r="K48" i="18"/>
  <c r="L48" i="18" s="1"/>
  <c r="M48" i="18" s="1"/>
  <c r="N48" i="18" s="1"/>
  <c r="O48" i="18" s="1"/>
  <c r="P48" i="18" s="1"/>
  <c r="Q48" i="18" s="1"/>
  <c r="R48" i="18" s="1"/>
  <c r="S48" i="18" s="1"/>
  <c r="T48" i="18" s="1"/>
  <c r="U48" i="18" s="1"/>
  <c r="V48" i="18" s="1"/>
  <c r="W48" i="18" s="1"/>
  <c r="X48" i="18" s="1"/>
  <c r="Y48" i="18" s="1"/>
  <c r="Z48" i="18" s="1"/>
  <c r="K46" i="18"/>
  <c r="L46" i="18" s="1"/>
  <c r="M46" i="18" s="1"/>
  <c r="N46" i="18" s="1"/>
  <c r="O46" i="18" s="1"/>
  <c r="P46" i="18" s="1"/>
  <c r="Q46" i="18" s="1"/>
  <c r="R46" i="18" s="1"/>
  <c r="S46" i="18" s="1"/>
  <c r="T46" i="18" s="1"/>
  <c r="U46" i="18" s="1"/>
  <c r="V46" i="18" s="1"/>
  <c r="W46" i="18" s="1"/>
  <c r="X46" i="18" s="1"/>
  <c r="Y46" i="18" s="1"/>
  <c r="Z46" i="18" s="1"/>
  <c r="K45" i="18"/>
  <c r="L45" i="18" s="1"/>
  <c r="M45" i="18" s="1"/>
  <c r="N45" i="18" s="1"/>
  <c r="O45" i="18" s="1"/>
  <c r="P45" i="18" s="1"/>
  <c r="Q45" i="18" s="1"/>
  <c r="R45" i="18" s="1"/>
  <c r="S45" i="18" s="1"/>
  <c r="T45" i="18" s="1"/>
  <c r="U45" i="18" s="1"/>
  <c r="V45" i="18" s="1"/>
  <c r="W45" i="18" s="1"/>
  <c r="X45" i="18" s="1"/>
  <c r="Y45" i="18" s="1"/>
  <c r="Z45" i="18" s="1"/>
  <c r="Q44" i="18"/>
  <c r="R44" i="18" s="1"/>
  <c r="S44" i="18" s="1"/>
  <c r="T44" i="18" s="1"/>
  <c r="U44" i="18" s="1"/>
  <c r="V44" i="18" s="1"/>
  <c r="W44" i="18" s="1"/>
  <c r="X44" i="18" s="1"/>
  <c r="Y44" i="18" s="1"/>
  <c r="Z44" i="18" s="1"/>
  <c r="E43" i="18"/>
  <c r="E51" i="18" s="1"/>
  <c r="E52" i="18" s="1"/>
  <c r="C43" i="18"/>
  <c r="C32" i="19" s="1"/>
  <c r="K42" i="18"/>
  <c r="L42" i="18" s="1"/>
  <c r="M42" i="18" s="1"/>
  <c r="N42" i="18" s="1"/>
  <c r="O42" i="18" s="1"/>
  <c r="P42" i="18" s="1"/>
  <c r="Q42" i="18" s="1"/>
  <c r="R42" i="18" s="1"/>
  <c r="S42" i="18" s="1"/>
  <c r="T42" i="18" s="1"/>
  <c r="U42" i="18" s="1"/>
  <c r="V42" i="18" s="1"/>
  <c r="W42" i="18" s="1"/>
  <c r="X42" i="18" s="1"/>
  <c r="Y42" i="18" s="1"/>
  <c r="Z42" i="18" s="1"/>
  <c r="K41" i="18"/>
  <c r="L41" i="18" s="1"/>
  <c r="M41" i="18" s="1"/>
  <c r="N41" i="18" s="1"/>
  <c r="O41" i="18" s="1"/>
  <c r="P41" i="18" s="1"/>
  <c r="Q41" i="18" s="1"/>
  <c r="R41" i="18" s="1"/>
  <c r="S41" i="18" s="1"/>
  <c r="T41" i="18" s="1"/>
  <c r="U41" i="18" s="1"/>
  <c r="V41" i="18" s="1"/>
  <c r="W41" i="18" s="1"/>
  <c r="X41" i="18" s="1"/>
  <c r="Y41" i="18" s="1"/>
  <c r="Z41" i="18" s="1"/>
  <c r="K40" i="18"/>
  <c r="L40" i="18" s="1"/>
  <c r="M40" i="18" s="1"/>
  <c r="N40" i="18" s="1"/>
  <c r="O40" i="18" s="1"/>
  <c r="P40" i="18" s="1"/>
  <c r="Q40" i="18" s="1"/>
  <c r="R40" i="18" s="1"/>
  <c r="S40" i="18" s="1"/>
  <c r="T40" i="18" s="1"/>
  <c r="U40" i="18" s="1"/>
  <c r="V40" i="18" s="1"/>
  <c r="W40" i="18" s="1"/>
  <c r="X40" i="18" s="1"/>
  <c r="Y40" i="18" s="1"/>
  <c r="Z40" i="18" s="1"/>
  <c r="K39" i="18"/>
  <c r="L39" i="18" s="1"/>
  <c r="M39" i="18" s="1"/>
  <c r="N39" i="18" s="1"/>
  <c r="O39" i="18" s="1"/>
  <c r="P39" i="18" s="1"/>
  <c r="Q39" i="18" s="1"/>
  <c r="R39" i="18" s="1"/>
  <c r="S39" i="18" s="1"/>
  <c r="T39" i="18" s="1"/>
  <c r="U39" i="18" s="1"/>
  <c r="V39" i="18" s="1"/>
  <c r="W39" i="18" s="1"/>
  <c r="X39" i="18" s="1"/>
  <c r="Y39" i="18" s="1"/>
  <c r="Z39" i="18" s="1"/>
  <c r="K38" i="18"/>
  <c r="L38" i="18" s="1"/>
  <c r="M38" i="18" s="1"/>
  <c r="N38" i="18" s="1"/>
  <c r="O38" i="18" s="1"/>
  <c r="P38" i="18" s="1"/>
  <c r="Q38" i="18" s="1"/>
  <c r="R38" i="18" s="1"/>
  <c r="S38" i="18" s="1"/>
  <c r="T38" i="18" s="1"/>
  <c r="U38" i="18" s="1"/>
  <c r="V38" i="18" s="1"/>
  <c r="W38" i="18" s="1"/>
  <c r="X38" i="18" s="1"/>
  <c r="Y38" i="18" s="1"/>
  <c r="Z38" i="18" s="1"/>
  <c r="K37" i="18"/>
  <c r="L37" i="18" s="1"/>
  <c r="M37" i="18" s="1"/>
  <c r="N37" i="18" s="1"/>
  <c r="O37" i="18" s="1"/>
  <c r="P37" i="18" s="1"/>
  <c r="Q37" i="18" s="1"/>
  <c r="R37" i="18" s="1"/>
  <c r="S37" i="18" s="1"/>
  <c r="T37" i="18" s="1"/>
  <c r="U37" i="18" s="1"/>
  <c r="V37" i="18" s="1"/>
  <c r="W37" i="18" s="1"/>
  <c r="X37" i="18" s="1"/>
  <c r="Y37" i="18" s="1"/>
  <c r="Z37" i="18" s="1"/>
  <c r="K36" i="18"/>
  <c r="L36" i="18" s="1"/>
  <c r="M36" i="18" s="1"/>
  <c r="N36" i="18" s="1"/>
  <c r="O36" i="18" s="1"/>
  <c r="P36" i="18" s="1"/>
  <c r="Q36" i="18" s="1"/>
  <c r="R36" i="18" s="1"/>
  <c r="S36" i="18" s="1"/>
  <c r="T36" i="18" s="1"/>
  <c r="U36" i="18" s="1"/>
  <c r="V36" i="18" s="1"/>
  <c r="W36" i="18" s="1"/>
  <c r="X36" i="18" s="1"/>
  <c r="Y36" i="18" s="1"/>
  <c r="Z36" i="18" s="1"/>
  <c r="K34" i="18"/>
  <c r="L34" i="18" s="1"/>
  <c r="M34" i="18" s="1"/>
  <c r="N34" i="18" s="1"/>
  <c r="O34" i="18" s="1"/>
  <c r="P34" i="18" s="1"/>
  <c r="Q34" i="18" s="1"/>
  <c r="R34" i="18" s="1"/>
  <c r="S34" i="18" s="1"/>
  <c r="T34" i="18" s="1"/>
  <c r="U34" i="18" s="1"/>
  <c r="V34" i="18" s="1"/>
  <c r="W34" i="18" s="1"/>
  <c r="X34" i="18" s="1"/>
  <c r="Y34" i="18" s="1"/>
  <c r="Z34" i="18" s="1"/>
  <c r="K33" i="18"/>
  <c r="L33" i="18" s="1"/>
  <c r="M33" i="18" s="1"/>
  <c r="N33" i="18" s="1"/>
  <c r="O33" i="18" s="1"/>
  <c r="P33" i="18" s="1"/>
  <c r="Q33" i="18" s="1"/>
  <c r="R33" i="18" s="1"/>
  <c r="S33" i="18" s="1"/>
  <c r="T33" i="18" s="1"/>
  <c r="U33" i="18" s="1"/>
  <c r="V33" i="18" s="1"/>
  <c r="W33" i="18" s="1"/>
  <c r="X33" i="18" s="1"/>
  <c r="Y33" i="18" s="1"/>
  <c r="Z33" i="18" s="1"/>
  <c r="K32" i="18"/>
  <c r="L32" i="18" s="1"/>
  <c r="M32" i="18" s="1"/>
  <c r="N32" i="18" s="1"/>
  <c r="O32" i="18" s="1"/>
  <c r="P32" i="18" s="1"/>
  <c r="Q32" i="18" s="1"/>
  <c r="R32" i="18" s="1"/>
  <c r="S32" i="18" s="1"/>
  <c r="T32" i="18" s="1"/>
  <c r="U32" i="18" s="1"/>
  <c r="V32" i="18" s="1"/>
  <c r="W32" i="18" s="1"/>
  <c r="X32" i="18" s="1"/>
  <c r="Y32" i="18" s="1"/>
  <c r="Z32" i="18" s="1"/>
  <c r="K31" i="18"/>
  <c r="L31" i="18" s="1"/>
  <c r="M31" i="18" s="1"/>
  <c r="N31" i="18" s="1"/>
  <c r="O31" i="18" s="1"/>
  <c r="P31" i="18" s="1"/>
  <c r="Q31" i="18" s="1"/>
  <c r="R31" i="18" s="1"/>
  <c r="S31" i="18" s="1"/>
  <c r="T31" i="18" s="1"/>
  <c r="U31" i="18" s="1"/>
  <c r="V31" i="18" s="1"/>
  <c r="W31" i="18" s="1"/>
  <c r="X31" i="18" s="1"/>
  <c r="Y31" i="18" s="1"/>
  <c r="Z31" i="18" s="1"/>
  <c r="M28" i="18"/>
  <c r="N28" i="18" s="1"/>
  <c r="O28" i="18" s="1"/>
  <c r="P28" i="18" s="1"/>
  <c r="Q28" i="18" s="1"/>
  <c r="R28" i="18" s="1"/>
  <c r="S28" i="18" s="1"/>
  <c r="T28" i="18" s="1"/>
  <c r="U28" i="18" s="1"/>
  <c r="V28" i="18" s="1"/>
  <c r="W28" i="18" s="1"/>
  <c r="X28" i="18" s="1"/>
  <c r="Y28" i="18" s="1"/>
  <c r="Z28" i="18" s="1"/>
  <c r="E26" i="18"/>
  <c r="E27" i="18" s="1"/>
  <c r="C26" i="18"/>
  <c r="C35" i="18" s="1"/>
  <c r="C92" i="19" s="1"/>
  <c r="K25" i="18"/>
  <c r="L25" i="18" s="1"/>
  <c r="M25" i="18" s="1"/>
  <c r="N25" i="18" s="1"/>
  <c r="O25" i="18" s="1"/>
  <c r="P25" i="18" s="1"/>
  <c r="Q25" i="18" s="1"/>
  <c r="R25" i="18" s="1"/>
  <c r="S25" i="18" s="1"/>
  <c r="T25" i="18" s="1"/>
  <c r="U25" i="18" s="1"/>
  <c r="V25" i="18" s="1"/>
  <c r="W25" i="18" s="1"/>
  <c r="X25" i="18" s="1"/>
  <c r="Y25" i="18" s="1"/>
  <c r="Z25" i="18" s="1"/>
  <c r="K24" i="18"/>
  <c r="L24" i="18" s="1"/>
  <c r="M24" i="18" s="1"/>
  <c r="N24" i="18" s="1"/>
  <c r="O24" i="18" s="1"/>
  <c r="P24" i="18" s="1"/>
  <c r="Q24" i="18" s="1"/>
  <c r="R24" i="18" s="1"/>
  <c r="S24" i="18" s="1"/>
  <c r="T24" i="18" s="1"/>
  <c r="U24" i="18" s="1"/>
  <c r="V24" i="18" s="1"/>
  <c r="W24" i="18" s="1"/>
  <c r="X24" i="18" s="1"/>
  <c r="Y24" i="18" s="1"/>
  <c r="Z24" i="18" s="1"/>
  <c r="K23" i="18"/>
  <c r="L23" i="18" s="1"/>
  <c r="M23" i="18" s="1"/>
  <c r="N23" i="18" s="1"/>
  <c r="O23" i="18" s="1"/>
  <c r="P23" i="18" s="1"/>
  <c r="Q23" i="18" s="1"/>
  <c r="R23" i="18" s="1"/>
  <c r="S23" i="18" s="1"/>
  <c r="T23" i="18" s="1"/>
  <c r="U23" i="18" s="1"/>
  <c r="V23" i="18" s="1"/>
  <c r="W23" i="18" s="1"/>
  <c r="X23" i="18" s="1"/>
  <c r="Y23" i="18" s="1"/>
  <c r="Z23" i="18" s="1"/>
  <c r="K22" i="18"/>
  <c r="L22" i="18" s="1"/>
  <c r="M22" i="18" s="1"/>
  <c r="N22" i="18" s="1"/>
  <c r="O22" i="18" s="1"/>
  <c r="P22" i="18" s="1"/>
  <c r="Q22" i="18" s="1"/>
  <c r="R22" i="18" s="1"/>
  <c r="S22" i="18" s="1"/>
  <c r="T22" i="18" s="1"/>
  <c r="U22" i="18" s="1"/>
  <c r="V22" i="18" s="1"/>
  <c r="W22" i="18" s="1"/>
  <c r="X22" i="18" s="1"/>
  <c r="Y22" i="18" s="1"/>
  <c r="Z22" i="18" s="1"/>
  <c r="K21" i="18"/>
  <c r="L21" i="18" s="1"/>
  <c r="M21" i="18" s="1"/>
  <c r="N21" i="18" s="1"/>
  <c r="O21" i="18" s="1"/>
  <c r="P21" i="18" s="1"/>
  <c r="Q21" i="18" s="1"/>
  <c r="R21" i="18" s="1"/>
  <c r="S21" i="18" s="1"/>
  <c r="T21" i="18" s="1"/>
  <c r="U21" i="18" s="1"/>
  <c r="V21" i="18" s="1"/>
  <c r="W21" i="18" s="1"/>
  <c r="X21" i="18" s="1"/>
  <c r="Y21" i="18" s="1"/>
  <c r="Z21" i="18" s="1"/>
  <c r="K18" i="18"/>
  <c r="L18" i="18" s="1"/>
  <c r="M18" i="18" s="1"/>
  <c r="N18" i="18" s="1"/>
  <c r="O18" i="18" s="1"/>
  <c r="P18" i="18" s="1"/>
  <c r="Q18" i="18" s="1"/>
  <c r="R18" i="18" s="1"/>
  <c r="S18" i="18" s="1"/>
  <c r="T18" i="18" s="1"/>
  <c r="U18" i="18" s="1"/>
  <c r="V18" i="18" s="1"/>
  <c r="W18" i="18" s="1"/>
  <c r="X18" i="18" s="1"/>
  <c r="Y18" i="18" s="1"/>
  <c r="Z18" i="18" s="1"/>
  <c r="K17" i="18"/>
  <c r="L17" i="18" s="1"/>
  <c r="M17" i="18" s="1"/>
  <c r="N17" i="18" s="1"/>
  <c r="O17" i="18" s="1"/>
  <c r="P17" i="18" s="1"/>
  <c r="Q17" i="18" s="1"/>
  <c r="R17" i="18" s="1"/>
  <c r="S17" i="18" s="1"/>
  <c r="T17" i="18" s="1"/>
  <c r="U17" i="18" s="1"/>
  <c r="V17" i="18" s="1"/>
  <c r="W17" i="18" s="1"/>
  <c r="X17" i="18" s="1"/>
  <c r="Y17" i="18" s="1"/>
  <c r="Z17" i="18" s="1"/>
  <c r="K16" i="18"/>
  <c r="L16" i="18" s="1"/>
  <c r="M16" i="18" s="1"/>
  <c r="N16" i="18" s="1"/>
  <c r="O16" i="18" s="1"/>
  <c r="P16" i="18" s="1"/>
  <c r="Q16" i="18" s="1"/>
  <c r="R16" i="18" s="1"/>
  <c r="S16" i="18" s="1"/>
  <c r="T16" i="18" s="1"/>
  <c r="U16" i="18" s="1"/>
  <c r="V16" i="18" s="1"/>
  <c r="W16" i="18" s="1"/>
  <c r="X16" i="18" s="1"/>
  <c r="Y16" i="18" s="1"/>
  <c r="Z16" i="18" s="1"/>
  <c r="K15" i="18"/>
  <c r="L15" i="18" s="1"/>
  <c r="M15" i="18" s="1"/>
  <c r="N15" i="18" s="1"/>
  <c r="O15" i="18" s="1"/>
  <c r="P15" i="18" s="1"/>
  <c r="Q15" i="18" s="1"/>
  <c r="R15" i="18" s="1"/>
  <c r="S15" i="18" s="1"/>
  <c r="T15" i="18" s="1"/>
  <c r="U15" i="18" s="1"/>
  <c r="V15" i="18" s="1"/>
  <c r="W15" i="18" s="1"/>
  <c r="X15" i="18" s="1"/>
  <c r="Y15" i="18" s="1"/>
  <c r="Z15" i="18" s="1"/>
  <c r="E13" i="18"/>
  <c r="E20" i="18" s="1"/>
  <c r="E21" i="18" s="1"/>
  <c r="C13" i="18"/>
  <c r="K12" i="18"/>
  <c r="L12" i="18" s="1"/>
  <c r="M12" i="18" s="1"/>
  <c r="N12" i="18" s="1"/>
  <c r="O12" i="18" s="1"/>
  <c r="P12" i="18" s="1"/>
  <c r="Q12" i="18" s="1"/>
  <c r="R12" i="18" s="1"/>
  <c r="S12" i="18" s="1"/>
  <c r="T12" i="18" s="1"/>
  <c r="U12" i="18" s="1"/>
  <c r="V12" i="18" s="1"/>
  <c r="W12" i="18" s="1"/>
  <c r="X12" i="18" s="1"/>
  <c r="Y12" i="18" s="1"/>
  <c r="Z12" i="18" s="1"/>
  <c r="K11" i="18"/>
  <c r="L11" i="18" s="1"/>
  <c r="M11" i="18" s="1"/>
  <c r="N11" i="18" s="1"/>
  <c r="O11" i="18" s="1"/>
  <c r="P11" i="18" s="1"/>
  <c r="Q11" i="18" s="1"/>
  <c r="R11" i="18" s="1"/>
  <c r="S11" i="18" s="1"/>
  <c r="T11" i="18" s="1"/>
  <c r="U11" i="18" s="1"/>
  <c r="V11" i="18" s="1"/>
  <c r="W11" i="18" s="1"/>
  <c r="X11" i="18" s="1"/>
  <c r="Y11" i="18" s="1"/>
  <c r="Z11" i="18" s="1"/>
  <c r="K9" i="18"/>
  <c r="L9" i="18" s="1"/>
  <c r="M9" i="18" s="1"/>
  <c r="N9" i="18" s="1"/>
  <c r="O9" i="18" s="1"/>
  <c r="P9" i="18" s="1"/>
  <c r="Q9" i="18" s="1"/>
  <c r="R9" i="18" s="1"/>
  <c r="S9" i="18" s="1"/>
  <c r="T9" i="18" s="1"/>
  <c r="U9" i="18" s="1"/>
  <c r="V9" i="18" s="1"/>
  <c r="W9" i="18" s="1"/>
  <c r="X9" i="18" s="1"/>
  <c r="Y9" i="18" s="1"/>
  <c r="Z9" i="18" s="1"/>
  <c r="L8" i="18"/>
  <c r="M8" i="18" s="1"/>
  <c r="N8" i="18" s="1"/>
  <c r="O8" i="18" s="1"/>
  <c r="P8" i="18" s="1"/>
  <c r="Q8" i="18" s="1"/>
  <c r="R8" i="18" s="1"/>
  <c r="S8" i="18" s="1"/>
  <c r="T8" i="18" s="1"/>
  <c r="U8" i="18" s="1"/>
  <c r="V8" i="18" s="1"/>
  <c r="W8" i="18" s="1"/>
  <c r="X8" i="18" s="1"/>
  <c r="Y8" i="18" s="1"/>
  <c r="Z8" i="18" s="1"/>
  <c r="E6" i="18"/>
  <c r="E10" i="18" s="1"/>
  <c r="E11" i="18" s="1"/>
  <c r="C7" i="18"/>
  <c r="W87" i="2"/>
  <c r="Y60" i="2"/>
  <c r="Z60" i="2" s="1"/>
  <c r="W88" i="2"/>
  <c r="W86" i="2"/>
  <c r="F81" i="5" l="1"/>
  <c r="F76" i="5"/>
  <c r="H4" i="9"/>
  <c r="P4" i="10"/>
  <c r="AD4" i="10" s="1"/>
  <c r="AE4" i="10" s="1"/>
  <c r="AG4" i="10" s="1"/>
  <c r="H33" i="9"/>
  <c r="D119" i="19"/>
  <c r="K83" i="18"/>
  <c r="L83" i="18" s="1"/>
  <c r="M83" i="18" s="1"/>
  <c r="N83" i="18" s="1"/>
  <c r="O83" i="18" s="1"/>
  <c r="P83" i="18" s="1"/>
  <c r="Q83" i="18" s="1"/>
  <c r="R83" i="18" s="1"/>
  <c r="S83" i="18" s="1"/>
  <c r="T83" i="18" s="1"/>
  <c r="U83" i="18" s="1"/>
  <c r="V83" i="18" s="1"/>
  <c r="W83" i="18" s="1"/>
  <c r="X83" i="18" s="1"/>
  <c r="Y83" i="18" s="1"/>
  <c r="Z83" i="18" s="1"/>
  <c r="K86" i="18"/>
  <c r="L86" i="18" s="1"/>
  <c r="M86" i="18" s="1"/>
  <c r="N86" i="18" s="1"/>
  <c r="O86" i="18" s="1"/>
  <c r="P86" i="18" s="1"/>
  <c r="Q86" i="18" s="1"/>
  <c r="R86" i="18" s="1"/>
  <c r="S86" i="18" s="1"/>
  <c r="T86" i="18" s="1"/>
  <c r="U86" i="18" s="1"/>
  <c r="V86" i="18" s="1"/>
  <c r="W86" i="18" s="1"/>
  <c r="X86" i="18" s="1"/>
  <c r="Y86" i="18" s="1"/>
  <c r="Z86" i="18" s="1"/>
  <c r="C77" i="19"/>
  <c r="C14" i="18"/>
  <c r="C4" i="18"/>
  <c r="C9" i="18"/>
  <c r="C73" i="19" s="1"/>
  <c r="C8" i="18"/>
  <c r="I26" i="18"/>
  <c r="C4" i="20" s="1"/>
  <c r="D4" i="20" s="1"/>
  <c r="E4" i="20" s="1"/>
  <c r="F4" i="20" s="1"/>
  <c r="G4" i="20" s="1"/>
  <c r="H4" i="20" s="1"/>
  <c r="I4" i="20" s="1"/>
  <c r="J4" i="20" s="1"/>
  <c r="K4" i="20" s="1"/>
  <c r="L4" i="20" s="1"/>
  <c r="M4" i="20" s="1"/>
  <c r="N4" i="20" s="1"/>
  <c r="O4" i="20" s="1"/>
  <c r="P4" i="20" s="1"/>
  <c r="Q4" i="20" s="1"/>
  <c r="R4" i="20" s="1"/>
  <c r="S4" i="20" s="1"/>
  <c r="T4" i="20" s="1"/>
  <c r="U4" i="20" s="1"/>
  <c r="B3" i="20"/>
  <c r="B166" i="20" s="1"/>
  <c r="I59" i="18"/>
  <c r="B6" i="20" s="1"/>
  <c r="B169" i="20" s="1"/>
  <c r="C167" i="20"/>
  <c r="M151" i="7"/>
  <c r="D60" i="7"/>
  <c r="H60" i="7"/>
  <c r="I89" i="2"/>
  <c r="F179" i="20"/>
  <c r="L151" i="7"/>
  <c r="D63" i="7"/>
  <c r="H63" i="7"/>
  <c r="H62" i="7"/>
  <c r="H181" i="21"/>
  <c r="E180" i="21"/>
  <c r="F177" i="21"/>
  <c r="D61" i="7"/>
  <c r="H61" i="7"/>
  <c r="F60" i="7"/>
  <c r="D177" i="20"/>
  <c r="N150" i="7"/>
  <c r="N181" i="21"/>
  <c r="F181" i="21"/>
  <c r="F63" i="7"/>
  <c r="M150" i="7"/>
  <c r="L95" i="21"/>
  <c r="M104" i="21" s="1"/>
  <c r="N113" i="21" s="1"/>
  <c r="O122" i="21" s="1"/>
  <c r="P131" i="21" s="1"/>
  <c r="Q140" i="21" s="1"/>
  <c r="R149" i="21" s="1"/>
  <c r="S158" i="21" s="1"/>
  <c r="F62" i="7"/>
  <c r="C178" i="20"/>
  <c r="N151" i="7"/>
  <c r="L150" i="7"/>
  <c r="F61" i="7"/>
  <c r="D34" i="12"/>
  <c r="B31" i="10"/>
  <c r="D123" i="12"/>
  <c r="D153" i="12" s="1"/>
  <c r="B85" i="10"/>
  <c r="D60" i="12"/>
  <c r="D62" i="12"/>
  <c r="G60" i="1"/>
  <c r="D2" i="21"/>
  <c r="O21" i="20"/>
  <c r="P30" i="20" s="1"/>
  <c r="Q39" i="20" s="1"/>
  <c r="R48" i="20" s="1"/>
  <c r="S57" i="20" s="1"/>
  <c r="T66" i="20" s="1"/>
  <c r="U75" i="20" s="1"/>
  <c r="L25" i="20"/>
  <c r="M34" i="20" s="1"/>
  <c r="N43" i="20" s="1"/>
  <c r="O52" i="20" s="1"/>
  <c r="P61" i="20" s="1"/>
  <c r="Q70" i="20" s="1"/>
  <c r="R79" i="20" s="1"/>
  <c r="S88" i="20" s="1"/>
  <c r="T97" i="20" s="1"/>
  <c r="U106" i="20" s="1"/>
  <c r="N24" i="20"/>
  <c r="O33" i="20" s="1"/>
  <c r="P42" i="20" s="1"/>
  <c r="Q51" i="20" s="1"/>
  <c r="R60" i="20" s="1"/>
  <c r="S69" i="20" s="1"/>
  <c r="T78" i="20" s="1"/>
  <c r="U87" i="20" s="1"/>
  <c r="M24" i="20"/>
  <c r="N33" i="20" s="1"/>
  <c r="O42" i="20" s="1"/>
  <c r="P51" i="20" s="1"/>
  <c r="Q60" i="20" s="1"/>
  <c r="R69" i="20" s="1"/>
  <c r="S78" i="20" s="1"/>
  <c r="T87" i="20" s="1"/>
  <c r="U96" i="20" s="1"/>
  <c r="R25" i="20"/>
  <c r="S34" i="20" s="1"/>
  <c r="T43" i="20" s="1"/>
  <c r="U52" i="20" s="1"/>
  <c r="H20" i="20"/>
  <c r="I29" i="20" s="1"/>
  <c r="J38" i="20" s="1"/>
  <c r="K47" i="20" s="1"/>
  <c r="L56" i="20" s="1"/>
  <c r="M65" i="20" s="1"/>
  <c r="N74" i="20" s="1"/>
  <c r="O83" i="20" s="1"/>
  <c r="P92" i="20" s="1"/>
  <c r="Q101" i="20" s="1"/>
  <c r="R110" i="20" s="1"/>
  <c r="S119" i="20" s="1"/>
  <c r="T128" i="20" s="1"/>
  <c r="U137" i="20" s="1"/>
  <c r="S25" i="20"/>
  <c r="T34" i="20" s="1"/>
  <c r="U43" i="20" s="1"/>
  <c r="Q20" i="20"/>
  <c r="R29" i="20" s="1"/>
  <c r="S38" i="20" s="1"/>
  <c r="T47" i="20" s="1"/>
  <c r="U56" i="20" s="1"/>
  <c r="N21" i="20"/>
  <c r="O30" i="20" s="1"/>
  <c r="P39" i="20" s="1"/>
  <c r="Q48" i="20" s="1"/>
  <c r="R57" i="20" s="1"/>
  <c r="S66" i="20" s="1"/>
  <c r="T75" i="20" s="1"/>
  <c r="U84" i="20" s="1"/>
  <c r="Q25" i="20"/>
  <c r="R34" i="20" s="1"/>
  <c r="S43" i="20" s="1"/>
  <c r="T52" i="20" s="1"/>
  <c r="U61" i="20" s="1"/>
  <c r="S24" i="20"/>
  <c r="T33" i="20" s="1"/>
  <c r="U42" i="20" s="1"/>
  <c r="M21" i="20"/>
  <c r="N30" i="20" s="1"/>
  <c r="O39" i="20" s="1"/>
  <c r="P48" i="20" s="1"/>
  <c r="Q57" i="20" s="1"/>
  <c r="R66" i="20" s="1"/>
  <c r="S75" i="20" s="1"/>
  <c r="T84" i="20" s="1"/>
  <c r="U93" i="20" s="1"/>
  <c r="O20" i="20"/>
  <c r="P29" i="20" s="1"/>
  <c r="Q38" i="20" s="1"/>
  <c r="R47" i="20" s="1"/>
  <c r="S56" i="20" s="1"/>
  <c r="T65" i="20" s="1"/>
  <c r="U74" i="20" s="1"/>
  <c r="G20" i="20"/>
  <c r="H29" i="20" s="1"/>
  <c r="I38" i="20" s="1"/>
  <c r="J47" i="20" s="1"/>
  <c r="K56" i="20" s="1"/>
  <c r="L65" i="20" s="1"/>
  <c r="M74" i="20" s="1"/>
  <c r="N83" i="20" s="1"/>
  <c r="O92" i="20" s="1"/>
  <c r="P101" i="20" s="1"/>
  <c r="Q110" i="20" s="1"/>
  <c r="R119" i="20" s="1"/>
  <c r="S128" i="20" s="1"/>
  <c r="T137" i="20" s="1"/>
  <c r="U146" i="20" s="1"/>
  <c r="P25" i="20"/>
  <c r="Q34" i="20" s="1"/>
  <c r="R43" i="20" s="1"/>
  <c r="S52" i="20" s="1"/>
  <c r="T61" i="20" s="1"/>
  <c r="U70" i="20" s="1"/>
  <c r="R24" i="20"/>
  <c r="S33" i="20" s="1"/>
  <c r="T42" i="20" s="1"/>
  <c r="U51" i="20" s="1"/>
  <c r="T21" i="20"/>
  <c r="U30" i="20" s="1"/>
  <c r="L21" i="20"/>
  <c r="M30" i="20" s="1"/>
  <c r="N39" i="20" s="1"/>
  <c r="O48" i="20" s="1"/>
  <c r="P57" i="20" s="1"/>
  <c r="Q66" i="20" s="1"/>
  <c r="R75" i="20" s="1"/>
  <c r="S84" i="20" s="1"/>
  <c r="T93" i="20" s="1"/>
  <c r="U102" i="20" s="1"/>
  <c r="N20" i="20"/>
  <c r="O29" i="20" s="1"/>
  <c r="P38" i="20" s="1"/>
  <c r="Q47" i="20" s="1"/>
  <c r="R56" i="20" s="1"/>
  <c r="S65" i="20" s="1"/>
  <c r="T74" i="20" s="1"/>
  <c r="U83" i="20" s="1"/>
  <c r="F20" i="20"/>
  <c r="G29" i="20" s="1"/>
  <c r="H38" i="20" s="1"/>
  <c r="I47" i="20" s="1"/>
  <c r="J56" i="20" s="1"/>
  <c r="K65" i="20" s="1"/>
  <c r="L74" i="20" s="1"/>
  <c r="M83" i="20" s="1"/>
  <c r="N92" i="20" s="1"/>
  <c r="O101" i="20" s="1"/>
  <c r="P110" i="20" s="1"/>
  <c r="Q119" i="20" s="1"/>
  <c r="R128" i="20" s="1"/>
  <c r="S137" i="20" s="1"/>
  <c r="T146" i="20" s="1"/>
  <c r="U155" i="20" s="1"/>
  <c r="I20" i="20"/>
  <c r="J29" i="20" s="1"/>
  <c r="K38" i="20" s="1"/>
  <c r="L47" i="20" s="1"/>
  <c r="M56" i="20" s="1"/>
  <c r="N65" i="20" s="1"/>
  <c r="O74" i="20" s="1"/>
  <c r="P83" i="20" s="1"/>
  <c r="Q92" i="20" s="1"/>
  <c r="R101" i="20" s="1"/>
  <c r="S110" i="20" s="1"/>
  <c r="T119" i="20" s="1"/>
  <c r="U128" i="20" s="1"/>
  <c r="L24" i="20"/>
  <c r="M33" i="20" s="1"/>
  <c r="N42" i="20" s="1"/>
  <c r="O51" i="20" s="1"/>
  <c r="P60" i="20" s="1"/>
  <c r="Q69" i="20" s="1"/>
  <c r="R78" i="20" s="1"/>
  <c r="S87" i="20" s="1"/>
  <c r="T96" i="20" s="1"/>
  <c r="U105" i="20" s="1"/>
  <c r="K21" i="20"/>
  <c r="L30" i="20" s="1"/>
  <c r="M39" i="20" s="1"/>
  <c r="N48" i="20" s="1"/>
  <c r="O57" i="20" s="1"/>
  <c r="P66" i="20" s="1"/>
  <c r="Q75" i="20" s="1"/>
  <c r="R84" i="20" s="1"/>
  <c r="S93" i="20" s="1"/>
  <c r="T102" i="20" s="1"/>
  <c r="U111" i="20" s="1"/>
  <c r="K25" i="20"/>
  <c r="L34" i="20" s="1"/>
  <c r="M43" i="20" s="1"/>
  <c r="N52" i="20" s="1"/>
  <c r="O61" i="20" s="1"/>
  <c r="P70" i="20" s="1"/>
  <c r="Q79" i="20" s="1"/>
  <c r="R88" i="20" s="1"/>
  <c r="S97" i="20" s="1"/>
  <c r="T106" i="20" s="1"/>
  <c r="U115" i="20" s="1"/>
  <c r="T24" i="20"/>
  <c r="U33" i="20" s="1"/>
  <c r="P20" i="20"/>
  <c r="Q29" i="20" s="1"/>
  <c r="R38" i="20" s="1"/>
  <c r="S47" i="20" s="1"/>
  <c r="T56" i="20" s="1"/>
  <c r="U65" i="20" s="1"/>
  <c r="O25" i="20"/>
  <c r="P34" i="20" s="1"/>
  <c r="Q43" i="20" s="1"/>
  <c r="R52" i="20" s="1"/>
  <c r="S61" i="20" s="1"/>
  <c r="T70" i="20" s="1"/>
  <c r="U79" i="20" s="1"/>
  <c r="Q24" i="20"/>
  <c r="R33" i="20" s="1"/>
  <c r="S42" i="20" s="1"/>
  <c r="T51" i="20" s="1"/>
  <c r="U60" i="20" s="1"/>
  <c r="S21" i="20"/>
  <c r="T30" i="20" s="1"/>
  <c r="U39" i="20" s="1"/>
  <c r="M20" i="20"/>
  <c r="N29" i="20" s="1"/>
  <c r="O38" i="20" s="1"/>
  <c r="P47" i="20" s="1"/>
  <c r="Q56" i="20" s="1"/>
  <c r="R65" i="20" s="1"/>
  <c r="S74" i="20" s="1"/>
  <c r="T83" i="20" s="1"/>
  <c r="U92" i="20" s="1"/>
  <c r="R21" i="20"/>
  <c r="S30" i="20" s="1"/>
  <c r="T39" i="20" s="1"/>
  <c r="U48" i="20" s="1"/>
  <c r="T20" i="20"/>
  <c r="U29" i="20" s="1"/>
  <c r="L20" i="20"/>
  <c r="M29" i="20" s="1"/>
  <c r="N38" i="20" s="1"/>
  <c r="O47" i="20" s="1"/>
  <c r="P56" i="20" s="1"/>
  <c r="Q65" i="20" s="1"/>
  <c r="R74" i="20" s="1"/>
  <c r="S83" i="20" s="1"/>
  <c r="T92" i="20" s="1"/>
  <c r="U101" i="20" s="1"/>
  <c r="D22" i="20"/>
  <c r="E31" i="20" s="1"/>
  <c r="F40" i="20" s="1"/>
  <c r="G49" i="20" s="1"/>
  <c r="H58" i="20" s="1"/>
  <c r="I67" i="20" s="1"/>
  <c r="J76" i="20" s="1"/>
  <c r="K85" i="20" s="1"/>
  <c r="L94" i="20" s="1"/>
  <c r="M103" i="20" s="1"/>
  <c r="N112" i="20" s="1"/>
  <c r="O121" i="20" s="1"/>
  <c r="P130" i="20" s="1"/>
  <c r="Q139" i="20" s="1"/>
  <c r="R148" i="20" s="1"/>
  <c r="S157" i="20" s="1"/>
  <c r="Q21" i="20"/>
  <c r="R30" i="20" s="1"/>
  <c r="S39" i="20" s="1"/>
  <c r="T48" i="20" s="1"/>
  <c r="U57" i="20" s="1"/>
  <c r="D24" i="20"/>
  <c r="E33" i="20" s="1"/>
  <c r="F42" i="20" s="1"/>
  <c r="G51" i="20" s="1"/>
  <c r="H60" i="20" s="1"/>
  <c r="I69" i="20" s="1"/>
  <c r="J78" i="20" s="1"/>
  <c r="K87" i="20" s="1"/>
  <c r="L96" i="20" s="1"/>
  <c r="M105" i="20" s="1"/>
  <c r="N114" i="20" s="1"/>
  <c r="O123" i="20" s="1"/>
  <c r="P132" i="20" s="1"/>
  <c r="Q141" i="20" s="1"/>
  <c r="R150" i="20" s="1"/>
  <c r="S159" i="20" s="1"/>
  <c r="M25" i="20"/>
  <c r="N34" i="20" s="1"/>
  <c r="O43" i="20" s="1"/>
  <c r="P52" i="20" s="1"/>
  <c r="Q61" i="20" s="1"/>
  <c r="R70" i="20" s="1"/>
  <c r="S79" i="20" s="1"/>
  <c r="T88" i="20" s="1"/>
  <c r="U97" i="20" s="1"/>
  <c r="P21" i="20"/>
  <c r="Q30" i="20" s="1"/>
  <c r="R39" i="20" s="1"/>
  <c r="S48" i="20" s="1"/>
  <c r="T57" i="20" s="1"/>
  <c r="U66" i="20" s="1"/>
  <c r="J20" i="20"/>
  <c r="K29" i="20" s="1"/>
  <c r="L38" i="20" s="1"/>
  <c r="M47" i="20" s="1"/>
  <c r="N56" i="20" s="1"/>
  <c r="O65" i="20" s="1"/>
  <c r="P74" i="20" s="1"/>
  <c r="Q83" i="20" s="1"/>
  <c r="R92" i="20" s="1"/>
  <c r="S101" i="20" s="1"/>
  <c r="T110" i="20" s="1"/>
  <c r="U119" i="20" s="1"/>
  <c r="N25" i="20"/>
  <c r="O34" i="20" s="1"/>
  <c r="P43" i="20" s="1"/>
  <c r="Q52" i="20" s="1"/>
  <c r="R61" i="20" s="1"/>
  <c r="S70" i="20" s="1"/>
  <c r="T79" i="20" s="1"/>
  <c r="U88" i="20" s="1"/>
  <c r="O24" i="20"/>
  <c r="P33" i="20" s="1"/>
  <c r="Q42" i="20" s="1"/>
  <c r="R51" i="20" s="1"/>
  <c r="S60" i="20" s="1"/>
  <c r="T69" i="20" s="1"/>
  <c r="U78" i="20" s="1"/>
  <c r="R20" i="20"/>
  <c r="S29" i="20" s="1"/>
  <c r="T38" i="20" s="1"/>
  <c r="U47" i="20" s="1"/>
  <c r="C11" i="22"/>
  <c r="D11" i="20" s="1"/>
  <c r="S20" i="20"/>
  <c r="T29" i="20" s="1"/>
  <c r="U38" i="20" s="1"/>
  <c r="P24" i="20"/>
  <c r="Q33" i="20" s="1"/>
  <c r="R42" i="20" s="1"/>
  <c r="S51" i="20" s="1"/>
  <c r="T60" i="20" s="1"/>
  <c r="U69" i="20" s="1"/>
  <c r="K20" i="20"/>
  <c r="L29" i="20" s="1"/>
  <c r="M38" i="20" s="1"/>
  <c r="N47" i="20" s="1"/>
  <c r="O56" i="20" s="1"/>
  <c r="P65" i="20" s="1"/>
  <c r="Q74" i="20" s="1"/>
  <c r="R83" i="20" s="1"/>
  <c r="S92" i="20" s="1"/>
  <c r="T101" i="20" s="1"/>
  <c r="U110" i="20" s="1"/>
  <c r="H60" i="1"/>
  <c r="H33" i="1"/>
  <c r="F37" i="10"/>
  <c r="D35" i="12"/>
  <c r="D61" i="12"/>
  <c r="D33" i="12"/>
  <c r="E80" i="10"/>
  <c r="E40" i="10"/>
  <c r="E72" i="10"/>
  <c r="D63" i="12"/>
  <c r="E48" i="10"/>
  <c r="E64" i="10"/>
  <c r="F68" i="10"/>
  <c r="E45" i="10"/>
  <c r="E37" i="10"/>
  <c r="E79" i="10"/>
  <c r="E71" i="10"/>
  <c r="E63" i="10"/>
  <c r="E50" i="10"/>
  <c r="E42" i="10"/>
  <c r="F39" i="10"/>
  <c r="E78" i="10"/>
  <c r="E70" i="10"/>
  <c r="E62" i="10"/>
  <c r="F62" i="10"/>
  <c r="D81" i="10"/>
  <c r="E47" i="10"/>
  <c r="E39" i="10"/>
  <c r="F36" i="10"/>
  <c r="F63" i="10"/>
  <c r="E81" i="10"/>
  <c r="E52" i="10"/>
  <c r="E44" i="10"/>
  <c r="E36" i="10"/>
  <c r="E76" i="10"/>
  <c r="E68" i="10"/>
  <c r="F38" i="10"/>
  <c r="E46" i="10"/>
  <c r="E38" i="10"/>
  <c r="F35" i="10"/>
  <c r="F66" i="10"/>
  <c r="F40" i="10"/>
  <c r="D197" i="7"/>
  <c r="C177" i="20"/>
  <c r="C3" i="21"/>
  <c r="D3" i="21" s="1"/>
  <c r="E3" i="21" s="1"/>
  <c r="F3" i="21" s="1"/>
  <c r="G3" i="21" s="1"/>
  <c r="H3" i="21" s="1"/>
  <c r="I3" i="21" s="1"/>
  <c r="J3" i="21" s="1"/>
  <c r="K3" i="21" s="1"/>
  <c r="L3" i="21" s="1"/>
  <c r="M3" i="21" s="1"/>
  <c r="N3" i="21" s="1"/>
  <c r="O3" i="21" s="1"/>
  <c r="P3" i="21" s="1"/>
  <c r="R3" i="21" s="1"/>
  <c r="S3" i="21" s="1"/>
  <c r="T3" i="21" s="1"/>
  <c r="U3" i="21" s="1"/>
  <c r="G9" i="1"/>
  <c r="G10" i="1"/>
  <c r="V6" i="12"/>
  <c r="E178" i="21"/>
  <c r="J182" i="21"/>
  <c r="C182" i="20"/>
  <c r="C179" i="20"/>
  <c r="F178" i="20"/>
  <c r="K80" i="18"/>
  <c r="L80" i="18" s="1"/>
  <c r="M80" i="18" s="1"/>
  <c r="N80" i="18" s="1"/>
  <c r="O80" i="18" s="1"/>
  <c r="P80" i="18" s="1"/>
  <c r="Q80" i="18" s="1"/>
  <c r="R80" i="18" s="1"/>
  <c r="S80" i="18" s="1"/>
  <c r="T80" i="18" s="1"/>
  <c r="U80" i="18" s="1"/>
  <c r="V80" i="18" s="1"/>
  <c r="W80" i="18" s="1"/>
  <c r="X80" i="18" s="1"/>
  <c r="Y80" i="18" s="1"/>
  <c r="Z80" i="18" s="1"/>
  <c r="W108" i="19"/>
  <c r="S15" i="22" s="1"/>
  <c r="T15" i="20" s="1"/>
  <c r="E4" i="18"/>
  <c r="C27" i="18"/>
  <c r="C91" i="19" s="1"/>
  <c r="E53" i="18"/>
  <c r="C82" i="18"/>
  <c r="C87" i="18" s="1"/>
  <c r="C10" i="18"/>
  <c r="C11" i="18" s="1"/>
  <c r="E35" i="18"/>
  <c r="K81" i="18"/>
  <c r="L81" i="18" s="1"/>
  <c r="M81" i="18" s="1"/>
  <c r="N81" i="18" s="1"/>
  <c r="O81" i="18" s="1"/>
  <c r="P81" i="18" s="1"/>
  <c r="Q81" i="18" s="1"/>
  <c r="R81" i="18" s="1"/>
  <c r="S81" i="18" s="1"/>
  <c r="T81" i="18" s="1"/>
  <c r="U81" i="18" s="1"/>
  <c r="V81" i="18" s="1"/>
  <c r="W81" i="18" s="1"/>
  <c r="X81" i="18" s="1"/>
  <c r="Y81" i="18" s="1"/>
  <c r="Z81" i="18" s="1"/>
  <c r="E7" i="18"/>
  <c r="E9" i="18" s="1"/>
  <c r="E44" i="18"/>
  <c r="E48" i="18" s="1"/>
  <c r="E47" i="18"/>
  <c r="D115" i="19"/>
  <c r="E5" i="18"/>
  <c r="E76" i="18"/>
  <c r="E79" i="18" s="1"/>
  <c r="K85" i="18"/>
  <c r="L85" i="18" s="1"/>
  <c r="M85" i="18" s="1"/>
  <c r="N85" i="18" s="1"/>
  <c r="O85" i="18" s="1"/>
  <c r="P85" i="18" s="1"/>
  <c r="Q85" i="18" s="1"/>
  <c r="R85" i="18" s="1"/>
  <c r="S85" i="18" s="1"/>
  <c r="T85" i="18" s="1"/>
  <c r="U85" i="18" s="1"/>
  <c r="V85" i="18" s="1"/>
  <c r="W85" i="18" s="1"/>
  <c r="X85" i="18" s="1"/>
  <c r="Y85" i="18" s="1"/>
  <c r="Z85" i="18" s="1"/>
  <c r="C29" i="19"/>
  <c r="C93" i="19"/>
  <c r="C111" i="19"/>
  <c r="D120" i="19"/>
  <c r="C5" i="18"/>
  <c r="C112" i="19"/>
  <c r="E12" i="18"/>
  <c r="C31" i="19"/>
  <c r="G31" i="19" s="1"/>
  <c r="H31" i="19" s="1"/>
  <c r="I31" i="19" s="1"/>
  <c r="J31" i="19" s="1"/>
  <c r="K31" i="19" s="1"/>
  <c r="L31" i="19" s="1"/>
  <c r="M31" i="19" s="1"/>
  <c r="N31" i="19" s="1"/>
  <c r="O31" i="19" s="1"/>
  <c r="P31" i="19" s="1"/>
  <c r="Q31" i="19" s="1"/>
  <c r="R31" i="19" s="1"/>
  <c r="S31" i="19" s="1"/>
  <c r="T31" i="19" s="1"/>
  <c r="U31" i="19" s="1"/>
  <c r="V31" i="19" s="1"/>
  <c r="W31" i="19" s="1"/>
  <c r="X31" i="19" s="1"/>
  <c r="C47" i="19"/>
  <c r="C70" i="19"/>
  <c r="C16" i="19"/>
  <c r="C71" i="19"/>
  <c r="C90" i="19"/>
  <c r="C108" i="19"/>
  <c r="D113" i="19"/>
  <c r="C9" i="19"/>
  <c r="C49" i="19"/>
  <c r="G49" i="19" s="1"/>
  <c r="H49" i="19" s="1"/>
  <c r="I49" i="19" s="1"/>
  <c r="J49" i="19" s="1"/>
  <c r="K49" i="19" s="1"/>
  <c r="L49" i="19" s="1"/>
  <c r="M49" i="19" s="1"/>
  <c r="N49" i="19" s="1"/>
  <c r="O49" i="19" s="1"/>
  <c r="P49" i="19" s="1"/>
  <c r="Q49" i="19" s="1"/>
  <c r="R49" i="19" s="1"/>
  <c r="S49" i="19" s="1"/>
  <c r="T49" i="19" s="1"/>
  <c r="U49" i="19" s="1"/>
  <c r="C59" i="18"/>
  <c r="C10" i="19"/>
  <c r="C50" i="19"/>
  <c r="D114" i="19"/>
  <c r="D123" i="19"/>
  <c r="E177" i="20"/>
  <c r="E182" i="20"/>
  <c r="D182" i="20"/>
  <c r="I179" i="20"/>
  <c r="D178" i="20"/>
  <c r="H179" i="20"/>
  <c r="G179" i="20"/>
  <c r="E179" i="20"/>
  <c r="G178" i="20"/>
  <c r="E177" i="21"/>
  <c r="L180" i="21"/>
  <c r="D180" i="21"/>
  <c r="E179" i="21"/>
  <c r="D178" i="21"/>
  <c r="F179" i="21"/>
  <c r="K180" i="21"/>
  <c r="C180" i="21"/>
  <c r="D179" i="21"/>
  <c r="C178" i="21"/>
  <c r="D177" i="21"/>
  <c r="M181" i="21"/>
  <c r="E181" i="21"/>
  <c r="C179" i="21"/>
  <c r="C177" i="21"/>
  <c r="L181" i="21"/>
  <c r="D181" i="21"/>
  <c r="I180" i="21"/>
  <c r="J179" i="21"/>
  <c r="I178" i="21"/>
  <c r="K181" i="21"/>
  <c r="H180" i="21"/>
  <c r="I179" i="21"/>
  <c r="H178" i="21"/>
  <c r="J181" i="21"/>
  <c r="G180" i="21"/>
  <c r="H179" i="21"/>
  <c r="G178" i="21"/>
  <c r="I181" i="21"/>
  <c r="G179" i="21"/>
  <c r="F178" i="21"/>
  <c r="H89" i="2"/>
  <c r="D32" i="12"/>
  <c r="V32" i="12" s="1"/>
  <c r="V7" i="12"/>
  <c r="V4" i="12"/>
  <c r="H12" i="9"/>
  <c r="V5" i="12"/>
  <c r="K79" i="2"/>
  <c r="K89" i="2" s="1"/>
  <c r="H19" i="9"/>
  <c r="H11" i="9"/>
  <c r="H61" i="9"/>
  <c r="H78" i="9"/>
  <c r="H94" i="9"/>
  <c r="H26" i="9"/>
  <c r="H22" i="9"/>
  <c r="H18" i="9"/>
  <c r="H14" i="9"/>
  <c r="H10" i="9"/>
  <c r="H6" i="9"/>
  <c r="H55" i="9"/>
  <c r="H51" i="9"/>
  <c r="H47" i="9"/>
  <c r="H43" i="9"/>
  <c r="H39" i="9"/>
  <c r="H35" i="9"/>
  <c r="H70" i="9"/>
  <c r="H110" i="9"/>
  <c r="H102" i="9"/>
  <c r="H23" i="9"/>
  <c r="H15" i="9"/>
  <c r="H7" i="9"/>
  <c r="H52" i="9"/>
  <c r="H48" i="9"/>
  <c r="H44" i="9"/>
  <c r="H40" i="9"/>
  <c r="H36" i="9"/>
  <c r="H89" i="9"/>
  <c r="H24" i="9"/>
  <c r="H20" i="9"/>
  <c r="H16" i="9"/>
  <c r="H8" i="9"/>
  <c r="H53" i="9"/>
  <c r="H49" i="9"/>
  <c r="H45" i="9"/>
  <c r="H41" i="9"/>
  <c r="H37" i="9"/>
  <c r="H68" i="9"/>
  <c r="H64" i="9"/>
  <c r="H25" i="9"/>
  <c r="H21" i="9"/>
  <c r="H17" i="9"/>
  <c r="H13" i="9"/>
  <c r="H9" i="9"/>
  <c r="H5" i="9"/>
  <c r="H54" i="9"/>
  <c r="H50" i="9"/>
  <c r="H46" i="9"/>
  <c r="H42" i="9"/>
  <c r="H38" i="9"/>
  <c r="H34" i="9"/>
  <c r="H77" i="9"/>
  <c r="H74" i="9"/>
  <c r="H73" i="9"/>
  <c r="H69" i="9"/>
  <c r="H62" i="9"/>
  <c r="H107" i="9"/>
  <c r="H79" i="9"/>
  <c r="H66" i="9"/>
  <c r="H65" i="9"/>
  <c r="H99" i="9"/>
  <c r="H95" i="9"/>
  <c r="H108" i="9"/>
  <c r="H104" i="9"/>
  <c r="H91" i="9"/>
  <c r="H80" i="9"/>
  <c r="H75" i="9"/>
  <c r="H71" i="9"/>
  <c r="H105" i="9"/>
  <c r="H100" i="9"/>
  <c r="H96" i="9"/>
  <c r="H109" i="9"/>
  <c r="H106" i="9"/>
  <c r="H97" i="9"/>
  <c r="H92" i="9"/>
  <c r="H82" i="9"/>
  <c r="H81" i="9"/>
  <c r="H76" i="9"/>
  <c r="H72" i="9"/>
  <c r="H67" i="9"/>
  <c r="H63" i="9"/>
  <c r="H111" i="9"/>
  <c r="H101" i="9"/>
  <c r="H98" i="9"/>
  <c r="H83" i="9"/>
  <c r="H103" i="9"/>
  <c r="H93" i="9"/>
  <c r="H90" i="9"/>
  <c r="U37" i="21"/>
  <c r="U46" i="21" s="1"/>
  <c r="U55" i="21" s="1"/>
  <c r="U64" i="21" s="1"/>
  <c r="U73" i="21" s="1"/>
  <c r="U82" i="21" s="1"/>
  <c r="U91" i="21" s="1"/>
  <c r="U100" i="21" s="1"/>
  <c r="U109" i="21" s="1"/>
  <c r="U118" i="21" s="1"/>
  <c r="U127" i="21" s="1"/>
  <c r="U136" i="21" s="1"/>
  <c r="U145" i="21" s="1"/>
  <c r="U154" i="21" s="1"/>
  <c r="U163" i="21" s="1"/>
  <c r="U173" i="21" s="1"/>
  <c r="T73" i="21"/>
  <c r="T82" i="21" s="1"/>
  <c r="T91" i="21" s="1"/>
  <c r="T100" i="21" s="1"/>
  <c r="T109" i="21" s="1"/>
  <c r="T118" i="21" s="1"/>
  <c r="T127" i="21" s="1"/>
  <c r="T136" i="21" s="1"/>
  <c r="T145" i="21" s="1"/>
  <c r="T154" i="21" s="1"/>
  <c r="T163" i="21" s="1"/>
  <c r="T173" i="21" s="1"/>
  <c r="K80" i="21"/>
  <c r="K178" i="21" s="1"/>
  <c r="N80" i="21"/>
  <c r="N178" i="21" s="1"/>
  <c r="S80" i="21"/>
  <c r="S178" i="21" s="1"/>
  <c r="O80" i="21"/>
  <c r="O178" i="21" s="1"/>
  <c r="L80" i="21"/>
  <c r="L178" i="21" s="1"/>
  <c r="L89" i="21"/>
  <c r="R80" i="21"/>
  <c r="R178" i="21" s="1"/>
  <c r="J80" i="21"/>
  <c r="J178" i="21" s="1"/>
  <c r="P80" i="21"/>
  <c r="P178" i="21" s="1"/>
  <c r="F116" i="20"/>
  <c r="F180" i="20" s="1"/>
  <c r="J116" i="20"/>
  <c r="J180" i="20" s="1"/>
  <c r="H116" i="20"/>
  <c r="H180" i="20" s="1"/>
  <c r="L116" i="20"/>
  <c r="D116" i="20"/>
  <c r="D180" i="20" s="1"/>
  <c r="U98" i="21"/>
  <c r="O89" i="21"/>
  <c r="M92" i="21"/>
  <c r="N101" i="21" s="1"/>
  <c r="O110" i="21" s="1"/>
  <c r="S83" i="21"/>
  <c r="T92" i="21" s="1"/>
  <c r="U101" i="21" s="1"/>
  <c r="T80" i="21"/>
  <c r="T178" i="21" s="1"/>
  <c r="Q83" i="21"/>
  <c r="R92" i="21" s="1"/>
  <c r="S101" i="21" s="1"/>
  <c r="K125" i="20"/>
  <c r="G125" i="20"/>
  <c r="F125" i="20"/>
  <c r="I125" i="20"/>
  <c r="G116" i="20"/>
  <c r="G180" i="20" s="1"/>
  <c r="I116" i="20"/>
  <c r="I180" i="20" s="1"/>
  <c r="E116" i="20"/>
  <c r="E180" i="20" s="1"/>
  <c r="E125" i="20"/>
  <c r="K116" i="20"/>
  <c r="K180" i="20" s="1"/>
  <c r="C116" i="20"/>
  <c r="C180" i="20" s="1"/>
  <c r="M125" i="20"/>
  <c r="L94" i="21"/>
  <c r="K89" i="21"/>
  <c r="K179" i="21" s="1"/>
  <c r="O93" i="21"/>
  <c r="N89" i="21"/>
  <c r="S105" i="21"/>
  <c r="O113" i="21"/>
  <c r="P122" i="21" s="1"/>
  <c r="Q131" i="21" s="1"/>
  <c r="R140" i="21" s="1"/>
  <c r="S149" i="21" s="1"/>
  <c r="T158" i="21" s="1"/>
  <c r="S155" i="21"/>
  <c r="S137" i="21"/>
  <c r="S111" i="21"/>
  <c r="T120" i="21" s="1"/>
  <c r="T94" i="21"/>
  <c r="P98" i="21"/>
  <c r="Q102" i="21"/>
  <c r="R111" i="21" s="1"/>
  <c r="S120" i="21" s="1"/>
  <c r="T129" i="21" s="1"/>
  <c r="U138" i="21" s="1"/>
  <c r="M89" i="21"/>
  <c r="N96" i="21"/>
  <c r="O105" i="21" s="1"/>
  <c r="P114" i="21" s="1"/>
  <c r="Q123" i="21" s="1"/>
  <c r="R132" i="21" s="1"/>
  <c r="S141" i="21" s="1"/>
  <c r="T150" i="21" s="1"/>
  <c r="U159" i="21" s="1"/>
  <c r="Q95" i="21"/>
  <c r="U80" i="21"/>
  <c r="U178" i="21" s="1"/>
  <c r="M80" i="21"/>
  <c r="M178" i="21" s="1"/>
  <c r="R83" i="21"/>
  <c r="Q80" i="21"/>
  <c r="Q178" i="21" s="1"/>
  <c r="R129" i="21"/>
  <c r="S138" i="21" s="1"/>
  <c r="T147" i="21" s="1"/>
  <c r="U156" i="21" s="1"/>
  <c r="O103" i="21"/>
  <c r="N111" i="21"/>
  <c r="R110" i="21"/>
  <c r="R119" i="21"/>
  <c r="E24" i="18"/>
  <c r="E23" i="18"/>
  <c r="E25" i="18"/>
  <c r="E22" i="18"/>
  <c r="C51" i="18"/>
  <c r="C44" i="18"/>
  <c r="E57" i="18"/>
  <c r="G57" i="18" s="1"/>
  <c r="I57" i="18" s="1"/>
  <c r="E56" i="18"/>
  <c r="E55" i="18"/>
  <c r="E54" i="18"/>
  <c r="C20" i="18"/>
  <c r="C79" i="18"/>
  <c r="C81" i="18"/>
  <c r="C78" i="18"/>
  <c r="C80" i="18"/>
  <c r="C77" i="18"/>
  <c r="E87" i="18"/>
  <c r="G87" i="18" s="1"/>
  <c r="E84" i="18"/>
  <c r="E86" i="18"/>
  <c r="E83" i="18"/>
  <c r="E85" i="18"/>
  <c r="E14" i="18"/>
  <c r="E59" i="18"/>
  <c r="C6" i="20" l="1"/>
  <c r="D6" i="20" s="1"/>
  <c r="E6" i="20" s="1"/>
  <c r="F6" i="20" s="1"/>
  <c r="G6" i="20" s="1"/>
  <c r="H6" i="20" s="1"/>
  <c r="C169" i="20"/>
  <c r="C12" i="19"/>
  <c r="E50" i="18"/>
  <c r="G50" i="18" s="1"/>
  <c r="E45" i="18"/>
  <c r="E49" i="18"/>
  <c r="E46" i="18"/>
  <c r="I87" i="18"/>
  <c r="I75" i="18" s="1"/>
  <c r="B7" i="21"/>
  <c r="B5" i="21"/>
  <c r="I50" i="18"/>
  <c r="C57" i="19"/>
  <c r="C83" i="18"/>
  <c r="C86" i="18"/>
  <c r="C122" i="19" s="1"/>
  <c r="C84" i="18"/>
  <c r="C120" i="19" s="1"/>
  <c r="C30" i="19"/>
  <c r="G30" i="19" s="1"/>
  <c r="G29" i="19" s="1"/>
  <c r="C4" i="22" s="1"/>
  <c r="D13" i="21" s="1"/>
  <c r="C3" i="20"/>
  <c r="D3" i="20" s="1"/>
  <c r="E3" i="20" s="1"/>
  <c r="F3" i="20" s="1"/>
  <c r="G3" i="20" s="1"/>
  <c r="H3" i="20" s="1"/>
  <c r="I43" i="18"/>
  <c r="C5" i="20" s="1"/>
  <c r="G196" i="7"/>
  <c r="E94" i="7"/>
  <c r="N145" i="7"/>
  <c r="E91" i="7"/>
  <c r="E98" i="7"/>
  <c r="E109" i="7"/>
  <c r="N149" i="7"/>
  <c r="M146" i="7"/>
  <c r="M144" i="7"/>
  <c r="E93" i="7"/>
  <c r="M147" i="7"/>
  <c r="E96" i="7"/>
  <c r="N147" i="7"/>
  <c r="M149" i="7"/>
  <c r="E97" i="7"/>
  <c r="E107" i="7"/>
  <c r="E95" i="7"/>
  <c r="E106" i="7"/>
  <c r="E100" i="7"/>
  <c r="M145" i="7"/>
  <c r="M148" i="7"/>
  <c r="F12" i="19"/>
  <c r="G12" i="19" s="1"/>
  <c r="E108" i="7"/>
  <c r="E92" i="7"/>
  <c r="E104" i="7"/>
  <c r="L146" i="7"/>
  <c r="N146" i="7"/>
  <c r="L144" i="7"/>
  <c r="E102" i="7"/>
  <c r="E99" i="7"/>
  <c r="E101" i="7"/>
  <c r="L145" i="7"/>
  <c r="G195" i="7"/>
  <c r="N148" i="7"/>
  <c r="L148" i="7"/>
  <c r="E103" i="7"/>
  <c r="E105" i="7"/>
  <c r="L149" i="7"/>
  <c r="L147" i="7"/>
  <c r="E2" i="21"/>
  <c r="F2" i="21" s="1"/>
  <c r="G2" i="21" s="1"/>
  <c r="C7" i="19"/>
  <c r="U24" i="20"/>
  <c r="E20" i="20"/>
  <c r="G92" i="19"/>
  <c r="I60" i="1"/>
  <c r="I33" i="1"/>
  <c r="X108" i="19"/>
  <c r="T15" i="22" s="1"/>
  <c r="U15" i="20" s="1"/>
  <c r="H9" i="1"/>
  <c r="H10" i="1"/>
  <c r="H11" i="1"/>
  <c r="X70" i="19"/>
  <c r="T11" i="22" s="1"/>
  <c r="U11" i="20" s="1"/>
  <c r="C12" i="18"/>
  <c r="C76" i="19" s="1"/>
  <c r="C74" i="19"/>
  <c r="C13" i="19"/>
  <c r="E78" i="18"/>
  <c r="E8" i="18"/>
  <c r="C118" i="19"/>
  <c r="C85" i="18"/>
  <c r="W70" i="19"/>
  <c r="S11" i="22" s="1"/>
  <c r="T11" i="20" s="1"/>
  <c r="C68" i="19"/>
  <c r="C61" i="19"/>
  <c r="F61" i="19" s="1"/>
  <c r="C56" i="19"/>
  <c r="C117" i="19"/>
  <c r="C101" i="19"/>
  <c r="C40" i="19"/>
  <c r="W77" i="19"/>
  <c r="S12" i="22" s="1"/>
  <c r="T12" i="20" s="1"/>
  <c r="C23" i="19"/>
  <c r="C84" i="19"/>
  <c r="C55" i="19"/>
  <c r="F55" i="19" s="1"/>
  <c r="G55" i="19" s="1"/>
  <c r="H55" i="19" s="1"/>
  <c r="I55" i="19" s="1"/>
  <c r="J55" i="19" s="1"/>
  <c r="K55" i="19" s="1"/>
  <c r="L55" i="19" s="1"/>
  <c r="M55" i="19" s="1"/>
  <c r="N55" i="19" s="1"/>
  <c r="O55" i="19" s="1"/>
  <c r="P55" i="19" s="1"/>
  <c r="Q55" i="19" s="1"/>
  <c r="R55" i="19" s="1"/>
  <c r="S55" i="19" s="1"/>
  <c r="T55" i="19" s="1"/>
  <c r="C116" i="19"/>
  <c r="C114" i="19"/>
  <c r="C53" i="19"/>
  <c r="F53" i="19" s="1"/>
  <c r="G53" i="19" s="1"/>
  <c r="H53" i="19" s="1"/>
  <c r="I53" i="19" s="1"/>
  <c r="J53" i="19" s="1"/>
  <c r="K53" i="19" s="1"/>
  <c r="L53" i="19" s="1"/>
  <c r="M53" i="19" s="1"/>
  <c r="N53" i="19" s="1"/>
  <c r="O53" i="19" s="1"/>
  <c r="P53" i="19" s="1"/>
  <c r="Q53" i="19" s="1"/>
  <c r="R53" i="19" s="1"/>
  <c r="S53" i="19" s="1"/>
  <c r="T53" i="19" s="1"/>
  <c r="C33" i="19"/>
  <c r="C94" i="19"/>
  <c r="E77" i="18"/>
  <c r="C115" i="19"/>
  <c r="C54" i="19"/>
  <c r="F54" i="19" s="1"/>
  <c r="G54" i="19" s="1"/>
  <c r="H54" i="19" s="1"/>
  <c r="I54" i="19" s="1"/>
  <c r="J54" i="19" s="1"/>
  <c r="K54" i="19" s="1"/>
  <c r="L54" i="19" s="1"/>
  <c r="M54" i="19" s="1"/>
  <c r="N54" i="19" s="1"/>
  <c r="O54" i="19" s="1"/>
  <c r="P54" i="19" s="1"/>
  <c r="Q54" i="19" s="1"/>
  <c r="R54" i="19" s="1"/>
  <c r="S54" i="19" s="1"/>
  <c r="T54" i="19" s="1"/>
  <c r="C123" i="19"/>
  <c r="C62" i="19"/>
  <c r="E80" i="18"/>
  <c r="C119" i="19"/>
  <c r="C58" i="19"/>
  <c r="F58" i="19" s="1"/>
  <c r="G58" i="19" s="1"/>
  <c r="H58" i="19" s="1"/>
  <c r="I58" i="19" s="1"/>
  <c r="J58" i="19" s="1"/>
  <c r="K58" i="19" s="1"/>
  <c r="L58" i="19" s="1"/>
  <c r="M58" i="19" s="1"/>
  <c r="N58" i="19" s="1"/>
  <c r="O58" i="19" s="1"/>
  <c r="P58" i="19" s="1"/>
  <c r="Q58" i="19" s="1"/>
  <c r="R58" i="19" s="1"/>
  <c r="S58" i="19" s="1"/>
  <c r="T58" i="19" s="1"/>
  <c r="C52" i="19"/>
  <c r="F52" i="19" s="1"/>
  <c r="G52" i="19" s="1"/>
  <c r="H52" i="19" s="1"/>
  <c r="I52" i="19" s="1"/>
  <c r="J52" i="19" s="1"/>
  <c r="K52" i="19" s="1"/>
  <c r="L52" i="19" s="1"/>
  <c r="M52" i="19" s="1"/>
  <c r="N52" i="19" s="1"/>
  <c r="O52" i="19" s="1"/>
  <c r="P52" i="19" s="1"/>
  <c r="Q52" i="19" s="1"/>
  <c r="R52" i="19" s="1"/>
  <c r="S52" i="19" s="1"/>
  <c r="T52" i="19" s="1"/>
  <c r="C113" i="19"/>
  <c r="C11" i="19"/>
  <c r="F11" i="19" s="1"/>
  <c r="C72" i="19"/>
  <c r="C14" i="19"/>
  <c r="F14" i="19" s="1"/>
  <c r="C75" i="19"/>
  <c r="E81" i="18"/>
  <c r="C78" i="19"/>
  <c r="C17" i="19"/>
  <c r="C109" i="19"/>
  <c r="C48" i="19"/>
  <c r="G48" i="19" s="1"/>
  <c r="E88" i="7"/>
  <c r="E90" i="7"/>
  <c r="E87" i="7"/>
  <c r="E89" i="7"/>
  <c r="L79" i="2"/>
  <c r="L89" i="2" s="1"/>
  <c r="S89" i="21"/>
  <c r="T89" i="21"/>
  <c r="N107" i="21"/>
  <c r="M98" i="21"/>
  <c r="M179" i="21" s="1"/>
  <c r="N98" i="21"/>
  <c r="N179" i="21" s="1"/>
  <c r="P89" i="21"/>
  <c r="P179" i="21" s="1"/>
  <c r="U89" i="21"/>
  <c r="U179" i="21" s="1"/>
  <c r="Q107" i="21"/>
  <c r="R98" i="21"/>
  <c r="Q89" i="21"/>
  <c r="L134" i="20"/>
  <c r="H134" i="20"/>
  <c r="X77" i="19"/>
  <c r="T12" i="22" s="1"/>
  <c r="U12" i="20" s="1"/>
  <c r="T146" i="21"/>
  <c r="O98" i="21"/>
  <c r="O179" i="21" s="1"/>
  <c r="P102" i="21"/>
  <c r="O107" i="21"/>
  <c r="P112" i="21"/>
  <c r="M103" i="21"/>
  <c r="L98" i="21"/>
  <c r="L179" i="21" s="1"/>
  <c r="D125" i="20"/>
  <c r="D181" i="20" s="1"/>
  <c r="F134" i="20"/>
  <c r="F181" i="20" s="1"/>
  <c r="J134" i="20"/>
  <c r="G134" i="20"/>
  <c r="G181" i="20" s="1"/>
  <c r="J125" i="20"/>
  <c r="I143" i="20"/>
  <c r="M143" i="20"/>
  <c r="U103" i="21"/>
  <c r="T98" i="21"/>
  <c r="O116" i="21"/>
  <c r="L125" i="20"/>
  <c r="N152" i="20"/>
  <c r="O161" i="20"/>
  <c r="O183" i="20" s="1"/>
  <c r="P119" i="21"/>
  <c r="U129" i="21"/>
  <c r="S107" i="21"/>
  <c r="T110" i="21"/>
  <c r="H125" i="20"/>
  <c r="Q98" i="21"/>
  <c r="R104" i="21"/>
  <c r="N134" i="20"/>
  <c r="R116" i="21"/>
  <c r="S119" i="21"/>
  <c r="R89" i="21"/>
  <c r="S92" i="21"/>
  <c r="O120" i="21"/>
  <c r="T114" i="21"/>
  <c r="S128" i="21"/>
  <c r="H92" i="19"/>
  <c r="E49" i="19"/>
  <c r="E17" i="18"/>
  <c r="E19" i="18"/>
  <c r="E18" i="18"/>
  <c r="E16" i="18"/>
  <c r="E15" i="18"/>
  <c r="C52" i="18"/>
  <c r="C54" i="18"/>
  <c r="C53" i="18"/>
  <c r="C57" i="18"/>
  <c r="C55" i="18"/>
  <c r="C56" i="18"/>
  <c r="C49" i="18"/>
  <c r="C50" i="18"/>
  <c r="C48" i="18"/>
  <c r="C47" i="18"/>
  <c r="C46" i="18"/>
  <c r="C45" i="18"/>
  <c r="C16" i="18"/>
  <c r="C15" i="18"/>
  <c r="C17" i="18"/>
  <c r="C19" i="18"/>
  <c r="C18" i="18"/>
  <c r="C23" i="18"/>
  <c r="C25" i="18"/>
  <c r="C22" i="18"/>
  <c r="C24" i="18"/>
  <c r="C21" i="18"/>
  <c r="H30" i="19" l="1"/>
  <c r="I30" i="19" s="1"/>
  <c r="J30" i="19" s="1"/>
  <c r="K30" i="19" s="1"/>
  <c r="L30" i="19" s="1"/>
  <c r="M30" i="19" s="1"/>
  <c r="N30" i="19" s="1"/>
  <c r="O30" i="19" s="1"/>
  <c r="P30" i="19" s="1"/>
  <c r="Q30" i="19" s="1"/>
  <c r="R30" i="19" s="1"/>
  <c r="S30" i="19" s="1"/>
  <c r="T30" i="19" s="1"/>
  <c r="U30" i="19" s="1"/>
  <c r="V30" i="19" s="1"/>
  <c r="W30" i="19" s="1"/>
  <c r="X30" i="19" s="1"/>
  <c r="G91" i="19"/>
  <c r="C15" i="19"/>
  <c r="F15" i="19" s="1"/>
  <c r="B169" i="21"/>
  <c r="C7" i="21"/>
  <c r="D7" i="21" s="1"/>
  <c r="E7" i="21" s="1"/>
  <c r="F7" i="21" s="1"/>
  <c r="G7" i="21" s="1"/>
  <c r="H7" i="21" s="1"/>
  <c r="I7" i="21" s="1"/>
  <c r="J7" i="21" s="1"/>
  <c r="K7" i="21" s="1"/>
  <c r="L7" i="21" s="1"/>
  <c r="M7" i="21" s="1"/>
  <c r="N7" i="21" s="1"/>
  <c r="O7" i="21" s="1"/>
  <c r="P7" i="21" s="1"/>
  <c r="B7" i="20"/>
  <c r="C7" i="20" s="1"/>
  <c r="C59" i="19"/>
  <c r="F59" i="19" s="1"/>
  <c r="G59" i="19" s="1"/>
  <c r="H59" i="19" s="1"/>
  <c r="I59" i="19" s="1"/>
  <c r="J59" i="19" s="1"/>
  <c r="K59" i="19" s="1"/>
  <c r="L59" i="19" s="1"/>
  <c r="M59" i="19" s="1"/>
  <c r="N59" i="19" s="1"/>
  <c r="O59" i="19" s="1"/>
  <c r="P59" i="19" s="1"/>
  <c r="Q59" i="19" s="1"/>
  <c r="R59" i="19" s="1"/>
  <c r="S59" i="19" s="1"/>
  <c r="T59" i="19" s="1"/>
  <c r="C5" i="21"/>
  <c r="B167" i="21"/>
  <c r="C8" i="21"/>
  <c r="F9" i="19"/>
  <c r="H12" i="19"/>
  <c r="I12" i="19" s="1"/>
  <c r="J12" i="19" s="1"/>
  <c r="K12" i="19" s="1"/>
  <c r="L12" i="19" s="1"/>
  <c r="M12" i="19" s="1"/>
  <c r="N12" i="19" s="1"/>
  <c r="O12" i="19" s="1"/>
  <c r="P12" i="19" s="1"/>
  <c r="Q12" i="19" s="1"/>
  <c r="R12" i="19" s="1"/>
  <c r="S12" i="19" s="1"/>
  <c r="T12" i="19" s="1"/>
  <c r="D5" i="20"/>
  <c r="E5" i="20" s="1"/>
  <c r="F114" i="7"/>
  <c r="F132" i="7"/>
  <c r="F130" i="7"/>
  <c r="F128" i="7"/>
  <c r="F126" i="7"/>
  <c r="F129" i="7"/>
  <c r="F131" i="7"/>
  <c r="F119" i="7"/>
  <c r="F135" i="7"/>
  <c r="F127" i="7"/>
  <c r="F133" i="7"/>
  <c r="F122" i="7"/>
  <c r="F134" i="7"/>
  <c r="F124" i="7"/>
  <c r="F123" i="7"/>
  <c r="F120" i="7"/>
  <c r="F125" i="7"/>
  <c r="F118" i="7"/>
  <c r="F121" i="7"/>
  <c r="T179" i="21"/>
  <c r="G90" i="19"/>
  <c r="C13" i="22" s="1"/>
  <c r="D13" i="20" s="1"/>
  <c r="D167" i="20" s="1"/>
  <c r="C8" i="19"/>
  <c r="F29" i="20"/>
  <c r="G14" i="19"/>
  <c r="H14" i="19" s="1"/>
  <c r="I14" i="19" s="1"/>
  <c r="J14" i="19" s="1"/>
  <c r="K14" i="19" s="1"/>
  <c r="L14" i="19" s="1"/>
  <c r="M14" i="19" s="1"/>
  <c r="N14" i="19" s="1"/>
  <c r="O14" i="19" s="1"/>
  <c r="P14" i="19" s="1"/>
  <c r="Q14" i="19" s="1"/>
  <c r="R14" i="19" s="1"/>
  <c r="S14" i="19" s="1"/>
  <c r="T14" i="19" s="1"/>
  <c r="U20" i="20"/>
  <c r="J60" i="1"/>
  <c r="J64" i="1" s="1"/>
  <c r="J33" i="1"/>
  <c r="I9" i="1"/>
  <c r="I12" i="1"/>
  <c r="I10" i="1"/>
  <c r="I11" i="1"/>
  <c r="F117" i="7"/>
  <c r="F115" i="7"/>
  <c r="F116" i="7"/>
  <c r="L181" i="20"/>
  <c r="G37" i="1"/>
  <c r="H2" i="21"/>
  <c r="H91" i="19"/>
  <c r="H90" i="19" s="1"/>
  <c r="D13" i="22" s="1"/>
  <c r="E13" i="20" s="1"/>
  <c r="X111" i="19"/>
  <c r="T16" i="22" s="1"/>
  <c r="U16" i="20" s="1"/>
  <c r="C60" i="19"/>
  <c r="F60" i="19" s="1"/>
  <c r="C121" i="19"/>
  <c r="H29" i="19"/>
  <c r="D4" i="22" s="1"/>
  <c r="E13" i="21" s="1"/>
  <c r="E53" i="19"/>
  <c r="F114" i="19" s="1"/>
  <c r="G114" i="19" s="1"/>
  <c r="H114" i="19" s="1"/>
  <c r="I114" i="19" s="1"/>
  <c r="J114" i="19" s="1"/>
  <c r="K114" i="19" s="1"/>
  <c r="L114" i="19" s="1"/>
  <c r="V111" i="19"/>
  <c r="R16" i="22" s="1"/>
  <c r="S16" i="20" s="1"/>
  <c r="W111" i="19"/>
  <c r="S16" i="22" s="1"/>
  <c r="T16" i="20" s="1"/>
  <c r="C24" i="19"/>
  <c r="F24" i="19" s="1"/>
  <c r="G24" i="19" s="1"/>
  <c r="C85" i="19"/>
  <c r="C79" i="19"/>
  <c r="C18" i="19"/>
  <c r="F18" i="19" s="1"/>
  <c r="C97" i="19"/>
  <c r="C36" i="19"/>
  <c r="F36" i="19" s="1"/>
  <c r="C43" i="19"/>
  <c r="F43" i="19" s="1"/>
  <c r="C104" i="19"/>
  <c r="C42" i="19"/>
  <c r="F42" i="19" s="1"/>
  <c r="C103" i="19"/>
  <c r="C19" i="19"/>
  <c r="F19" i="19" s="1"/>
  <c r="C80" i="19"/>
  <c r="C102" i="19"/>
  <c r="C41" i="19"/>
  <c r="F41" i="19" s="1"/>
  <c r="U21" i="20"/>
  <c r="G61" i="19"/>
  <c r="H61" i="19" s="1"/>
  <c r="I61" i="19" s="1"/>
  <c r="J61" i="19" s="1"/>
  <c r="K61" i="19" s="1"/>
  <c r="L61" i="19" s="1"/>
  <c r="M61" i="19" s="1"/>
  <c r="N61" i="19" s="1"/>
  <c r="O61" i="19" s="1"/>
  <c r="P61" i="19" s="1"/>
  <c r="Q61" i="19" s="1"/>
  <c r="R61" i="19" s="1"/>
  <c r="S61" i="19" s="1"/>
  <c r="T61" i="19" s="1"/>
  <c r="C107" i="19"/>
  <c r="C46" i="19"/>
  <c r="C20" i="19"/>
  <c r="F20" i="19" s="1"/>
  <c r="C81" i="19"/>
  <c r="C27" i="19"/>
  <c r="F27" i="19" s="1"/>
  <c r="G27" i="19" s="1"/>
  <c r="H27" i="19" s="1"/>
  <c r="I27" i="19" s="1"/>
  <c r="J27" i="19" s="1"/>
  <c r="K27" i="19" s="1"/>
  <c r="L27" i="19" s="1"/>
  <c r="M27" i="19" s="1"/>
  <c r="N27" i="19" s="1"/>
  <c r="O27" i="19" s="1"/>
  <c r="P27" i="19" s="1"/>
  <c r="Q27" i="19" s="1"/>
  <c r="R27" i="19" s="1"/>
  <c r="S27" i="19" s="1"/>
  <c r="T27" i="19" s="1"/>
  <c r="C88" i="19"/>
  <c r="C98" i="19"/>
  <c r="C37" i="19"/>
  <c r="F37" i="19" s="1"/>
  <c r="C25" i="19"/>
  <c r="F25" i="19" s="1"/>
  <c r="C86" i="19"/>
  <c r="C100" i="19"/>
  <c r="C39" i="19"/>
  <c r="E55" i="19"/>
  <c r="F116" i="19" s="1"/>
  <c r="G116" i="19" s="1"/>
  <c r="H116" i="19" s="1"/>
  <c r="I116" i="19" s="1"/>
  <c r="J116" i="19" s="1"/>
  <c r="K116" i="19" s="1"/>
  <c r="L116" i="19" s="1"/>
  <c r="C34" i="19"/>
  <c r="F34" i="19" s="1"/>
  <c r="C95" i="19"/>
  <c r="C89" i="19"/>
  <c r="C28" i="19"/>
  <c r="C99" i="19"/>
  <c r="C38" i="19"/>
  <c r="F38" i="19" s="1"/>
  <c r="H48" i="19"/>
  <c r="G47" i="19"/>
  <c r="C6" i="22" s="1"/>
  <c r="D15" i="21" s="1"/>
  <c r="C83" i="19"/>
  <c r="C22" i="19"/>
  <c r="C87" i="19"/>
  <c r="C26" i="19"/>
  <c r="F26" i="19" s="1"/>
  <c r="C106" i="19"/>
  <c r="C45" i="19"/>
  <c r="F45" i="19" s="1"/>
  <c r="E54" i="19"/>
  <c r="F115" i="19" s="1"/>
  <c r="G115" i="19" s="1"/>
  <c r="H115" i="19" s="1"/>
  <c r="I115" i="19" s="1"/>
  <c r="J115" i="19" s="1"/>
  <c r="K115" i="19" s="1"/>
  <c r="L115" i="19" s="1"/>
  <c r="C35" i="19"/>
  <c r="F35" i="19" s="1"/>
  <c r="C96" i="19"/>
  <c r="C82" i="19"/>
  <c r="C21" i="19"/>
  <c r="F21" i="19" s="1"/>
  <c r="C105" i="19"/>
  <c r="C44" i="19"/>
  <c r="F44" i="19" s="1"/>
  <c r="J181" i="20"/>
  <c r="H181" i="20"/>
  <c r="Q179" i="21"/>
  <c r="R179" i="21"/>
  <c r="O180" i="21"/>
  <c r="M79" i="2"/>
  <c r="M89" i="2" s="1"/>
  <c r="U107" i="21"/>
  <c r="O143" i="20"/>
  <c r="S98" i="21"/>
  <c r="S179" i="21" s="1"/>
  <c r="T101" i="21"/>
  <c r="U123" i="21"/>
  <c r="S113" i="21"/>
  <c r="R107" i="21"/>
  <c r="R180" i="21" s="1"/>
  <c r="H143" i="20"/>
  <c r="N112" i="21"/>
  <c r="M107" i="21"/>
  <c r="M180" i="21" s="1"/>
  <c r="P107" i="21"/>
  <c r="Q111" i="21"/>
  <c r="U155" i="21"/>
  <c r="M134" i="20"/>
  <c r="M181" i="20" s="1"/>
  <c r="T137" i="21"/>
  <c r="I134" i="20"/>
  <c r="I181" i="20" s="1"/>
  <c r="E134" i="20"/>
  <c r="E181" i="20" s="1"/>
  <c r="K134" i="20"/>
  <c r="K181" i="20" s="1"/>
  <c r="P129" i="21"/>
  <c r="T116" i="21"/>
  <c r="U119" i="21"/>
  <c r="Q128" i="21"/>
  <c r="P125" i="21"/>
  <c r="K143" i="20"/>
  <c r="J152" i="20"/>
  <c r="K161" i="20"/>
  <c r="K183" i="20" s="1"/>
  <c r="G143" i="20"/>
  <c r="Q121" i="21"/>
  <c r="P116" i="21"/>
  <c r="T128" i="21"/>
  <c r="S125" i="21"/>
  <c r="I29" i="19"/>
  <c r="E4" i="22" s="1"/>
  <c r="F13" i="21" s="1"/>
  <c r="I91" i="19"/>
  <c r="I92" i="19"/>
  <c r="G110" i="19"/>
  <c r="H110" i="19" s="1"/>
  <c r="I110" i="19" s="1"/>
  <c r="J110" i="19" s="1"/>
  <c r="K110" i="19" s="1"/>
  <c r="L110" i="19" s="1"/>
  <c r="M110" i="19" s="1"/>
  <c r="E58" i="19"/>
  <c r="Q31" i="10"/>
  <c r="H64" i="1"/>
  <c r="I64" i="1"/>
  <c r="G64" i="1"/>
  <c r="W89" i="12"/>
  <c r="W90" i="12"/>
  <c r="W91" i="12"/>
  <c r="W92" i="12"/>
  <c r="W93" i="12"/>
  <c r="W94" i="12"/>
  <c r="W95" i="12"/>
  <c r="W96" i="12"/>
  <c r="W97" i="12"/>
  <c r="W98" i="12"/>
  <c r="W99" i="12"/>
  <c r="W100" i="12"/>
  <c r="W101" i="12"/>
  <c r="W102" i="12"/>
  <c r="W103" i="12"/>
  <c r="W104" i="12"/>
  <c r="W105" i="12"/>
  <c r="W106" i="12"/>
  <c r="W107" i="12"/>
  <c r="W108" i="12"/>
  <c r="W109" i="12"/>
  <c r="W110" i="12"/>
  <c r="W88" i="12"/>
  <c r="Y61" i="12"/>
  <c r="Y60" i="12"/>
  <c r="X60" i="12"/>
  <c r="X61" i="12"/>
  <c r="X62" i="12"/>
  <c r="X63" i="12"/>
  <c r="X64" i="12"/>
  <c r="W61" i="12"/>
  <c r="W62" i="12"/>
  <c r="W63" i="12"/>
  <c r="W64" i="12"/>
  <c r="W65" i="12"/>
  <c r="W66" i="12"/>
  <c r="W67" i="12"/>
  <c r="W68" i="12"/>
  <c r="W69" i="12"/>
  <c r="W70" i="12"/>
  <c r="W71" i="12"/>
  <c r="W72" i="12"/>
  <c r="W73" i="12"/>
  <c r="W74" i="12"/>
  <c r="W75" i="12"/>
  <c r="W76" i="12"/>
  <c r="W77" i="12"/>
  <c r="W78" i="12"/>
  <c r="W79" i="12"/>
  <c r="W80" i="12"/>
  <c r="W81" i="12"/>
  <c r="W82" i="12"/>
  <c r="W60" i="12"/>
  <c r="V61" i="12"/>
  <c r="V62" i="12"/>
  <c r="V63" i="12"/>
  <c r="V60" i="12"/>
  <c r="Y33" i="12"/>
  <c r="Y32" i="12"/>
  <c r="X33" i="12"/>
  <c r="X34" i="12"/>
  <c r="X35" i="12"/>
  <c r="X36" i="12"/>
  <c r="X32" i="12"/>
  <c r="W33" i="12"/>
  <c r="W34" i="12"/>
  <c r="W35" i="12"/>
  <c r="W36" i="12"/>
  <c r="W37" i="12"/>
  <c r="W38" i="12"/>
  <c r="W39" i="12"/>
  <c r="W40" i="12"/>
  <c r="W41" i="12"/>
  <c r="W42" i="12"/>
  <c r="W43" i="12"/>
  <c r="W44" i="12"/>
  <c r="W45" i="12"/>
  <c r="W46" i="12"/>
  <c r="W47" i="12"/>
  <c r="W48" i="12"/>
  <c r="W49" i="12"/>
  <c r="W50" i="12"/>
  <c r="W51" i="12"/>
  <c r="W52" i="12"/>
  <c r="W53" i="12"/>
  <c r="W54" i="12"/>
  <c r="W32" i="12"/>
  <c r="V33" i="12"/>
  <c r="V34" i="12"/>
  <c r="V35" i="12"/>
  <c r="G6" i="12"/>
  <c r="D67" i="5"/>
  <c r="D79" i="5"/>
  <c r="E141" i="7"/>
  <c r="G115" i="7"/>
  <c r="G116" i="7"/>
  <c r="G117" i="7"/>
  <c r="G118" i="7"/>
  <c r="G119" i="7"/>
  <c r="G120" i="7"/>
  <c r="G121" i="7"/>
  <c r="G122" i="7"/>
  <c r="G123" i="7"/>
  <c r="G124" i="7"/>
  <c r="G125" i="7"/>
  <c r="G126" i="7"/>
  <c r="G127" i="7"/>
  <c r="G128" i="7"/>
  <c r="G129" i="7"/>
  <c r="G130" i="7"/>
  <c r="G131" i="7"/>
  <c r="G132" i="7"/>
  <c r="G133" i="7"/>
  <c r="G134" i="7"/>
  <c r="G135" i="7"/>
  <c r="G136" i="7"/>
  <c r="G114" i="7"/>
  <c r="D7" i="20" l="1"/>
  <c r="E7" i="20" s="1"/>
  <c r="F7" i="20" s="1"/>
  <c r="G7" i="20" s="1"/>
  <c r="H7" i="20" s="1"/>
  <c r="C8" i="20"/>
  <c r="C174" i="20" s="1"/>
  <c r="B170" i="21"/>
  <c r="B174" i="21" s="1"/>
  <c r="C174" i="21"/>
  <c r="L142" i="7" s="1"/>
  <c r="F50" i="19"/>
  <c r="B7" i="22" s="1"/>
  <c r="C16" i="21" s="1"/>
  <c r="C169" i="21" s="1"/>
  <c r="E59" i="19"/>
  <c r="F120" i="19" s="1"/>
  <c r="G120" i="19" s="1"/>
  <c r="H120" i="19" s="1"/>
  <c r="I120" i="19" s="1"/>
  <c r="J120" i="19" s="1"/>
  <c r="K120" i="19" s="1"/>
  <c r="L120" i="19" s="1"/>
  <c r="B170" i="20"/>
  <c r="B8" i="20"/>
  <c r="D5" i="21"/>
  <c r="D8" i="21"/>
  <c r="E22" i="20"/>
  <c r="F31" i="20" s="1"/>
  <c r="G40" i="20" s="1"/>
  <c r="H49" i="20" s="1"/>
  <c r="I58" i="20" s="1"/>
  <c r="J67" i="20" s="1"/>
  <c r="K76" i="20" s="1"/>
  <c r="L85" i="20" s="1"/>
  <c r="M94" i="20" s="1"/>
  <c r="N103" i="20" s="1"/>
  <c r="O112" i="20" s="1"/>
  <c r="P121" i="20" s="1"/>
  <c r="Q130" i="20" s="1"/>
  <c r="R139" i="20" s="1"/>
  <c r="S148" i="20" s="1"/>
  <c r="T157" i="20" s="1"/>
  <c r="E12" i="19"/>
  <c r="F73" i="19" s="1"/>
  <c r="E8" i="20"/>
  <c r="E174" i="20" s="1"/>
  <c r="F5" i="20"/>
  <c r="E67" i="5"/>
  <c r="E79" i="5"/>
  <c r="O6" i="12"/>
  <c r="G90" i="12"/>
  <c r="Y90" i="12" s="1"/>
  <c r="E167" i="20"/>
  <c r="F7" i="19"/>
  <c r="F16" i="19"/>
  <c r="G11" i="19"/>
  <c r="T25" i="20"/>
  <c r="U34" i="20" s="1"/>
  <c r="G38" i="20"/>
  <c r="G15" i="19"/>
  <c r="H15" i="19" s="1"/>
  <c r="I15" i="19" s="1"/>
  <c r="J15" i="19" s="1"/>
  <c r="K15" i="19" s="1"/>
  <c r="L15" i="19" s="1"/>
  <c r="M15" i="19" s="1"/>
  <c r="N15" i="19" s="1"/>
  <c r="O15" i="19" s="1"/>
  <c r="P15" i="19" s="1"/>
  <c r="Q15" i="19" s="1"/>
  <c r="R15" i="19" s="1"/>
  <c r="S15" i="19" s="1"/>
  <c r="T15" i="19" s="1"/>
  <c r="E14" i="19"/>
  <c r="F75" i="19" s="1"/>
  <c r="U165" i="20"/>
  <c r="U25" i="20"/>
  <c r="K60" i="1"/>
  <c r="K64" i="1" s="1"/>
  <c r="K33" i="1"/>
  <c r="J13" i="1"/>
  <c r="J11" i="1"/>
  <c r="J9" i="1"/>
  <c r="J12" i="1"/>
  <c r="J10" i="1"/>
  <c r="V88" i="12"/>
  <c r="V89" i="12"/>
  <c r="I2" i="21"/>
  <c r="G60" i="19"/>
  <c r="H60" i="19" s="1"/>
  <c r="I60" i="19" s="1"/>
  <c r="J60" i="19" s="1"/>
  <c r="K60" i="19" s="1"/>
  <c r="L60" i="19" s="1"/>
  <c r="M60" i="19" s="1"/>
  <c r="N60" i="19" s="1"/>
  <c r="O60" i="19" s="1"/>
  <c r="P60" i="19" s="1"/>
  <c r="Q60" i="19" s="1"/>
  <c r="R60" i="19" s="1"/>
  <c r="S60" i="19" s="1"/>
  <c r="T60" i="19" s="1"/>
  <c r="E27" i="19"/>
  <c r="F88" i="19" s="1"/>
  <c r="G88" i="19" s="1"/>
  <c r="H88" i="19" s="1"/>
  <c r="I88" i="19" s="1"/>
  <c r="J88" i="19" s="1"/>
  <c r="K88" i="19" s="1"/>
  <c r="L88" i="19" s="1"/>
  <c r="C69" i="19"/>
  <c r="F22" i="20"/>
  <c r="G31" i="20" s="1"/>
  <c r="H40" i="20" s="1"/>
  <c r="I49" i="20" s="1"/>
  <c r="J58" i="20" s="1"/>
  <c r="K67" i="20" s="1"/>
  <c r="L76" i="20" s="1"/>
  <c r="M85" i="20" s="1"/>
  <c r="N94" i="20" s="1"/>
  <c r="O103" i="20" s="1"/>
  <c r="P112" i="20" s="1"/>
  <c r="Q121" i="20" s="1"/>
  <c r="R130" i="20" s="1"/>
  <c r="S139" i="20" s="1"/>
  <c r="T148" i="20" s="1"/>
  <c r="U157" i="20" s="1"/>
  <c r="F96" i="19"/>
  <c r="G35" i="19"/>
  <c r="G37" i="19"/>
  <c r="F98" i="19"/>
  <c r="E61" i="19"/>
  <c r="F122" i="19" s="1"/>
  <c r="G122" i="19" s="1"/>
  <c r="H122" i="19" s="1"/>
  <c r="I122" i="19" s="1"/>
  <c r="J122" i="19" s="1"/>
  <c r="K122" i="19" s="1"/>
  <c r="L122" i="19" s="1"/>
  <c r="G41" i="19"/>
  <c r="F102" i="19"/>
  <c r="H24" i="19"/>
  <c r="I24" i="19" s="1"/>
  <c r="J24" i="19" s="1"/>
  <c r="K24" i="19" s="1"/>
  <c r="L24" i="19" s="1"/>
  <c r="M24" i="19" s="1"/>
  <c r="N24" i="19" s="1"/>
  <c r="O24" i="19" s="1"/>
  <c r="P24" i="19" s="1"/>
  <c r="Q24" i="19" s="1"/>
  <c r="R24" i="19" s="1"/>
  <c r="S24" i="19" s="1"/>
  <c r="T24" i="19" s="1"/>
  <c r="F104" i="19"/>
  <c r="G43" i="19"/>
  <c r="F105" i="19"/>
  <c r="G44" i="19"/>
  <c r="I48" i="19"/>
  <c r="H47" i="19"/>
  <c r="D6" i="22" s="1"/>
  <c r="E15" i="21" s="1"/>
  <c r="G34" i="19"/>
  <c r="F95" i="19"/>
  <c r="F32" i="19"/>
  <c r="B5" i="22" s="1"/>
  <c r="C14" i="21" s="1"/>
  <c r="C167" i="21" s="1"/>
  <c r="G19" i="19"/>
  <c r="H19" i="19" s="1"/>
  <c r="I19" i="19" s="1"/>
  <c r="J19" i="19" s="1"/>
  <c r="K19" i="19" s="1"/>
  <c r="L19" i="19" s="1"/>
  <c r="M19" i="19" s="1"/>
  <c r="N19" i="19" s="1"/>
  <c r="O19" i="19" s="1"/>
  <c r="P19" i="19" s="1"/>
  <c r="Q19" i="19" s="1"/>
  <c r="R19" i="19" s="1"/>
  <c r="S19" i="19" s="1"/>
  <c r="T19" i="19" s="1"/>
  <c r="G36" i="19"/>
  <c r="F97" i="19"/>
  <c r="F106" i="19"/>
  <c r="G45" i="19"/>
  <c r="G25" i="19"/>
  <c r="H25" i="19" s="1"/>
  <c r="I25" i="19" s="1"/>
  <c r="J25" i="19" s="1"/>
  <c r="K25" i="19" s="1"/>
  <c r="L25" i="19" s="1"/>
  <c r="M25" i="19" s="1"/>
  <c r="N25" i="19" s="1"/>
  <c r="O25" i="19" s="1"/>
  <c r="P25" i="19" s="1"/>
  <c r="Q25" i="19" s="1"/>
  <c r="R25" i="19" s="1"/>
  <c r="S25" i="19" s="1"/>
  <c r="T25" i="19" s="1"/>
  <c r="G21" i="19"/>
  <c r="H21" i="19" s="1"/>
  <c r="I21" i="19" s="1"/>
  <c r="J21" i="19" s="1"/>
  <c r="K21" i="19" s="1"/>
  <c r="L21" i="19" s="1"/>
  <c r="M21" i="19" s="1"/>
  <c r="N21" i="19" s="1"/>
  <c r="O21" i="19" s="1"/>
  <c r="P21" i="19" s="1"/>
  <c r="Q21" i="19" s="1"/>
  <c r="R21" i="19" s="1"/>
  <c r="S21" i="19" s="1"/>
  <c r="T21" i="19" s="1"/>
  <c r="G20" i="19"/>
  <c r="H20" i="19" s="1"/>
  <c r="I20" i="19" s="1"/>
  <c r="J20" i="19" s="1"/>
  <c r="K20" i="19" s="1"/>
  <c r="L20" i="19" s="1"/>
  <c r="M20" i="19" s="1"/>
  <c r="N20" i="19" s="1"/>
  <c r="O20" i="19" s="1"/>
  <c r="P20" i="19" s="1"/>
  <c r="Q20" i="19" s="1"/>
  <c r="R20" i="19" s="1"/>
  <c r="S20" i="19" s="1"/>
  <c r="T20" i="19" s="1"/>
  <c r="G42" i="19"/>
  <c r="F103" i="19"/>
  <c r="G18" i="19"/>
  <c r="G26" i="19"/>
  <c r="H26" i="19" s="1"/>
  <c r="I26" i="19" s="1"/>
  <c r="J26" i="19" s="1"/>
  <c r="K26" i="19" s="1"/>
  <c r="L26" i="19" s="1"/>
  <c r="M26" i="19" s="1"/>
  <c r="N26" i="19" s="1"/>
  <c r="O26" i="19" s="1"/>
  <c r="P26" i="19" s="1"/>
  <c r="Q26" i="19" s="1"/>
  <c r="R26" i="19" s="1"/>
  <c r="S26" i="19" s="1"/>
  <c r="T26" i="19" s="1"/>
  <c r="G38" i="19"/>
  <c r="F99" i="19"/>
  <c r="P180" i="21"/>
  <c r="F67" i="5"/>
  <c r="G79" i="5" s="1"/>
  <c r="F79" i="5"/>
  <c r="G62" i="12"/>
  <c r="G34" i="12"/>
  <c r="Y6" i="12"/>
  <c r="N79" i="2"/>
  <c r="N89" i="2" s="1"/>
  <c r="U125" i="21"/>
  <c r="I90" i="19"/>
  <c r="E13" i="22" s="1"/>
  <c r="F13" i="20" s="1"/>
  <c r="F167" i="20" s="1"/>
  <c r="N143" i="20"/>
  <c r="N182" i="20" s="1"/>
  <c r="O121" i="21"/>
  <c r="N116" i="21"/>
  <c r="N180" i="21" s="1"/>
  <c r="H152" i="20"/>
  <c r="H182" i="20" s="1"/>
  <c r="I161" i="20"/>
  <c r="I183" i="20" s="1"/>
  <c r="M161" i="20"/>
  <c r="M183" i="20" s="1"/>
  <c r="L152" i="20"/>
  <c r="J161" i="20"/>
  <c r="J183" i="20" s="1"/>
  <c r="I152" i="20"/>
  <c r="I182" i="20" s="1"/>
  <c r="R130" i="21"/>
  <c r="Q125" i="21"/>
  <c r="Q134" i="21"/>
  <c r="Q138" i="21"/>
  <c r="L143" i="20"/>
  <c r="F143" i="20"/>
  <c r="F182" i="20" s="1"/>
  <c r="J143" i="20"/>
  <c r="J182" i="20" s="1"/>
  <c r="U146" i="21"/>
  <c r="U137" i="21"/>
  <c r="T134" i="21"/>
  <c r="R137" i="21"/>
  <c r="R120" i="21"/>
  <c r="Q116" i="21"/>
  <c r="Q180" i="21" s="1"/>
  <c r="T122" i="21"/>
  <c r="S116" i="21"/>
  <c r="S180" i="21" s="1"/>
  <c r="U110" i="21"/>
  <c r="T107" i="21"/>
  <c r="T180" i="21" s="1"/>
  <c r="P152" i="20"/>
  <c r="Q161" i="20"/>
  <c r="Q183" i="20" s="1"/>
  <c r="F119" i="19"/>
  <c r="G119" i="19" s="1"/>
  <c r="H119" i="19" s="1"/>
  <c r="I119" i="19" s="1"/>
  <c r="J119" i="19" s="1"/>
  <c r="K119" i="19" s="1"/>
  <c r="L119" i="19" s="1"/>
  <c r="J92" i="19"/>
  <c r="J29" i="19"/>
  <c r="F4" i="22" s="1"/>
  <c r="G13" i="21" s="1"/>
  <c r="J91" i="19"/>
  <c r="G67" i="5"/>
  <c r="H79" i="5" s="1"/>
  <c r="H89" i="5" s="1"/>
  <c r="D174" i="21" l="1"/>
  <c r="M142" i="7" s="1"/>
  <c r="B171" i="20"/>
  <c r="B174" i="20"/>
  <c r="E8" i="21"/>
  <c r="E174" i="21" s="1"/>
  <c r="E5" i="21"/>
  <c r="G5" i="20"/>
  <c r="F8" i="20"/>
  <c r="F174" i="20" s="1"/>
  <c r="I50" i="19"/>
  <c r="E7" i="22" s="1"/>
  <c r="F16" i="21" s="1"/>
  <c r="H47" i="20"/>
  <c r="F8" i="19"/>
  <c r="B2" i="22"/>
  <c r="H50" i="19"/>
  <c r="D7" i="22" s="1"/>
  <c r="E16" i="21" s="1"/>
  <c r="G7" i="19"/>
  <c r="H11" i="19"/>
  <c r="G9" i="19"/>
  <c r="C2" i="22" s="1"/>
  <c r="E15" i="19"/>
  <c r="F76" i="19" s="1"/>
  <c r="G50" i="19"/>
  <c r="C7" i="22" s="1"/>
  <c r="D16" i="21" s="1"/>
  <c r="L60" i="1"/>
  <c r="L64" i="1" s="1"/>
  <c r="L33" i="1"/>
  <c r="H67" i="5"/>
  <c r="K12" i="1"/>
  <c r="K10" i="1"/>
  <c r="K11" i="1"/>
  <c r="K13" i="1"/>
  <c r="K9" i="1"/>
  <c r="K14" i="1"/>
  <c r="H37" i="1"/>
  <c r="J2" i="21"/>
  <c r="E60" i="19"/>
  <c r="F121" i="19" s="1"/>
  <c r="G121" i="19" s="1"/>
  <c r="H121" i="19" s="1"/>
  <c r="I121" i="19" s="1"/>
  <c r="J121" i="19" s="1"/>
  <c r="K121" i="19" s="1"/>
  <c r="L121" i="19" s="1"/>
  <c r="E25" i="19"/>
  <c r="F86" i="19" s="1"/>
  <c r="G86" i="19" s="1"/>
  <c r="H86" i="19" s="1"/>
  <c r="I86" i="19" s="1"/>
  <c r="J86" i="19" s="1"/>
  <c r="K86" i="19" s="1"/>
  <c r="L86" i="19" s="1"/>
  <c r="E24" i="19"/>
  <c r="F85" i="19" s="1"/>
  <c r="G85" i="19" s="1"/>
  <c r="H85" i="19" s="1"/>
  <c r="I85" i="19" s="1"/>
  <c r="J85" i="19" s="1"/>
  <c r="K85" i="19" s="1"/>
  <c r="L85" i="19" s="1"/>
  <c r="E21" i="19"/>
  <c r="F82" i="19" s="1"/>
  <c r="G82" i="19" s="1"/>
  <c r="H82" i="19" s="1"/>
  <c r="I82" i="19" s="1"/>
  <c r="J82" i="19" s="1"/>
  <c r="K82" i="19" s="1"/>
  <c r="L82" i="19" s="1"/>
  <c r="H37" i="19"/>
  <c r="G98" i="19"/>
  <c r="H18" i="19"/>
  <c r="G16" i="19"/>
  <c r="C3" i="22" s="1"/>
  <c r="D12" i="21" s="1"/>
  <c r="H36" i="19"/>
  <c r="G97" i="19"/>
  <c r="H44" i="19"/>
  <c r="G105" i="19"/>
  <c r="H35" i="19"/>
  <c r="G96" i="19"/>
  <c r="E19" i="19"/>
  <c r="F80" i="19" s="1"/>
  <c r="G80" i="19" s="1"/>
  <c r="H80" i="19" s="1"/>
  <c r="I80" i="19" s="1"/>
  <c r="J80" i="19" s="1"/>
  <c r="K80" i="19" s="1"/>
  <c r="L80" i="19" s="1"/>
  <c r="H34" i="19"/>
  <c r="G32" i="19"/>
  <c r="C5" i="22" s="1"/>
  <c r="D14" i="21" s="1"/>
  <c r="G95" i="19"/>
  <c r="G22" i="20"/>
  <c r="H31" i="20" s="1"/>
  <c r="I40" i="20" s="1"/>
  <c r="J49" i="20" s="1"/>
  <c r="K58" i="20" s="1"/>
  <c r="L67" i="20" s="1"/>
  <c r="M76" i="20" s="1"/>
  <c r="N85" i="20" s="1"/>
  <c r="O94" i="20" s="1"/>
  <c r="P103" i="20" s="1"/>
  <c r="Q112" i="20" s="1"/>
  <c r="R121" i="20" s="1"/>
  <c r="S130" i="20" s="1"/>
  <c r="T139" i="20" s="1"/>
  <c r="U148" i="20" s="1"/>
  <c r="H38" i="19"/>
  <c r="G99" i="19"/>
  <c r="H42" i="19"/>
  <c r="G103" i="19"/>
  <c r="H43" i="19"/>
  <c r="G104" i="19"/>
  <c r="B3" i="22"/>
  <c r="C12" i="21" s="1"/>
  <c r="C165" i="21" s="1"/>
  <c r="J48" i="19"/>
  <c r="I47" i="19"/>
  <c r="E6" i="22" s="1"/>
  <c r="F15" i="21" s="1"/>
  <c r="E26" i="19"/>
  <c r="F87" i="19" s="1"/>
  <c r="G87" i="19" s="1"/>
  <c r="H87" i="19" s="1"/>
  <c r="I87" i="19" s="1"/>
  <c r="J87" i="19" s="1"/>
  <c r="K87" i="19" s="1"/>
  <c r="L87" i="19" s="1"/>
  <c r="E20" i="19"/>
  <c r="F81" i="19" s="1"/>
  <c r="G81" i="19" s="1"/>
  <c r="H81" i="19" s="1"/>
  <c r="I81" i="19" s="1"/>
  <c r="J81" i="19" s="1"/>
  <c r="K81" i="19" s="1"/>
  <c r="L81" i="19" s="1"/>
  <c r="H41" i="19"/>
  <c r="G102" i="19"/>
  <c r="H45" i="19"/>
  <c r="G106" i="19"/>
  <c r="F93" i="19"/>
  <c r="B14" i="22" s="1"/>
  <c r="C14" i="20" s="1"/>
  <c r="C168" i="20" s="1"/>
  <c r="L182" i="20"/>
  <c r="Q181" i="21"/>
  <c r="O79" i="2"/>
  <c r="O89" i="2" s="1"/>
  <c r="U143" i="21"/>
  <c r="U116" i="21"/>
  <c r="U180" i="21" s="1"/>
  <c r="J90" i="19"/>
  <c r="F13" i="22" s="1"/>
  <c r="G13" i="20" s="1"/>
  <c r="O152" i="20"/>
  <c r="O182" i="20" s="1"/>
  <c r="P161" i="20"/>
  <c r="P183" i="20" s="1"/>
  <c r="S139" i="21"/>
  <c r="R134" i="21"/>
  <c r="S146" i="21"/>
  <c r="S152" i="21" s="1"/>
  <c r="L161" i="20"/>
  <c r="L183" i="20" s="1"/>
  <c r="K152" i="20"/>
  <c r="K182" i="20" s="1"/>
  <c r="G152" i="20"/>
  <c r="G182" i="20" s="1"/>
  <c r="H161" i="20"/>
  <c r="H183" i="20" s="1"/>
  <c r="N161" i="20"/>
  <c r="N183" i="20" s="1"/>
  <c r="M152" i="20"/>
  <c r="M182" i="20" s="1"/>
  <c r="P130" i="21"/>
  <c r="O125" i="21"/>
  <c r="O181" i="21" s="1"/>
  <c r="U131" i="21"/>
  <c r="T125" i="21"/>
  <c r="T181" i="21" s="1"/>
  <c r="R147" i="21"/>
  <c r="S129" i="21"/>
  <c r="R125" i="21"/>
  <c r="K29" i="19"/>
  <c r="G4" i="22" s="1"/>
  <c r="H13" i="21" s="1"/>
  <c r="K91" i="19"/>
  <c r="K92" i="19"/>
  <c r="J50" i="19"/>
  <c r="F7" i="22" s="1"/>
  <c r="G16" i="21" s="1"/>
  <c r="I67" i="5"/>
  <c r="I79" i="5"/>
  <c r="I89" i="5" s="1"/>
  <c r="F8" i="21" l="1"/>
  <c r="F174" i="21" s="1"/>
  <c r="F5" i="21"/>
  <c r="H5" i="20"/>
  <c r="G8" i="20"/>
  <c r="G174" i="20" s="1"/>
  <c r="E20" i="21"/>
  <c r="D164" i="21"/>
  <c r="C11" i="21"/>
  <c r="D20" i="21" s="1"/>
  <c r="E29" i="21" s="1"/>
  <c r="F38" i="21" s="1"/>
  <c r="G47" i="21" s="1"/>
  <c r="H56" i="21" s="1"/>
  <c r="G167" i="20"/>
  <c r="H9" i="19"/>
  <c r="D2" i="22" s="1"/>
  <c r="E11" i="21" s="1"/>
  <c r="F20" i="21" s="1"/>
  <c r="I11" i="19"/>
  <c r="I56" i="20"/>
  <c r="M60" i="1"/>
  <c r="M64" i="1" s="1"/>
  <c r="M33" i="1"/>
  <c r="L14" i="1"/>
  <c r="L15" i="1"/>
  <c r="L13" i="1"/>
  <c r="L9" i="1"/>
  <c r="L12" i="1"/>
  <c r="L10" i="1"/>
  <c r="L11" i="1"/>
  <c r="I37" i="1"/>
  <c r="K2" i="21"/>
  <c r="D23" i="20"/>
  <c r="E32" i="20" s="1"/>
  <c r="F41" i="20" s="1"/>
  <c r="G50" i="20" s="1"/>
  <c r="H59" i="20" s="1"/>
  <c r="I68" i="20" s="1"/>
  <c r="J77" i="20" s="1"/>
  <c r="K86" i="20" s="1"/>
  <c r="L95" i="20" s="1"/>
  <c r="M104" i="20" s="1"/>
  <c r="N113" i="20" s="1"/>
  <c r="O122" i="20" s="1"/>
  <c r="P131" i="20" s="1"/>
  <c r="Q140" i="20" s="1"/>
  <c r="R149" i="20" s="1"/>
  <c r="S158" i="20" s="1"/>
  <c r="K48" i="19"/>
  <c r="J47" i="19"/>
  <c r="F6" i="22" s="1"/>
  <c r="G15" i="21" s="1"/>
  <c r="I36" i="19"/>
  <c r="H97" i="19"/>
  <c r="G93" i="19"/>
  <c r="C14" i="22" s="1"/>
  <c r="D14" i="20" s="1"/>
  <c r="I43" i="19"/>
  <c r="H104" i="19"/>
  <c r="I45" i="19"/>
  <c r="H106" i="19"/>
  <c r="I34" i="19"/>
  <c r="H32" i="19"/>
  <c r="D5" i="22" s="1"/>
  <c r="E14" i="21" s="1"/>
  <c r="H95" i="19"/>
  <c r="I41" i="19"/>
  <c r="H102" i="19"/>
  <c r="I18" i="19"/>
  <c r="H16" i="19"/>
  <c r="D3" i="22" s="1"/>
  <c r="E12" i="21" s="1"/>
  <c r="H7" i="19"/>
  <c r="I42" i="19"/>
  <c r="H103" i="19"/>
  <c r="I38" i="19"/>
  <c r="H99" i="19"/>
  <c r="I35" i="19"/>
  <c r="H96" i="19"/>
  <c r="I44" i="19"/>
  <c r="H105" i="19"/>
  <c r="H22" i="20"/>
  <c r="I31" i="20" s="1"/>
  <c r="J40" i="20" s="1"/>
  <c r="K49" i="20" s="1"/>
  <c r="L58" i="20" s="1"/>
  <c r="M67" i="20" s="1"/>
  <c r="N76" i="20" s="1"/>
  <c r="O85" i="20" s="1"/>
  <c r="P94" i="20" s="1"/>
  <c r="Q103" i="20" s="1"/>
  <c r="R112" i="20" s="1"/>
  <c r="S121" i="20" s="1"/>
  <c r="T130" i="20" s="1"/>
  <c r="U139" i="20" s="1"/>
  <c r="I37" i="19"/>
  <c r="H98" i="19"/>
  <c r="R181" i="21"/>
  <c r="P79" i="2"/>
  <c r="P89" i="2" s="1"/>
  <c r="S156" i="21"/>
  <c r="Q139" i="21"/>
  <c r="P134" i="21"/>
  <c r="P181" i="21" s="1"/>
  <c r="U134" i="21"/>
  <c r="U181" i="21" s="1"/>
  <c r="T138" i="21"/>
  <c r="S134" i="21"/>
  <c r="S181" i="21" s="1"/>
  <c r="R143" i="21"/>
  <c r="T148" i="21"/>
  <c r="T152" i="21" s="1"/>
  <c r="S143" i="21"/>
  <c r="S182" i="21" s="1"/>
  <c r="T155" i="21"/>
  <c r="K90" i="19"/>
  <c r="G13" i="22" s="1"/>
  <c r="H13" i="20" s="1"/>
  <c r="K50" i="19"/>
  <c r="G7" i="22" s="1"/>
  <c r="H16" i="21" s="1"/>
  <c r="L29" i="19"/>
  <c r="H4" i="22" s="1"/>
  <c r="I13" i="21" s="1"/>
  <c r="L91" i="19"/>
  <c r="L92" i="19"/>
  <c r="J79" i="5"/>
  <c r="J89" i="5" s="1"/>
  <c r="J67" i="5"/>
  <c r="C170" i="21" l="1"/>
  <c r="G8" i="21"/>
  <c r="G174" i="21" s="1"/>
  <c r="G5" i="21"/>
  <c r="I5" i="20"/>
  <c r="H8" i="20"/>
  <c r="H174" i="20" s="1"/>
  <c r="H167" i="20"/>
  <c r="D168" i="20"/>
  <c r="J65" i="20"/>
  <c r="J11" i="19"/>
  <c r="I9" i="19"/>
  <c r="E2" i="22" s="1"/>
  <c r="F11" i="21" s="1"/>
  <c r="G20" i="21" s="1"/>
  <c r="N60" i="1"/>
  <c r="N64" i="1" s="1"/>
  <c r="N33" i="1"/>
  <c r="M16" i="1"/>
  <c r="M15" i="1"/>
  <c r="M14" i="1"/>
  <c r="M13" i="1"/>
  <c r="M9" i="1"/>
  <c r="M12" i="1"/>
  <c r="M10" i="1"/>
  <c r="M11" i="1"/>
  <c r="J37" i="1"/>
  <c r="L2" i="21"/>
  <c r="H93" i="19"/>
  <c r="D14" i="22" s="1"/>
  <c r="E14" i="20" s="1"/>
  <c r="J44" i="19"/>
  <c r="I105" i="19"/>
  <c r="J18" i="19"/>
  <c r="I16" i="19"/>
  <c r="E3" i="22" s="1"/>
  <c r="F12" i="21" s="1"/>
  <c r="I7" i="19"/>
  <c r="J34" i="19"/>
  <c r="I32" i="19"/>
  <c r="E5" i="22" s="1"/>
  <c r="F14" i="21" s="1"/>
  <c r="I95" i="19"/>
  <c r="J36" i="19"/>
  <c r="I97" i="19"/>
  <c r="I22" i="20"/>
  <c r="J31" i="20" s="1"/>
  <c r="K40" i="20" s="1"/>
  <c r="L49" i="20" s="1"/>
  <c r="M58" i="20" s="1"/>
  <c r="N67" i="20" s="1"/>
  <c r="O76" i="20" s="1"/>
  <c r="P85" i="20" s="1"/>
  <c r="Q94" i="20" s="1"/>
  <c r="R103" i="20" s="1"/>
  <c r="S112" i="20" s="1"/>
  <c r="T121" i="20" s="1"/>
  <c r="U130" i="20" s="1"/>
  <c r="J37" i="19"/>
  <c r="I98" i="19"/>
  <c r="J35" i="19"/>
  <c r="I96" i="19"/>
  <c r="J41" i="19"/>
  <c r="I102" i="19"/>
  <c r="J38" i="19"/>
  <c r="I99" i="19"/>
  <c r="L48" i="19"/>
  <c r="K47" i="19"/>
  <c r="G6" i="22" s="1"/>
  <c r="H15" i="21" s="1"/>
  <c r="J43" i="19"/>
  <c r="I104" i="19"/>
  <c r="J45" i="19"/>
  <c r="I106" i="19"/>
  <c r="J42" i="19"/>
  <c r="I103" i="19"/>
  <c r="E23" i="20"/>
  <c r="F32" i="20" s="1"/>
  <c r="G41" i="20" s="1"/>
  <c r="H50" i="20" s="1"/>
  <c r="I59" i="20" s="1"/>
  <c r="J68" i="20" s="1"/>
  <c r="K77" i="20" s="1"/>
  <c r="L86" i="20" s="1"/>
  <c r="M95" i="20" s="1"/>
  <c r="N104" i="20" s="1"/>
  <c r="O113" i="20" s="1"/>
  <c r="P122" i="20" s="1"/>
  <c r="Q131" i="20" s="1"/>
  <c r="R140" i="20" s="1"/>
  <c r="S149" i="20" s="1"/>
  <c r="T158" i="20" s="1"/>
  <c r="Q79" i="2"/>
  <c r="Q89" i="2" s="1"/>
  <c r="U147" i="21"/>
  <c r="T143" i="21"/>
  <c r="T182" i="21" s="1"/>
  <c r="T161" i="21"/>
  <c r="T183" i="21" s="1"/>
  <c r="U157" i="21"/>
  <c r="R148" i="21"/>
  <c r="R152" i="21" s="1"/>
  <c r="R182" i="21" s="1"/>
  <c r="Q143" i="21"/>
  <c r="Q182" i="21" s="1"/>
  <c r="M29" i="19"/>
  <c r="I4" i="22" s="1"/>
  <c r="J13" i="21" s="1"/>
  <c r="M91" i="19"/>
  <c r="L90" i="19"/>
  <c r="H13" i="22" s="1"/>
  <c r="I13" i="20" s="1"/>
  <c r="M92" i="19"/>
  <c r="L50" i="19"/>
  <c r="H7" i="22" s="1"/>
  <c r="I16" i="21" s="1"/>
  <c r="K67" i="5"/>
  <c r="K79" i="5"/>
  <c r="K89" i="5" s="1"/>
  <c r="H5" i="21" l="1"/>
  <c r="H8" i="21"/>
  <c r="H174" i="21" s="1"/>
  <c r="J5" i="20"/>
  <c r="I8" i="20"/>
  <c r="I174" i="20" s="1"/>
  <c r="I167" i="20"/>
  <c r="K11" i="19"/>
  <c r="J9" i="19"/>
  <c r="F2" i="22" s="1"/>
  <c r="G11" i="21" s="1"/>
  <c r="E168" i="20"/>
  <c r="K74" i="20"/>
  <c r="O33" i="1"/>
  <c r="O60" i="1"/>
  <c r="O64" i="1" s="1"/>
  <c r="N10" i="1"/>
  <c r="N11" i="1"/>
  <c r="N16" i="1"/>
  <c r="N14" i="1"/>
  <c r="N17" i="1"/>
  <c r="N13" i="1"/>
  <c r="N15" i="1"/>
  <c r="N9" i="1"/>
  <c r="N12" i="1"/>
  <c r="K37" i="1"/>
  <c r="M2" i="21"/>
  <c r="K18" i="19"/>
  <c r="J7" i="19"/>
  <c r="J16" i="19"/>
  <c r="F3" i="22" s="1"/>
  <c r="G12" i="21" s="1"/>
  <c r="J22" i="20"/>
  <c r="K31" i="20" s="1"/>
  <c r="L40" i="20" s="1"/>
  <c r="M49" i="20" s="1"/>
  <c r="N58" i="20" s="1"/>
  <c r="O67" i="20" s="1"/>
  <c r="P76" i="20" s="1"/>
  <c r="Q85" i="20" s="1"/>
  <c r="R94" i="20" s="1"/>
  <c r="S103" i="20" s="1"/>
  <c r="T112" i="20" s="1"/>
  <c r="U121" i="20" s="1"/>
  <c r="M48" i="19"/>
  <c r="L47" i="19"/>
  <c r="H6" i="22" s="1"/>
  <c r="I15" i="21" s="1"/>
  <c r="K37" i="19"/>
  <c r="J98" i="19"/>
  <c r="K38" i="19"/>
  <c r="J99" i="19"/>
  <c r="K45" i="19"/>
  <c r="J106" i="19"/>
  <c r="K41" i="19"/>
  <c r="J102" i="19"/>
  <c r="K36" i="19"/>
  <c r="J97" i="19"/>
  <c r="K44" i="19"/>
  <c r="J105" i="19"/>
  <c r="K42" i="19"/>
  <c r="J103" i="19"/>
  <c r="K34" i="19"/>
  <c r="J32" i="19"/>
  <c r="F5" i="22" s="1"/>
  <c r="G14" i="21" s="1"/>
  <c r="J95" i="19"/>
  <c r="K43" i="19"/>
  <c r="J104" i="19"/>
  <c r="K35" i="19"/>
  <c r="J96" i="19"/>
  <c r="I93" i="19"/>
  <c r="E14" i="22" s="1"/>
  <c r="F14" i="20" s="1"/>
  <c r="F23" i="20"/>
  <c r="G32" i="20" s="1"/>
  <c r="H41" i="20" s="1"/>
  <c r="I50" i="20" s="1"/>
  <c r="J59" i="20" s="1"/>
  <c r="K68" i="20" s="1"/>
  <c r="L77" i="20" s="1"/>
  <c r="M86" i="20" s="1"/>
  <c r="N95" i="20" s="1"/>
  <c r="O104" i="20" s="1"/>
  <c r="P113" i="20" s="1"/>
  <c r="Q122" i="20" s="1"/>
  <c r="R131" i="20" s="1"/>
  <c r="S140" i="20" s="1"/>
  <c r="T149" i="20" s="1"/>
  <c r="U158" i="20" s="1"/>
  <c r="U152" i="21"/>
  <c r="U182" i="21" s="1"/>
  <c r="R79" i="2"/>
  <c r="R89" i="2" s="1"/>
  <c r="S157" i="21"/>
  <c r="U161" i="21"/>
  <c r="U183" i="21" s="1"/>
  <c r="N92" i="19"/>
  <c r="M90" i="19"/>
  <c r="I13" i="22" s="1"/>
  <c r="J13" i="20" s="1"/>
  <c r="J167" i="20" s="1"/>
  <c r="N29" i="19"/>
  <c r="J4" i="22" s="1"/>
  <c r="K13" i="21" s="1"/>
  <c r="N91" i="19"/>
  <c r="M50" i="19"/>
  <c r="I7" i="22" s="1"/>
  <c r="J16" i="21" s="1"/>
  <c r="L67" i="5"/>
  <c r="L79" i="5"/>
  <c r="L89" i="5" s="1"/>
  <c r="I5" i="21" l="1"/>
  <c r="I8" i="21"/>
  <c r="I174" i="21" s="1"/>
  <c r="K5" i="20"/>
  <c r="J8" i="20"/>
  <c r="J174" i="20" s="1"/>
  <c r="F168" i="20"/>
  <c r="L83" i="20"/>
  <c r="L11" i="19"/>
  <c r="K9" i="19"/>
  <c r="G2" i="22" s="1"/>
  <c r="H11" i="21" s="1"/>
  <c r="P60" i="1"/>
  <c r="P64" i="1" s="1"/>
  <c r="P33" i="1"/>
  <c r="O9" i="1"/>
  <c r="O12" i="1"/>
  <c r="O10" i="1"/>
  <c r="O11" i="1"/>
  <c r="O16" i="1"/>
  <c r="O18" i="1"/>
  <c r="O15" i="1"/>
  <c r="O14" i="1"/>
  <c r="O17" i="1"/>
  <c r="O13" i="1"/>
  <c r="L37" i="1"/>
  <c r="N2" i="21"/>
  <c r="L45" i="19"/>
  <c r="K106" i="19"/>
  <c r="L41" i="19"/>
  <c r="K102" i="19"/>
  <c r="L43" i="19"/>
  <c r="K104" i="19"/>
  <c r="L44" i="19"/>
  <c r="K105" i="19"/>
  <c r="N48" i="19"/>
  <c r="M47" i="19"/>
  <c r="I6" i="22" s="1"/>
  <c r="J15" i="21" s="1"/>
  <c r="J93" i="19"/>
  <c r="F14" i="22" s="1"/>
  <c r="G14" i="20" s="1"/>
  <c r="L38" i="19"/>
  <c r="K99" i="19"/>
  <c r="L42" i="19"/>
  <c r="K103" i="19"/>
  <c r="L36" i="19"/>
  <c r="K97" i="19"/>
  <c r="L18" i="19"/>
  <c r="K7" i="19"/>
  <c r="K16" i="19"/>
  <c r="G3" i="22" s="1"/>
  <c r="H12" i="21" s="1"/>
  <c r="L35" i="19"/>
  <c r="K96" i="19"/>
  <c r="K22" i="20"/>
  <c r="L31" i="20" s="1"/>
  <c r="M40" i="20" s="1"/>
  <c r="N49" i="20" s="1"/>
  <c r="O58" i="20" s="1"/>
  <c r="P67" i="20" s="1"/>
  <c r="Q76" i="20" s="1"/>
  <c r="R85" i="20" s="1"/>
  <c r="S94" i="20" s="1"/>
  <c r="T103" i="20" s="1"/>
  <c r="U112" i="20" s="1"/>
  <c r="G23" i="20"/>
  <c r="H32" i="20" s="1"/>
  <c r="I41" i="20" s="1"/>
  <c r="J50" i="20" s="1"/>
  <c r="K59" i="20" s="1"/>
  <c r="L68" i="20" s="1"/>
  <c r="M77" i="20" s="1"/>
  <c r="N86" i="20" s="1"/>
  <c r="O95" i="20" s="1"/>
  <c r="P104" i="20" s="1"/>
  <c r="Q113" i="20" s="1"/>
  <c r="R122" i="20" s="1"/>
  <c r="S131" i="20" s="1"/>
  <c r="T140" i="20" s="1"/>
  <c r="U149" i="20" s="1"/>
  <c r="L34" i="19"/>
  <c r="K32" i="19"/>
  <c r="G5" i="22" s="1"/>
  <c r="H14" i="21" s="1"/>
  <c r="K95" i="19"/>
  <c r="L37" i="19"/>
  <c r="K98" i="19"/>
  <c r="S79" i="2"/>
  <c r="S89" i="2" s="1"/>
  <c r="S161" i="21"/>
  <c r="S183" i="21" s="1"/>
  <c r="N50" i="19"/>
  <c r="J7" i="22" s="1"/>
  <c r="K16" i="21" s="1"/>
  <c r="O92" i="19"/>
  <c r="O29" i="19"/>
  <c r="K4" i="22" s="1"/>
  <c r="L13" i="21" s="1"/>
  <c r="O91" i="19"/>
  <c r="N90" i="19"/>
  <c r="J13" i="22" s="1"/>
  <c r="K13" i="20" s="1"/>
  <c r="K167" i="20" s="1"/>
  <c r="M67" i="5"/>
  <c r="M79" i="5"/>
  <c r="M89" i="5" s="1"/>
  <c r="J5" i="21" l="1"/>
  <c r="J8" i="21"/>
  <c r="J174" i="21" s="1"/>
  <c r="G168" i="20"/>
  <c r="K8" i="20"/>
  <c r="K174" i="20" s="1"/>
  <c r="L5" i="20"/>
  <c r="M11" i="19"/>
  <c r="L9" i="19"/>
  <c r="H2" i="22" s="1"/>
  <c r="I11" i="21" s="1"/>
  <c r="M92" i="20"/>
  <c r="Q60" i="1"/>
  <c r="Q64" i="1" s="1"/>
  <c r="Q33" i="1"/>
  <c r="P15" i="1"/>
  <c r="P14" i="1"/>
  <c r="P9" i="1"/>
  <c r="P12" i="1"/>
  <c r="P17" i="1"/>
  <c r="P10" i="1"/>
  <c r="P11" i="1"/>
  <c r="P16" i="1"/>
  <c r="P18" i="1"/>
  <c r="P19" i="1"/>
  <c r="P13" i="1"/>
  <c r="M37" i="1"/>
  <c r="O2" i="21"/>
  <c r="M35" i="19"/>
  <c r="L96" i="19"/>
  <c r="M38" i="19"/>
  <c r="L99" i="19"/>
  <c r="M43" i="19"/>
  <c r="L104" i="19"/>
  <c r="H23" i="20"/>
  <c r="I32" i="20" s="1"/>
  <c r="J41" i="20" s="1"/>
  <c r="K50" i="20" s="1"/>
  <c r="L59" i="20" s="1"/>
  <c r="M68" i="20" s="1"/>
  <c r="N77" i="20" s="1"/>
  <c r="O86" i="20" s="1"/>
  <c r="P95" i="20" s="1"/>
  <c r="Q104" i="20" s="1"/>
  <c r="R113" i="20" s="1"/>
  <c r="S122" i="20" s="1"/>
  <c r="T131" i="20" s="1"/>
  <c r="U140" i="20" s="1"/>
  <c r="M41" i="19"/>
  <c r="L102" i="19"/>
  <c r="O48" i="19"/>
  <c r="N47" i="19"/>
  <c r="J6" i="22" s="1"/>
  <c r="K15" i="21" s="1"/>
  <c r="M44" i="19"/>
  <c r="L105" i="19"/>
  <c r="M18" i="19"/>
  <c r="L7" i="19"/>
  <c r="L16" i="19"/>
  <c r="H3" i="22" s="1"/>
  <c r="I12" i="21" s="1"/>
  <c r="M36" i="19"/>
  <c r="L97" i="19"/>
  <c r="M45" i="19"/>
  <c r="L106" i="19"/>
  <c r="M42" i="19"/>
  <c r="L103" i="19"/>
  <c r="M34" i="19"/>
  <c r="L32" i="19"/>
  <c r="H5" i="22" s="1"/>
  <c r="I14" i="21" s="1"/>
  <c r="L95" i="19"/>
  <c r="M37" i="19"/>
  <c r="L98" i="19"/>
  <c r="L22" i="20"/>
  <c r="M31" i="20" s="1"/>
  <c r="N40" i="20" s="1"/>
  <c r="O49" i="20" s="1"/>
  <c r="P58" i="20" s="1"/>
  <c r="Q67" i="20" s="1"/>
  <c r="R76" i="20" s="1"/>
  <c r="S85" i="20" s="1"/>
  <c r="T94" i="20" s="1"/>
  <c r="U103" i="20" s="1"/>
  <c r="K93" i="19"/>
  <c r="G14" i="22" s="1"/>
  <c r="H14" i="20" s="1"/>
  <c r="T79" i="2"/>
  <c r="T89" i="2" s="1"/>
  <c r="P92" i="19"/>
  <c r="O90" i="19"/>
  <c r="K13" i="22" s="1"/>
  <c r="L13" i="20" s="1"/>
  <c r="P29" i="19"/>
  <c r="L4" i="22" s="1"/>
  <c r="M13" i="21" s="1"/>
  <c r="P91" i="19"/>
  <c r="O50" i="19"/>
  <c r="K7" i="22" s="1"/>
  <c r="L16" i="21" s="1"/>
  <c r="N67" i="5"/>
  <c r="N79" i="5"/>
  <c r="N89" i="5" s="1"/>
  <c r="K5" i="21" l="1"/>
  <c r="K8" i="21"/>
  <c r="K174" i="21" s="1"/>
  <c r="M5" i="20"/>
  <c r="L8" i="20"/>
  <c r="L174" i="20" s="1"/>
  <c r="L167" i="20"/>
  <c r="H168" i="20"/>
  <c r="N11" i="19"/>
  <c r="M9" i="19"/>
  <c r="I2" i="22" s="1"/>
  <c r="J11" i="21" s="1"/>
  <c r="N101" i="20"/>
  <c r="R60" i="1"/>
  <c r="R64" i="1" s="1"/>
  <c r="R33" i="1"/>
  <c r="Q13" i="1"/>
  <c r="Q15" i="1"/>
  <c r="Q16" i="1"/>
  <c r="Q9" i="1"/>
  <c r="Q12" i="1"/>
  <c r="Q14" i="1"/>
  <c r="Q10" i="1"/>
  <c r="Q11" i="1"/>
  <c r="Q18" i="1"/>
  <c r="Q17" i="1"/>
  <c r="Q20" i="1"/>
  <c r="Q19" i="1"/>
  <c r="P2" i="21"/>
  <c r="N44" i="19"/>
  <c r="M105" i="19"/>
  <c r="N43" i="19"/>
  <c r="M104" i="19"/>
  <c r="I23" i="20"/>
  <c r="J32" i="20" s="1"/>
  <c r="K41" i="20" s="1"/>
  <c r="L50" i="20" s="1"/>
  <c r="M59" i="20" s="1"/>
  <c r="N68" i="20" s="1"/>
  <c r="O77" i="20" s="1"/>
  <c r="P86" i="20" s="1"/>
  <c r="Q95" i="20" s="1"/>
  <c r="R104" i="20" s="1"/>
  <c r="S113" i="20" s="1"/>
  <c r="T122" i="20" s="1"/>
  <c r="U131" i="20" s="1"/>
  <c r="L93" i="19"/>
  <c r="H14" i="22" s="1"/>
  <c r="I14" i="20" s="1"/>
  <c r="N36" i="19"/>
  <c r="M97" i="19"/>
  <c r="N45" i="19"/>
  <c r="M106" i="19"/>
  <c r="P48" i="19"/>
  <c r="O47" i="19"/>
  <c r="K6" i="22" s="1"/>
  <c r="L15" i="21" s="1"/>
  <c r="N38" i="19"/>
  <c r="M99" i="19"/>
  <c r="N34" i="19"/>
  <c r="M32" i="19"/>
  <c r="I5" i="22" s="1"/>
  <c r="J14" i="21" s="1"/>
  <c r="M95" i="19"/>
  <c r="N41" i="19"/>
  <c r="M102" i="19"/>
  <c r="N18" i="19"/>
  <c r="M7" i="19"/>
  <c r="M16" i="19"/>
  <c r="I3" i="22" s="1"/>
  <c r="J12" i="21" s="1"/>
  <c r="M22" i="20"/>
  <c r="N31" i="20" s="1"/>
  <c r="O40" i="20" s="1"/>
  <c r="P49" i="20" s="1"/>
  <c r="Q58" i="20" s="1"/>
  <c r="R67" i="20" s="1"/>
  <c r="S76" i="20" s="1"/>
  <c r="T85" i="20" s="1"/>
  <c r="U94" i="20" s="1"/>
  <c r="N37" i="19"/>
  <c r="M98" i="19"/>
  <c r="N42" i="19"/>
  <c r="M103" i="19"/>
  <c r="N35" i="19"/>
  <c r="M96" i="19"/>
  <c r="U79" i="2"/>
  <c r="U89" i="2" s="1"/>
  <c r="P90" i="19"/>
  <c r="L13" i="22" s="1"/>
  <c r="M13" i="20" s="1"/>
  <c r="M167" i="20" s="1"/>
  <c r="Q29" i="19"/>
  <c r="M4" i="22" s="1"/>
  <c r="N13" i="21" s="1"/>
  <c r="Q91" i="19"/>
  <c r="P50" i="19"/>
  <c r="L7" i="22" s="1"/>
  <c r="M16" i="21" s="1"/>
  <c r="Q92" i="19"/>
  <c r="O67" i="5"/>
  <c r="O79" i="5"/>
  <c r="O89" i="5" s="1"/>
  <c r="L5" i="21" l="1"/>
  <c r="L8" i="21"/>
  <c r="L174" i="21" s="1"/>
  <c r="N5" i="20"/>
  <c r="M8" i="20"/>
  <c r="M174" i="20" s="1"/>
  <c r="O11" i="19"/>
  <c r="N9" i="19"/>
  <c r="J2" i="22" s="1"/>
  <c r="K11" i="21" s="1"/>
  <c r="I168" i="20"/>
  <c r="O110" i="20"/>
  <c r="S60" i="1"/>
  <c r="S64" i="1" s="1"/>
  <c r="S33" i="1"/>
  <c r="R18" i="1"/>
  <c r="R19" i="1"/>
  <c r="R13" i="1"/>
  <c r="R17" i="1"/>
  <c r="R15" i="1"/>
  <c r="R20" i="1"/>
  <c r="R9" i="1"/>
  <c r="R12" i="1"/>
  <c r="R16" i="1"/>
  <c r="R10" i="1"/>
  <c r="R11" i="1"/>
  <c r="R14" i="1"/>
  <c r="O37" i="1"/>
  <c r="N43" i="1"/>
  <c r="N37" i="1"/>
  <c r="O38" i="19"/>
  <c r="N99" i="19"/>
  <c r="O35" i="19"/>
  <c r="N96" i="19"/>
  <c r="N22" i="20"/>
  <c r="O31" i="20" s="1"/>
  <c r="P40" i="20" s="1"/>
  <c r="Q49" i="20" s="1"/>
  <c r="R58" i="20" s="1"/>
  <c r="S67" i="20" s="1"/>
  <c r="T76" i="20" s="1"/>
  <c r="U85" i="20" s="1"/>
  <c r="O18" i="19"/>
  <c r="N16" i="19"/>
  <c r="J3" i="22" s="1"/>
  <c r="K12" i="21" s="1"/>
  <c r="N7" i="19"/>
  <c r="O34" i="19"/>
  <c r="N32" i="19"/>
  <c r="J5" i="22" s="1"/>
  <c r="K14" i="21" s="1"/>
  <c r="N95" i="19"/>
  <c r="O42" i="19"/>
  <c r="N103" i="19"/>
  <c r="O45" i="19"/>
  <c r="N106" i="19"/>
  <c r="J23" i="20"/>
  <c r="K32" i="20" s="1"/>
  <c r="L41" i="20" s="1"/>
  <c r="M50" i="20" s="1"/>
  <c r="N59" i="20" s="1"/>
  <c r="O68" i="20" s="1"/>
  <c r="P77" i="20" s="1"/>
  <c r="Q86" i="20" s="1"/>
  <c r="R95" i="20" s="1"/>
  <c r="S104" i="20" s="1"/>
  <c r="T113" i="20" s="1"/>
  <c r="U122" i="20" s="1"/>
  <c r="M93" i="19"/>
  <c r="I14" i="22" s="1"/>
  <c r="J14" i="20" s="1"/>
  <c r="O41" i="19"/>
  <c r="N102" i="19"/>
  <c r="O43" i="19"/>
  <c r="N104" i="19"/>
  <c r="O37" i="19"/>
  <c r="N98" i="19"/>
  <c r="Q48" i="19"/>
  <c r="P47" i="19"/>
  <c r="L6" i="22" s="1"/>
  <c r="M15" i="21" s="1"/>
  <c r="O36" i="19"/>
  <c r="N97" i="19"/>
  <c r="O44" i="19"/>
  <c r="N105" i="19"/>
  <c r="V79" i="2"/>
  <c r="V89" i="2" s="1"/>
  <c r="Q90" i="19"/>
  <c r="M13" i="22" s="1"/>
  <c r="N13" i="20" s="1"/>
  <c r="R92" i="19"/>
  <c r="Q50" i="19"/>
  <c r="M7" i="22" s="1"/>
  <c r="N16" i="21" s="1"/>
  <c r="R29" i="19"/>
  <c r="N4" i="22" s="1"/>
  <c r="O13" i="21" s="1"/>
  <c r="R91" i="19"/>
  <c r="P79" i="5"/>
  <c r="P89" i="5" s="1"/>
  <c r="P67" i="5"/>
  <c r="M5" i="21" l="1"/>
  <c r="M8" i="21"/>
  <c r="M174" i="21" s="1"/>
  <c r="O5" i="20"/>
  <c r="N8" i="20"/>
  <c r="N174" i="20" s="1"/>
  <c r="N167" i="20"/>
  <c r="P11" i="19"/>
  <c r="O9" i="19"/>
  <c r="K2" i="22" s="1"/>
  <c r="L11" i="21" s="1"/>
  <c r="P119" i="20"/>
  <c r="J168" i="20"/>
  <c r="T60" i="1"/>
  <c r="T64" i="1" s="1"/>
  <c r="T33" i="1"/>
  <c r="S17" i="1"/>
  <c r="S20" i="1"/>
  <c r="S18" i="1"/>
  <c r="S19" i="1"/>
  <c r="S13" i="1"/>
  <c r="S11" i="1"/>
  <c r="S15" i="1"/>
  <c r="S12" i="1"/>
  <c r="S10" i="1"/>
  <c r="S9" i="1"/>
  <c r="S16" i="1"/>
  <c r="S14" i="1"/>
  <c r="P37" i="1"/>
  <c r="R8" i="21"/>
  <c r="R174" i="21" s="1"/>
  <c r="R2" i="21"/>
  <c r="P37" i="19"/>
  <c r="O98" i="19"/>
  <c r="K23" i="20"/>
  <c r="L32" i="20" s="1"/>
  <c r="M41" i="20" s="1"/>
  <c r="N50" i="20" s="1"/>
  <c r="O59" i="20" s="1"/>
  <c r="P68" i="20" s="1"/>
  <c r="Q77" i="20" s="1"/>
  <c r="R86" i="20" s="1"/>
  <c r="S95" i="20" s="1"/>
  <c r="T104" i="20" s="1"/>
  <c r="U113" i="20" s="1"/>
  <c r="P18" i="19"/>
  <c r="O7" i="19"/>
  <c r="O16" i="19"/>
  <c r="K3" i="22" s="1"/>
  <c r="L12" i="21" s="1"/>
  <c r="P36" i="19"/>
  <c r="O97" i="19"/>
  <c r="N93" i="19"/>
  <c r="P42" i="19"/>
  <c r="O103" i="19"/>
  <c r="P35" i="19"/>
  <c r="O96" i="19"/>
  <c r="O22" i="20"/>
  <c r="P31" i="20" s="1"/>
  <c r="Q40" i="20" s="1"/>
  <c r="R49" i="20" s="1"/>
  <c r="S58" i="20" s="1"/>
  <c r="T67" i="20" s="1"/>
  <c r="U76" i="20" s="1"/>
  <c r="P41" i="19"/>
  <c r="O102" i="19"/>
  <c r="R48" i="19"/>
  <c r="Q47" i="19"/>
  <c r="M6" i="22" s="1"/>
  <c r="N15" i="21" s="1"/>
  <c r="P43" i="19"/>
  <c r="O104" i="19"/>
  <c r="P34" i="19"/>
  <c r="O95" i="19"/>
  <c r="O32" i="19"/>
  <c r="K5" i="22" s="1"/>
  <c r="L14" i="21" s="1"/>
  <c r="P45" i="19"/>
  <c r="O106" i="19"/>
  <c r="P44" i="19"/>
  <c r="O105" i="19"/>
  <c r="P38" i="19"/>
  <c r="O99" i="19"/>
  <c r="W79" i="2"/>
  <c r="W89" i="2" s="1"/>
  <c r="R50" i="19"/>
  <c r="N7" i="22" s="1"/>
  <c r="O16" i="21" s="1"/>
  <c r="S92" i="19"/>
  <c r="S29" i="19"/>
  <c r="O4" i="22" s="1"/>
  <c r="P13" i="21" s="1"/>
  <c r="S91" i="19"/>
  <c r="R90" i="19"/>
  <c r="N13" i="22" s="1"/>
  <c r="O13" i="20" s="1"/>
  <c r="Q79" i="5"/>
  <c r="Q89" i="5" s="1"/>
  <c r="Q67" i="5"/>
  <c r="N8" i="21" l="1"/>
  <c r="N174" i="21" s="1"/>
  <c r="N5" i="21"/>
  <c r="P5" i="20"/>
  <c r="O8" i="20"/>
  <c r="O174" i="20" s="1"/>
  <c r="O167" i="20"/>
  <c r="Q11" i="19"/>
  <c r="P9" i="19"/>
  <c r="L2" i="22" s="1"/>
  <c r="M11" i="21" s="1"/>
  <c r="Q128" i="20"/>
  <c r="U60" i="1"/>
  <c r="U64" i="1" s="1"/>
  <c r="U33" i="1"/>
  <c r="T14" i="1"/>
  <c r="T12" i="1"/>
  <c r="T17" i="1"/>
  <c r="T20" i="1"/>
  <c r="T18" i="1"/>
  <c r="T19" i="1"/>
  <c r="T9" i="1"/>
  <c r="T13" i="1"/>
  <c r="T16" i="1"/>
  <c r="T15" i="1"/>
  <c r="T10" i="1"/>
  <c r="T11" i="1"/>
  <c r="Q37" i="1"/>
  <c r="S2" i="21"/>
  <c r="S8" i="21"/>
  <c r="S174" i="21" s="1"/>
  <c r="Q35" i="19"/>
  <c r="P96" i="19"/>
  <c r="P22" i="20"/>
  <c r="Q31" i="20" s="1"/>
  <c r="R40" i="20" s="1"/>
  <c r="S49" i="20" s="1"/>
  <c r="T58" i="20" s="1"/>
  <c r="U67" i="20" s="1"/>
  <c r="Q38" i="19"/>
  <c r="P99" i="19"/>
  <c r="Q45" i="19"/>
  <c r="P106" i="19"/>
  <c r="Q42" i="19"/>
  <c r="P103" i="19"/>
  <c r="Q18" i="19"/>
  <c r="P7" i="19"/>
  <c r="P16" i="19"/>
  <c r="L3" i="22" s="1"/>
  <c r="M12" i="21" s="1"/>
  <c r="S48" i="19"/>
  <c r="R47" i="19"/>
  <c r="N6" i="22" s="1"/>
  <c r="O15" i="21" s="1"/>
  <c r="N69" i="19"/>
  <c r="J14" i="22"/>
  <c r="K14" i="20" s="1"/>
  <c r="K168" i="20" s="1"/>
  <c r="Q34" i="19"/>
  <c r="P32" i="19"/>
  <c r="L5" i="22" s="1"/>
  <c r="M14" i="21" s="1"/>
  <c r="P95" i="19"/>
  <c r="Q36" i="19"/>
  <c r="P97" i="19"/>
  <c r="Q41" i="19"/>
  <c r="P102" i="19"/>
  <c r="Q37" i="19"/>
  <c r="P98" i="19"/>
  <c r="O93" i="19"/>
  <c r="Q44" i="19"/>
  <c r="P105" i="19"/>
  <c r="Q43" i="19"/>
  <c r="P104" i="19"/>
  <c r="X79" i="2"/>
  <c r="X89" i="2" s="1"/>
  <c r="S50" i="19"/>
  <c r="O7" i="22" s="1"/>
  <c r="P16" i="21" s="1"/>
  <c r="S90" i="19"/>
  <c r="O13" i="22" s="1"/>
  <c r="P13" i="20" s="1"/>
  <c r="T29" i="19"/>
  <c r="P4" i="22" s="1"/>
  <c r="Q13" i="21" s="1"/>
  <c r="T91" i="19"/>
  <c r="T92" i="19"/>
  <c r="R79" i="5"/>
  <c r="R89" i="5" s="1"/>
  <c r="R67" i="5"/>
  <c r="O5" i="21" l="1"/>
  <c r="O8" i="21"/>
  <c r="O174" i="21" s="1"/>
  <c r="Q5" i="20"/>
  <c r="P8" i="20"/>
  <c r="P174" i="20" s="1"/>
  <c r="P167" i="20"/>
  <c r="R11" i="19"/>
  <c r="Q9" i="19"/>
  <c r="M2" i="22" s="1"/>
  <c r="N11" i="21" s="1"/>
  <c r="R137" i="20"/>
  <c r="V60" i="1"/>
  <c r="V64" i="1" s="1"/>
  <c r="V33" i="1"/>
  <c r="U16" i="1"/>
  <c r="U14" i="1"/>
  <c r="U17" i="1"/>
  <c r="U20" i="1"/>
  <c r="U18" i="1"/>
  <c r="U19" i="1"/>
  <c r="U13" i="1"/>
  <c r="U15" i="1"/>
  <c r="U9" i="1"/>
  <c r="U12" i="1"/>
  <c r="U10" i="1"/>
  <c r="U11" i="1"/>
  <c r="R37" i="1"/>
  <c r="T2" i="21"/>
  <c r="T8" i="21"/>
  <c r="T174" i="21" s="1"/>
  <c r="Q22" i="20"/>
  <c r="R31" i="20" s="1"/>
  <c r="S40" i="20" s="1"/>
  <c r="T49" i="20" s="1"/>
  <c r="U58" i="20" s="1"/>
  <c r="R45" i="19"/>
  <c r="Q106" i="19"/>
  <c r="R18" i="19"/>
  <c r="Q16" i="19"/>
  <c r="M3" i="22" s="1"/>
  <c r="N12" i="21" s="1"/>
  <c r="Q7" i="19"/>
  <c r="R41" i="19"/>
  <c r="Q102" i="19"/>
  <c r="L23" i="20"/>
  <c r="M32" i="20" s="1"/>
  <c r="N41" i="20" s="1"/>
  <c r="O50" i="20" s="1"/>
  <c r="P59" i="20" s="1"/>
  <c r="Q68" i="20" s="1"/>
  <c r="R77" i="20" s="1"/>
  <c r="S86" i="20" s="1"/>
  <c r="T95" i="20" s="1"/>
  <c r="U104" i="20" s="1"/>
  <c r="R38" i="19"/>
  <c r="Q99" i="19"/>
  <c r="R44" i="19"/>
  <c r="Q105" i="19"/>
  <c r="O69" i="19"/>
  <c r="K14" i="22"/>
  <c r="L14" i="20" s="1"/>
  <c r="R36" i="19"/>
  <c r="Q97" i="19"/>
  <c r="R43" i="19"/>
  <c r="Q104" i="19"/>
  <c r="R34" i="19"/>
  <c r="Q95" i="19"/>
  <c r="Q32" i="19"/>
  <c r="M5" i="22" s="1"/>
  <c r="N14" i="21" s="1"/>
  <c r="P93" i="19"/>
  <c r="R37" i="19"/>
  <c r="Q98" i="19"/>
  <c r="T48" i="19"/>
  <c r="S47" i="19"/>
  <c r="O6" i="22" s="1"/>
  <c r="P15" i="21" s="1"/>
  <c r="R42" i="19"/>
  <c r="Q103" i="19"/>
  <c r="R35" i="19"/>
  <c r="Q96" i="19"/>
  <c r="Y79" i="2"/>
  <c r="Y89" i="2" s="1"/>
  <c r="U92" i="19"/>
  <c r="T50" i="19"/>
  <c r="P7" i="22" s="1"/>
  <c r="Q16" i="21" s="1"/>
  <c r="E52" i="19"/>
  <c r="T90" i="19"/>
  <c r="P13" i="22" s="1"/>
  <c r="Q13" i="20" s="1"/>
  <c r="Q167" i="20" s="1"/>
  <c r="U29" i="19"/>
  <c r="Q4" i="22" s="1"/>
  <c r="R13" i="21" s="1"/>
  <c r="U91" i="19"/>
  <c r="S67" i="5"/>
  <c r="S79" i="5"/>
  <c r="S89" i="5" s="1"/>
  <c r="P8" i="21" l="1"/>
  <c r="P174" i="21" s="1"/>
  <c r="P5" i="21"/>
  <c r="Q8" i="21" s="1"/>
  <c r="Q174" i="21" s="1"/>
  <c r="R5" i="20"/>
  <c r="Q8" i="20"/>
  <c r="Q174" i="20" s="1"/>
  <c r="L168" i="20"/>
  <c r="S11" i="19"/>
  <c r="R9" i="19"/>
  <c r="N2" i="22" s="1"/>
  <c r="O11" i="21" s="1"/>
  <c r="S146" i="20"/>
  <c r="W20" i="1"/>
  <c r="W33" i="1"/>
  <c r="W60" i="1"/>
  <c r="W64" i="1" s="1"/>
  <c r="V10" i="1"/>
  <c r="V11" i="1"/>
  <c r="V18" i="1"/>
  <c r="V16" i="1"/>
  <c r="V20" i="1"/>
  <c r="V13" i="1"/>
  <c r="V14" i="1"/>
  <c r="V17" i="1"/>
  <c r="V19" i="1"/>
  <c r="V15" i="1"/>
  <c r="V9" i="1"/>
  <c r="V12" i="1"/>
  <c r="W11" i="1"/>
  <c r="W14" i="1"/>
  <c r="S37" i="1"/>
  <c r="U2" i="21"/>
  <c r="U8" i="21"/>
  <c r="U174" i="21" s="1"/>
  <c r="S18" i="19"/>
  <c r="R16" i="19"/>
  <c r="N3" i="22" s="1"/>
  <c r="O12" i="21" s="1"/>
  <c r="R7" i="19"/>
  <c r="U48" i="19"/>
  <c r="T47" i="19"/>
  <c r="P6" i="22" s="1"/>
  <c r="Q15" i="21" s="1"/>
  <c r="Q93" i="19"/>
  <c r="S36" i="19"/>
  <c r="R97" i="19"/>
  <c r="S38" i="19"/>
  <c r="R99" i="19"/>
  <c r="R22" i="20"/>
  <c r="S31" i="20" s="1"/>
  <c r="T40" i="20" s="1"/>
  <c r="U49" i="20" s="1"/>
  <c r="S37" i="19"/>
  <c r="R98" i="19"/>
  <c r="U107" i="20"/>
  <c r="S34" i="19"/>
  <c r="R32" i="19"/>
  <c r="N5" i="22" s="1"/>
  <c r="O14" i="21" s="1"/>
  <c r="R95" i="19"/>
  <c r="M23" i="20"/>
  <c r="N32" i="20" s="1"/>
  <c r="O41" i="20" s="1"/>
  <c r="P50" i="20" s="1"/>
  <c r="Q59" i="20" s="1"/>
  <c r="R68" i="20" s="1"/>
  <c r="S77" i="20" s="1"/>
  <c r="T86" i="20" s="1"/>
  <c r="U95" i="20" s="1"/>
  <c r="S45" i="19"/>
  <c r="R106" i="19"/>
  <c r="S43" i="19"/>
  <c r="R104" i="19"/>
  <c r="S42" i="19"/>
  <c r="R103" i="19"/>
  <c r="S35" i="19"/>
  <c r="R96" i="19"/>
  <c r="P69" i="19"/>
  <c r="L14" i="22"/>
  <c r="M14" i="20" s="1"/>
  <c r="M168" i="20" s="1"/>
  <c r="S44" i="19"/>
  <c r="R105" i="19"/>
  <c r="S41" i="19"/>
  <c r="R102" i="19"/>
  <c r="Z79" i="2"/>
  <c r="Z89" i="2" s="1"/>
  <c r="U90" i="19"/>
  <c r="Q13" i="22" s="1"/>
  <c r="R13" i="20" s="1"/>
  <c r="R167" i="20" s="1"/>
  <c r="F113" i="19"/>
  <c r="F111" i="19" s="1"/>
  <c r="B16" i="22" s="1"/>
  <c r="C16" i="20" s="1"/>
  <c r="C170" i="20" s="1"/>
  <c r="V92" i="19"/>
  <c r="V29" i="19"/>
  <c r="R4" i="22" s="1"/>
  <c r="S13" i="21" s="1"/>
  <c r="V91" i="19"/>
  <c r="T67" i="5"/>
  <c r="T79" i="5"/>
  <c r="T89" i="5" s="1"/>
  <c r="S5" i="20" l="1"/>
  <c r="R8" i="20"/>
  <c r="R174" i="20" s="1"/>
  <c r="W10" i="1"/>
  <c r="W15" i="1"/>
  <c r="W18" i="1"/>
  <c r="W12" i="1"/>
  <c r="W13" i="1"/>
  <c r="W9" i="1"/>
  <c r="W19" i="1"/>
  <c r="W17" i="1"/>
  <c r="W16" i="1"/>
  <c r="T11" i="19"/>
  <c r="T9" i="19" s="1"/>
  <c r="P2" i="22" s="1"/>
  <c r="Q11" i="21" s="1"/>
  <c r="S9" i="19"/>
  <c r="O2" i="22" s="1"/>
  <c r="P11" i="21" s="1"/>
  <c r="T155" i="20"/>
  <c r="T165" i="20" s="1"/>
  <c r="T37" i="1"/>
  <c r="R93" i="19"/>
  <c r="N14" i="22" s="1"/>
  <c r="O14" i="20" s="1"/>
  <c r="T41" i="19"/>
  <c r="S102" i="19"/>
  <c r="M14" i="22"/>
  <c r="N14" i="20" s="1"/>
  <c r="Q69" i="19"/>
  <c r="T44" i="19"/>
  <c r="S105" i="19"/>
  <c r="T34" i="19"/>
  <c r="S32" i="19"/>
  <c r="O5" i="22" s="1"/>
  <c r="P14" i="21" s="1"/>
  <c r="S95" i="19"/>
  <c r="T42" i="19"/>
  <c r="S103" i="19"/>
  <c r="T43" i="19"/>
  <c r="S104" i="19"/>
  <c r="U47" i="19"/>
  <c r="Q6" i="22" s="1"/>
  <c r="R15" i="21" s="1"/>
  <c r="E48" i="19"/>
  <c r="G109" i="19" s="1"/>
  <c r="G108" i="19" s="1"/>
  <c r="C15" i="22" s="1"/>
  <c r="D15" i="20" s="1"/>
  <c r="D169" i="20" s="1"/>
  <c r="N23" i="20"/>
  <c r="O32" i="20" s="1"/>
  <c r="P41" i="20" s="1"/>
  <c r="Q50" i="20" s="1"/>
  <c r="R59" i="20" s="1"/>
  <c r="S68" i="20" s="1"/>
  <c r="T77" i="20" s="1"/>
  <c r="U86" i="20" s="1"/>
  <c r="T36" i="19"/>
  <c r="S97" i="19"/>
  <c r="T45" i="19"/>
  <c r="S106" i="19"/>
  <c r="S22" i="20"/>
  <c r="T31" i="20" s="1"/>
  <c r="U40" i="20" s="1"/>
  <c r="T35" i="19"/>
  <c r="S96" i="19"/>
  <c r="T38" i="19"/>
  <c r="S99" i="19"/>
  <c r="T18" i="19"/>
  <c r="S7" i="19"/>
  <c r="S16" i="19"/>
  <c r="O3" i="22" s="1"/>
  <c r="P12" i="21" s="1"/>
  <c r="D25" i="20"/>
  <c r="E34" i="20" s="1"/>
  <c r="F43" i="20" s="1"/>
  <c r="G52" i="20" s="1"/>
  <c r="H61" i="20" s="1"/>
  <c r="I70" i="20" s="1"/>
  <c r="J79" i="20" s="1"/>
  <c r="K88" i="20" s="1"/>
  <c r="L97" i="20" s="1"/>
  <c r="M106" i="20" s="1"/>
  <c r="N115" i="20" s="1"/>
  <c r="O124" i="20" s="1"/>
  <c r="P133" i="20" s="1"/>
  <c r="Q142" i="20" s="1"/>
  <c r="R151" i="20" s="1"/>
  <c r="S160" i="20" s="1"/>
  <c r="U98" i="20"/>
  <c r="T37" i="19"/>
  <c r="S98" i="19"/>
  <c r="W29" i="19"/>
  <c r="S4" i="22" s="1"/>
  <c r="T13" i="21" s="1"/>
  <c r="W91" i="19"/>
  <c r="W92" i="19"/>
  <c r="V90" i="19"/>
  <c r="R13" i="22" s="1"/>
  <c r="S13" i="20" s="1"/>
  <c r="G113" i="19"/>
  <c r="U67" i="5"/>
  <c r="U79" i="5"/>
  <c r="U89" i="5" s="1"/>
  <c r="T5" i="20" l="1"/>
  <c r="S8" i="20"/>
  <c r="S174" i="20" s="1"/>
  <c r="N168" i="20"/>
  <c r="R69" i="19"/>
  <c r="E11" i="19"/>
  <c r="F72" i="19" s="1"/>
  <c r="F70" i="19" s="1"/>
  <c r="B11" i="22" s="1"/>
  <c r="S167" i="20"/>
  <c r="X60" i="1"/>
  <c r="X33" i="1"/>
  <c r="U37" i="1"/>
  <c r="T16" i="19"/>
  <c r="P3" i="22" s="1"/>
  <c r="Q12" i="21" s="1"/>
  <c r="T7" i="19"/>
  <c r="E18" i="19"/>
  <c r="U37" i="19"/>
  <c r="T98" i="19"/>
  <c r="U36" i="19"/>
  <c r="T97" i="19"/>
  <c r="U38" i="19"/>
  <c r="T99" i="19"/>
  <c r="H109" i="19"/>
  <c r="I109" i="19" s="1"/>
  <c r="P23" i="20"/>
  <c r="Q32" i="20" s="1"/>
  <c r="R41" i="20" s="1"/>
  <c r="S50" i="20" s="1"/>
  <c r="T59" i="20" s="1"/>
  <c r="U68" i="20" s="1"/>
  <c r="U34" i="19"/>
  <c r="T95" i="19"/>
  <c r="T32" i="19"/>
  <c r="P5" i="22" s="1"/>
  <c r="Q14" i="21" s="1"/>
  <c r="U43" i="19"/>
  <c r="T104" i="19"/>
  <c r="U44" i="19"/>
  <c r="T105" i="19"/>
  <c r="E24" i="20"/>
  <c r="F33" i="20" s="1"/>
  <c r="G42" i="20" s="1"/>
  <c r="H51" i="20" s="1"/>
  <c r="I60" i="20" s="1"/>
  <c r="J69" i="20" s="1"/>
  <c r="K78" i="20" s="1"/>
  <c r="L87" i="20" s="1"/>
  <c r="M96" i="20" s="1"/>
  <c r="N105" i="20" s="1"/>
  <c r="O114" i="20" s="1"/>
  <c r="P123" i="20" s="1"/>
  <c r="Q132" i="20" s="1"/>
  <c r="R141" i="20" s="1"/>
  <c r="S150" i="20" s="1"/>
  <c r="T159" i="20" s="1"/>
  <c r="T22" i="20"/>
  <c r="U31" i="20" s="1"/>
  <c r="U35" i="19"/>
  <c r="T96" i="19"/>
  <c r="U45" i="19"/>
  <c r="T106" i="19"/>
  <c r="U42" i="19"/>
  <c r="T103" i="19"/>
  <c r="O23" i="20"/>
  <c r="P32" i="20" s="1"/>
  <c r="Q41" i="20" s="1"/>
  <c r="R50" i="20" s="1"/>
  <c r="S59" i="20" s="1"/>
  <c r="T68" i="20" s="1"/>
  <c r="U77" i="20" s="1"/>
  <c r="U89" i="20"/>
  <c r="U179" i="20" s="1"/>
  <c r="S93" i="19"/>
  <c r="U41" i="19"/>
  <c r="T102" i="19"/>
  <c r="X92" i="19"/>
  <c r="W90" i="19"/>
  <c r="S13" i="22" s="1"/>
  <c r="T13" i="20" s="1"/>
  <c r="G111" i="19"/>
  <c r="C16" i="22" s="1"/>
  <c r="D16" i="20" s="1"/>
  <c r="D170" i="20" s="1"/>
  <c r="H113" i="19"/>
  <c r="X29" i="19"/>
  <c r="T4" i="22" s="1"/>
  <c r="U13" i="21" s="1"/>
  <c r="X91" i="19"/>
  <c r="V67" i="5"/>
  <c r="V79" i="5"/>
  <c r="V89" i="5" s="1"/>
  <c r="T167" i="20" l="1"/>
  <c r="U5" i="20"/>
  <c r="U8" i="20" s="1"/>
  <c r="U174" i="20" s="1"/>
  <c r="T8" i="20"/>
  <c r="T174" i="20" s="1"/>
  <c r="C165" i="20"/>
  <c r="C11" i="20"/>
  <c r="D20" i="20" s="1"/>
  <c r="D165" i="20" s="1"/>
  <c r="E70" i="19"/>
  <c r="H108" i="19"/>
  <c r="D15" i="22" s="1"/>
  <c r="E15" i="20" s="1"/>
  <c r="E169" i="20" s="1"/>
  <c r="O168" i="20"/>
  <c r="V37" i="1"/>
  <c r="U80" i="20"/>
  <c r="V36" i="19"/>
  <c r="U97" i="19"/>
  <c r="T93" i="19"/>
  <c r="V41" i="19"/>
  <c r="U102" i="19"/>
  <c r="V43" i="19"/>
  <c r="U104" i="19"/>
  <c r="V34" i="19"/>
  <c r="U32" i="19"/>
  <c r="Q5" i="22" s="1"/>
  <c r="R14" i="21" s="1"/>
  <c r="U95" i="19"/>
  <c r="U7" i="19"/>
  <c r="O14" i="22"/>
  <c r="P14" i="20" s="1"/>
  <c r="P168" i="20" s="1"/>
  <c r="S69" i="19"/>
  <c r="U71" i="20"/>
  <c r="U178" i="20" s="1"/>
  <c r="V35" i="19"/>
  <c r="U96" i="19"/>
  <c r="V37" i="19"/>
  <c r="U98" i="19"/>
  <c r="E25" i="20"/>
  <c r="F34" i="20" s="1"/>
  <c r="G43" i="20" s="1"/>
  <c r="H52" i="20" s="1"/>
  <c r="I61" i="20" s="1"/>
  <c r="J70" i="20" s="1"/>
  <c r="K79" i="20" s="1"/>
  <c r="L88" i="20" s="1"/>
  <c r="M97" i="20" s="1"/>
  <c r="N106" i="20" s="1"/>
  <c r="O115" i="20" s="1"/>
  <c r="P124" i="20" s="1"/>
  <c r="Q133" i="20" s="1"/>
  <c r="R142" i="20" s="1"/>
  <c r="S151" i="20" s="1"/>
  <c r="T160" i="20" s="1"/>
  <c r="V42" i="19"/>
  <c r="U103" i="19"/>
  <c r="F79" i="19"/>
  <c r="F77" i="19" s="1"/>
  <c r="F69" i="19" s="1"/>
  <c r="U22" i="20"/>
  <c r="V45" i="19"/>
  <c r="U106" i="19"/>
  <c r="V44" i="19"/>
  <c r="U105" i="19"/>
  <c r="V38" i="19"/>
  <c r="U99" i="19"/>
  <c r="J109" i="19"/>
  <c r="I108" i="19"/>
  <c r="E15" i="22" s="1"/>
  <c r="F15" i="20" s="1"/>
  <c r="X90" i="19"/>
  <c r="T13" i="22" s="1"/>
  <c r="U13" i="20" s="1"/>
  <c r="H111" i="19"/>
  <c r="D16" i="22" s="1"/>
  <c r="E16" i="20" s="1"/>
  <c r="I113" i="19"/>
  <c r="W67" i="5"/>
  <c r="W79" i="5"/>
  <c r="W89" i="5" s="1"/>
  <c r="U167" i="20" l="1"/>
  <c r="E29" i="20"/>
  <c r="E165" i="20" s="1"/>
  <c r="F24" i="20"/>
  <c r="G33" i="20" s="1"/>
  <c r="H42" i="20" s="1"/>
  <c r="I51" i="20" s="1"/>
  <c r="J60" i="20" s="1"/>
  <c r="K69" i="20" s="1"/>
  <c r="L78" i="20" s="1"/>
  <c r="M87" i="20" s="1"/>
  <c r="N96" i="20" s="1"/>
  <c r="O105" i="20" s="1"/>
  <c r="P114" i="20" s="1"/>
  <c r="Q123" i="20" s="1"/>
  <c r="R132" i="20" s="1"/>
  <c r="S141" i="20" s="1"/>
  <c r="T150" i="20" s="1"/>
  <c r="U159" i="20" s="1"/>
  <c r="E170" i="20"/>
  <c r="G79" i="19"/>
  <c r="G77" i="19" s="1"/>
  <c r="F38" i="20"/>
  <c r="F165" i="20" s="1"/>
  <c r="W43" i="19"/>
  <c r="V104" i="19"/>
  <c r="W45" i="19"/>
  <c r="V106" i="19"/>
  <c r="Q23" i="20"/>
  <c r="R32" i="20" s="1"/>
  <c r="S41" i="20" s="1"/>
  <c r="T50" i="20" s="1"/>
  <c r="U59" i="20" s="1"/>
  <c r="W41" i="19"/>
  <c r="V102" i="19"/>
  <c r="P14" i="22"/>
  <c r="Q14" i="20" s="1"/>
  <c r="T69" i="19"/>
  <c r="B12" i="22"/>
  <c r="C12" i="20" s="1"/>
  <c r="C166" i="20" s="1"/>
  <c r="W42" i="19"/>
  <c r="V103" i="19"/>
  <c r="W37" i="19"/>
  <c r="V98" i="19"/>
  <c r="U93" i="19"/>
  <c r="W44" i="19"/>
  <c r="V105" i="19"/>
  <c r="F25" i="20"/>
  <c r="G34" i="20" s="1"/>
  <c r="H43" i="20" s="1"/>
  <c r="I52" i="20" s="1"/>
  <c r="J61" i="20" s="1"/>
  <c r="K70" i="20" s="1"/>
  <c r="L79" i="20" s="1"/>
  <c r="M88" i="20" s="1"/>
  <c r="N97" i="20" s="1"/>
  <c r="O106" i="20" s="1"/>
  <c r="P115" i="20" s="1"/>
  <c r="Q124" i="20" s="1"/>
  <c r="R133" i="20" s="1"/>
  <c r="S142" i="20" s="1"/>
  <c r="T151" i="20" s="1"/>
  <c r="U160" i="20" s="1"/>
  <c r="W38" i="19"/>
  <c r="V99" i="19"/>
  <c r="G24" i="20"/>
  <c r="H33" i="20" s="1"/>
  <c r="I42" i="20" s="1"/>
  <c r="J51" i="20" s="1"/>
  <c r="K60" i="20" s="1"/>
  <c r="L69" i="20" s="1"/>
  <c r="M78" i="20" s="1"/>
  <c r="N87" i="20" s="1"/>
  <c r="O96" i="20" s="1"/>
  <c r="P105" i="20" s="1"/>
  <c r="Q114" i="20" s="1"/>
  <c r="R123" i="20" s="1"/>
  <c r="S132" i="20" s="1"/>
  <c r="T141" i="20" s="1"/>
  <c r="U150" i="20" s="1"/>
  <c r="W35" i="19"/>
  <c r="V96" i="19"/>
  <c r="W34" i="19"/>
  <c r="V32" i="19"/>
  <c r="R5" i="22" s="1"/>
  <c r="S14" i="21" s="1"/>
  <c r="V95" i="19"/>
  <c r="V7" i="19"/>
  <c r="W36" i="19"/>
  <c r="V97" i="19"/>
  <c r="X79" i="5"/>
  <c r="X89" i="5" s="1"/>
  <c r="X67" i="5"/>
  <c r="E30" i="19"/>
  <c r="J113" i="19"/>
  <c r="I111" i="19"/>
  <c r="E16" i="22" s="1"/>
  <c r="F16" i="20" s="1"/>
  <c r="E31" i="19"/>
  <c r="K109" i="19"/>
  <c r="J108" i="19"/>
  <c r="F15" i="22" s="1"/>
  <c r="G15" i="20" s="1"/>
  <c r="G169" i="20" s="1"/>
  <c r="H79" i="19" l="1"/>
  <c r="G69" i="19"/>
  <c r="C12" i="22"/>
  <c r="D12" i="20" s="1"/>
  <c r="F169" i="20"/>
  <c r="F170" i="20"/>
  <c r="Q168" i="20"/>
  <c r="X50" i="1"/>
  <c r="X42" i="1"/>
  <c r="X21" i="1"/>
  <c r="X14" i="5" s="1"/>
  <c r="X11" i="1"/>
  <c r="X4" i="5" s="1"/>
  <c r="X79" i="1"/>
  <c r="X60" i="5" s="1"/>
  <c r="X76" i="1"/>
  <c r="X71" i="1"/>
  <c r="X63" i="1"/>
  <c r="X44" i="5" s="1"/>
  <c r="X48" i="1"/>
  <c r="X64" i="1"/>
  <c r="X17" i="1"/>
  <c r="X10" i="5" s="1"/>
  <c r="X41" i="1"/>
  <c r="X52" i="1"/>
  <c r="X47" i="1"/>
  <c r="X16" i="1"/>
  <c r="X9" i="5" s="1"/>
  <c r="X51" i="1"/>
  <c r="X18" i="1"/>
  <c r="X11" i="5" s="1"/>
  <c r="X69" i="1"/>
  <c r="X72" i="1"/>
  <c r="X38" i="1"/>
  <c r="X49" i="1"/>
  <c r="X65" i="1"/>
  <c r="X68" i="1"/>
  <c r="X36" i="1"/>
  <c r="X23" i="5" s="1"/>
  <c r="X39" i="1"/>
  <c r="X53" i="1"/>
  <c r="X40" i="5" s="1"/>
  <c r="X77" i="1"/>
  <c r="X80" i="1"/>
  <c r="X61" i="5" s="1"/>
  <c r="X46" i="1"/>
  <c r="X70" i="1"/>
  <c r="X73" i="1"/>
  <c r="X22" i="1"/>
  <c r="X15" i="5" s="1"/>
  <c r="X74" i="1"/>
  <c r="X66" i="1"/>
  <c r="X26" i="1"/>
  <c r="X19" i="5" s="1"/>
  <c r="X54" i="1"/>
  <c r="X41" i="5" s="1"/>
  <c r="X78" i="1"/>
  <c r="X81" i="1"/>
  <c r="X62" i="5" s="1"/>
  <c r="X40" i="1"/>
  <c r="X13" i="1"/>
  <c r="X6" i="5" s="1"/>
  <c r="X10" i="1"/>
  <c r="X3" i="5" s="1"/>
  <c r="X37" i="1"/>
  <c r="X67" i="1"/>
  <c r="X9" i="1"/>
  <c r="X2" i="5" s="1"/>
  <c r="X74" i="5" s="1"/>
  <c r="X14" i="1"/>
  <c r="X7" i="5" s="1"/>
  <c r="X43" i="1"/>
  <c r="X12" i="1"/>
  <c r="X5" i="5" s="1"/>
  <c r="X44" i="1"/>
  <c r="X23" i="1"/>
  <c r="X16" i="5" s="1"/>
  <c r="X20" i="1"/>
  <c r="X13" i="5" s="1"/>
  <c r="X45" i="1"/>
  <c r="X75" i="1"/>
  <c r="X19" i="1"/>
  <c r="X12" i="5" s="1"/>
  <c r="X24" i="1"/>
  <c r="X17" i="5" s="1"/>
  <c r="X15" i="1"/>
  <c r="X8" i="5" s="1"/>
  <c r="X27" i="1"/>
  <c r="X20" i="5" s="1"/>
  <c r="X25" i="1"/>
  <c r="X18" i="5" s="1"/>
  <c r="W37" i="1"/>
  <c r="D21" i="20"/>
  <c r="E30" i="20" s="1"/>
  <c r="F39" i="20" s="1"/>
  <c r="G48" i="20" s="1"/>
  <c r="H57" i="20" s="1"/>
  <c r="I66" i="20" s="1"/>
  <c r="J75" i="20" s="1"/>
  <c r="K84" i="20" s="1"/>
  <c r="L93" i="20" s="1"/>
  <c r="M102" i="20" s="1"/>
  <c r="N111" i="20" s="1"/>
  <c r="O120" i="20" s="1"/>
  <c r="P129" i="20" s="1"/>
  <c r="Q138" i="20" s="1"/>
  <c r="R147" i="20" s="1"/>
  <c r="S156" i="20" s="1"/>
  <c r="X41" i="19"/>
  <c r="W102" i="19"/>
  <c r="X43" i="19"/>
  <c r="W104" i="19"/>
  <c r="X36" i="19"/>
  <c r="W97" i="19"/>
  <c r="H77" i="19"/>
  <c r="I79" i="19"/>
  <c r="G25" i="20"/>
  <c r="H34" i="20" s="1"/>
  <c r="I43" i="20" s="1"/>
  <c r="J52" i="20" s="1"/>
  <c r="K61" i="20" s="1"/>
  <c r="L70" i="20" s="1"/>
  <c r="M79" i="20" s="1"/>
  <c r="N88" i="20" s="1"/>
  <c r="O97" i="20" s="1"/>
  <c r="P106" i="20" s="1"/>
  <c r="Q115" i="20" s="1"/>
  <c r="R124" i="20" s="1"/>
  <c r="S133" i="20" s="1"/>
  <c r="T142" i="20" s="1"/>
  <c r="U151" i="20" s="1"/>
  <c r="Q14" i="22"/>
  <c r="R14" i="20" s="1"/>
  <c r="U69" i="19"/>
  <c r="R23" i="20"/>
  <c r="S32" i="20" s="1"/>
  <c r="T41" i="20" s="1"/>
  <c r="U50" i="20" s="1"/>
  <c r="U62" i="20"/>
  <c r="V93" i="19"/>
  <c r="X44" i="19"/>
  <c r="W105" i="19"/>
  <c r="X37" i="19"/>
  <c r="W98" i="19"/>
  <c r="G47" i="20"/>
  <c r="G165" i="20" s="1"/>
  <c r="H24" i="20"/>
  <c r="I33" i="20" s="1"/>
  <c r="J42" i="20" s="1"/>
  <c r="K51" i="20" s="1"/>
  <c r="L60" i="20" s="1"/>
  <c r="M69" i="20" s="1"/>
  <c r="N78" i="20" s="1"/>
  <c r="O87" i="20" s="1"/>
  <c r="P96" i="20" s="1"/>
  <c r="Q105" i="20" s="1"/>
  <c r="R114" i="20" s="1"/>
  <c r="S123" i="20" s="1"/>
  <c r="T132" i="20" s="1"/>
  <c r="U141" i="20" s="1"/>
  <c r="X34" i="19"/>
  <c r="W7" i="19"/>
  <c r="W95" i="19"/>
  <c r="W32" i="19"/>
  <c r="S5" i="22" s="1"/>
  <c r="T14" i="21" s="1"/>
  <c r="X38" i="19"/>
  <c r="W99" i="19"/>
  <c r="X35" i="19"/>
  <c r="W96" i="19"/>
  <c r="X42" i="19"/>
  <c r="W103" i="19"/>
  <c r="X45" i="19"/>
  <c r="W106" i="19"/>
  <c r="L109" i="19"/>
  <c r="K108" i="19"/>
  <c r="G15" i="22" s="1"/>
  <c r="H15" i="20" s="1"/>
  <c r="K113" i="19"/>
  <c r="J111" i="19"/>
  <c r="F16" i="22" s="1"/>
  <c r="G16" i="20" s="1"/>
  <c r="D80" i="10"/>
  <c r="C80" i="10"/>
  <c r="B80" i="10"/>
  <c r="D79" i="10"/>
  <c r="C79" i="10"/>
  <c r="B79" i="10"/>
  <c r="D78" i="10"/>
  <c r="C78" i="10"/>
  <c r="B78" i="10"/>
  <c r="D77" i="10"/>
  <c r="C77" i="10"/>
  <c r="B77" i="10"/>
  <c r="D76" i="10"/>
  <c r="C76" i="10"/>
  <c r="B76" i="10"/>
  <c r="D75" i="10"/>
  <c r="C75" i="10"/>
  <c r="B75" i="10"/>
  <c r="D74" i="10"/>
  <c r="C74" i="10"/>
  <c r="B74" i="10"/>
  <c r="D73" i="10"/>
  <c r="C73" i="10"/>
  <c r="B73" i="10"/>
  <c r="O72" i="10"/>
  <c r="D72" i="10"/>
  <c r="C72" i="10"/>
  <c r="B72" i="10"/>
  <c r="O71" i="10"/>
  <c r="D71" i="10"/>
  <c r="C71" i="10"/>
  <c r="B71" i="10"/>
  <c r="O70" i="10"/>
  <c r="D70" i="10"/>
  <c r="C70" i="10"/>
  <c r="B70" i="10"/>
  <c r="O69" i="10"/>
  <c r="D69" i="10"/>
  <c r="C69" i="10"/>
  <c r="B69" i="10"/>
  <c r="O68" i="10"/>
  <c r="D68" i="10"/>
  <c r="C68" i="10"/>
  <c r="B68" i="10"/>
  <c r="O67" i="10"/>
  <c r="D67" i="10"/>
  <c r="C67" i="10"/>
  <c r="B67" i="10"/>
  <c r="O66" i="10"/>
  <c r="D66" i="10"/>
  <c r="C66" i="10"/>
  <c r="B66" i="10"/>
  <c r="O65" i="10"/>
  <c r="D65" i="10"/>
  <c r="C65" i="10"/>
  <c r="B65" i="10"/>
  <c r="O64" i="10"/>
  <c r="D64" i="10"/>
  <c r="C64" i="10"/>
  <c r="B64" i="10"/>
  <c r="O63" i="10"/>
  <c r="D63" i="10"/>
  <c r="C63" i="10"/>
  <c r="B63" i="10"/>
  <c r="O62" i="10"/>
  <c r="D62" i="10"/>
  <c r="C62" i="10"/>
  <c r="B62" i="10"/>
  <c r="V61" i="10"/>
  <c r="U61" i="10"/>
  <c r="T61" i="10"/>
  <c r="S61" i="10"/>
  <c r="R61" i="10"/>
  <c r="O61" i="10"/>
  <c r="D61" i="10"/>
  <c r="C61" i="10"/>
  <c r="B61" i="10"/>
  <c r="V60" i="10"/>
  <c r="U60" i="10"/>
  <c r="T60" i="10"/>
  <c r="S60" i="10"/>
  <c r="R60" i="10"/>
  <c r="Q60" i="10"/>
  <c r="O60" i="10"/>
  <c r="D60" i="10"/>
  <c r="C60" i="10"/>
  <c r="B60" i="10"/>
  <c r="V59" i="10"/>
  <c r="U59" i="10"/>
  <c r="T59" i="10"/>
  <c r="S59" i="10"/>
  <c r="R59" i="10"/>
  <c r="Q59" i="10"/>
  <c r="O59" i="10"/>
  <c r="D59" i="10"/>
  <c r="C59" i="10"/>
  <c r="B59" i="10"/>
  <c r="Y58" i="10"/>
  <c r="X58" i="10"/>
  <c r="W58" i="10"/>
  <c r="V58" i="10"/>
  <c r="U58" i="10"/>
  <c r="T58" i="10"/>
  <c r="S58" i="10"/>
  <c r="R58" i="10"/>
  <c r="Q58" i="10"/>
  <c r="O58" i="10"/>
  <c r="D58" i="10"/>
  <c r="C58" i="10"/>
  <c r="B58" i="10"/>
  <c r="D53" i="10"/>
  <c r="C53" i="10"/>
  <c r="B53" i="10"/>
  <c r="D52" i="10"/>
  <c r="C52" i="10"/>
  <c r="B52" i="10"/>
  <c r="D51" i="10"/>
  <c r="C51" i="10"/>
  <c r="B51" i="10"/>
  <c r="D50" i="10"/>
  <c r="C50" i="10"/>
  <c r="B50" i="10"/>
  <c r="D49" i="10"/>
  <c r="C49" i="10"/>
  <c r="B49" i="10"/>
  <c r="O48" i="10"/>
  <c r="D48" i="10"/>
  <c r="C48" i="10"/>
  <c r="B48" i="10"/>
  <c r="O47" i="10"/>
  <c r="D47" i="10"/>
  <c r="C47" i="10"/>
  <c r="B47" i="10"/>
  <c r="O46" i="10"/>
  <c r="D46" i="10"/>
  <c r="C46" i="10"/>
  <c r="B46" i="10"/>
  <c r="O45" i="10"/>
  <c r="D45" i="10"/>
  <c r="C45" i="10"/>
  <c r="B45" i="10"/>
  <c r="O44" i="10"/>
  <c r="D44" i="10"/>
  <c r="C44" i="10"/>
  <c r="B44" i="10"/>
  <c r="O43" i="10"/>
  <c r="D43" i="10"/>
  <c r="C43" i="10"/>
  <c r="B43" i="10"/>
  <c r="O42" i="10"/>
  <c r="D42" i="10"/>
  <c r="C42" i="10"/>
  <c r="B42" i="10"/>
  <c r="O41" i="10"/>
  <c r="D41" i="10"/>
  <c r="C41" i="10"/>
  <c r="B41" i="10"/>
  <c r="O40" i="10"/>
  <c r="D40" i="10"/>
  <c r="C40" i="10"/>
  <c r="B40" i="10"/>
  <c r="O39" i="10"/>
  <c r="D39" i="10"/>
  <c r="C39" i="10"/>
  <c r="B39" i="10"/>
  <c r="O38" i="10"/>
  <c r="D38" i="10"/>
  <c r="C38" i="10"/>
  <c r="B38" i="10"/>
  <c r="O37" i="10"/>
  <c r="D37" i="10"/>
  <c r="C37" i="10"/>
  <c r="B37" i="10"/>
  <c r="O36" i="10"/>
  <c r="D36" i="10"/>
  <c r="C36" i="10"/>
  <c r="B36" i="10"/>
  <c r="O35" i="10"/>
  <c r="D35" i="10"/>
  <c r="C35" i="10"/>
  <c r="B35" i="10"/>
  <c r="V34" i="10"/>
  <c r="U34" i="10"/>
  <c r="T34" i="10"/>
  <c r="S34" i="10"/>
  <c r="R34" i="10"/>
  <c r="Q34" i="10"/>
  <c r="O34" i="10"/>
  <c r="D34" i="10"/>
  <c r="C34" i="10"/>
  <c r="B34" i="10"/>
  <c r="V33" i="10"/>
  <c r="U33" i="10"/>
  <c r="T33" i="10"/>
  <c r="S33" i="10"/>
  <c r="R33" i="10"/>
  <c r="Q33" i="10"/>
  <c r="O33" i="10"/>
  <c r="D33" i="10"/>
  <c r="C33" i="10"/>
  <c r="B33" i="10"/>
  <c r="V32" i="10"/>
  <c r="U32" i="10"/>
  <c r="T32" i="10"/>
  <c r="S32" i="10"/>
  <c r="R32" i="10"/>
  <c r="Q32" i="10"/>
  <c r="O32" i="10"/>
  <c r="D32" i="10"/>
  <c r="C32" i="10"/>
  <c r="B32" i="10"/>
  <c r="Y31" i="10"/>
  <c r="X31" i="10"/>
  <c r="V31" i="10"/>
  <c r="U31" i="10"/>
  <c r="T31" i="10"/>
  <c r="S31" i="10"/>
  <c r="R31" i="10"/>
  <c r="O31" i="10"/>
  <c r="D31" i="10"/>
  <c r="C31" i="10"/>
  <c r="X80" i="5" l="1"/>
  <c r="H169" i="20"/>
  <c r="X68" i="5"/>
  <c r="R168" i="20"/>
  <c r="G170" i="20"/>
  <c r="D166" i="20"/>
  <c r="I24" i="20"/>
  <c r="J33" i="20" s="1"/>
  <c r="K42" i="20" s="1"/>
  <c r="L51" i="20" s="1"/>
  <c r="M60" i="20" s="1"/>
  <c r="N69" i="20" s="1"/>
  <c r="O78" i="20" s="1"/>
  <c r="P87" i="20" s="1"/>
  <c r="Q96" i="20" s="1"/>
  <c r="R105" i="20" s="1"/>
  <c r="S114" i="20" s="1"/>
  <c r="T123" i="20" s="1"/>
  <c r="U132" i="20" s="1"/>
  <c r="X98" i="19"/>
  <c r="J79" i="19"/>
  <c r="I77" i="19"/>
  <c r="X106" i="19"/>
  <c r="H56" i="20"/>
  <c r="H165" i="20" s="1"/>
  <c r="U53" i="20"/>
  <c r="U177" i="20" s="1"/>
  <c r="X97" i="19"/>
  <c r="X102" i="19"/>
  <c r="X105" i="19"/>
  <c r="X103" i="19"/>
  <c r="W93" i="19"/>
  <c r="D12" i="22"/>
  <c r="E12" i="20" s="1"/>
  <c r="H69" i="19"/>
  <c r="X99" i="19"/>
  <c r="S23" i="20"/>
  <c r="T32" i="20" s="1"/>
  <c r="U41" i="20" s="1"/>
  <c r="E34" i="19"/>
  <c r="X95" i="19"/>
  <c r="X32" i="19"/>
  <c r="T5" i="22" s="1"/>
  <c r="U14" i="21" s="1"/>
  <c r="X7" i="19"/>
  <c r="R14" i="22"/>
  <c r="S14" i="20" s="1"/>
  <c r="V69" i="19"/>
  <c r="H25" i="20"/>
  <c r="I34" i="20" s="1"/>
  <c r="J43" i="20" s="1"/>
  <c r="K52" i="20" s="1"/>
  <c r="L61" i="20" s="1"/>
  <c r="M70" i="20" s="1"/>
  <c r="N79" i="20" s="1"/>
  <c r="O88" i="20" s="1"/>
  <c r="P97" i="20" s="1"/>
  <c r="Q106" i="20" s="1"/>
  <c r="R115" i="20" s="1"/>
  <c r="S124" i="20" s="1"/>
  <c r="T133" i="20" s="1"/>
  <c r="U142" i="20" s="1"/>
  <c r="X96" i="19"/>
  <c r="X104" i="19"/>
  <c r="E21" i="20"/>
  <c r="F30" i="20" s="1"/>
  <c r="G39" i="20" s="1"/>
  <c r="H48" i="20" s="1"/>
  <c r="I57" i="20" s="1"/>
  <c r="J66" i="20" s="1"/>
  <c r="K75" i="20" s="1"/>
  <c r="L84" i="20" s="1"/>
  <c r="M93" i="20" s="1"/>
  <c r="N102" i="20" s="1"/>
  <c r="O111" i="20" s="1"/>
  <c r="P120" i="20" s="1"/>
  <c r="Q129" i="20" s="1"/>
  <c r="R138" i="20" s="1"/>
  <c r="S147" i="20" s="1"/>
  <c r="T156" i="20" s="1"/>
  <c r="Z59" i="10"/>
  <c r="Z58" i="10"/>
  <c r="E90" i="19"/>
  <c r="K111" i="19"/>
  <c r="G16" i="22" s="1"/>
  <c r="H16" i="20" s="1"/>
  <c r="L113" i="19"/>
  <c r="L111" i="19" s="1"/>
  <c r="L108" i="19"/>
  <c r="H15" i="22" s="1"/>
  <c r="I15" i="20" s="1"/>
  <c r="I169" i="20" s="1"/>
  <c r="M109" i="19"/>
  <c r="H170" i="20" l="1"/>
  <c r="S168" i="20"/>
  <c r="E166" i="20"/>
  <c r="E37" i="19"/>
  <c r="E43" i="19"/>
  <c r="T23" i="20"/>
  <c r="U32" i="20" s="1"/>
  <c r="F21" i="20"/>
  <c r="G30" i="20" s="1"/>
  <c r="H39" i="20" s="1"/>
  <c r="I48" i="20" s="1"/>
  <c r="J57" i="20" s="1"/>
  <c r="K66" i="20" s="1"/>
  <c r="L75" i="20" s="1"/>
  <c r="M84" i="20" s="1"/>
  <c r="N93" i="20" s="1"/>
  <c r="O102" i="20" s="1"/>
  <c r="P111" i="20" s="1"/>
  <c r="Q120" i="20" s="1"/>
  <c r="R129" i="20" s="1"/>
  <c r="S138" i="20" s="1"/>
  <c r="T147" i="20" s="1"/>
  <c r="U156" i="20" s="1"/>
  <c r="U161" i="20" s="1"/>
  <c r="U183" i="20" s="1"/>
  <c r="I65" i="20"/>
  <c r="I165" i="20" s="1"/>
  <c r="I25" i="20"/>
  <c r="J34" i="20" s="1"/>
  <c r="K43" i="20" s="1"/>
  <c r="L52" i="20" s="1"/>
  <c r="M61" i="20" s="1"/>
  <c r="N70" i="20" s="1"/>
  <c r="O79" i="20" s="1"/>
  <c r="P88" i="20" s="1"/>
  <c r="Q97" i="20" s="1"/>
  <c r="R106" i="20" s="1"/>
  <c r="S115" i="20" s="1"/>
  <c r="T124" i="20" s="1"/>
  <c r="U133" i="20" s="1"/>
  <c r="E44" i="19"/>
  <c r="E41" i="19"/>
  <c r="E45" i="19"/>
  <c r="U44" i="20"/>
  <c r="W69" i="19"/>
  <c r="S14" i="22"/>
  <c r="T14" i="20" s="1"/>
  <c r="J24" i="20"/>
  <c r="K33" i="20" s="1"/>
  <c r="L42" i="20" s="1"/>
  <c r="M51" i="20" s="1"/>
  <c r="N60" i="20" s="1"/>
  <c r="O69" i="20" s="1"/>
  <c r="P78" i="20" s="1"/>
  <c r="Q87" i="20" s="1"/>
  <c r="R96" i="20" s="1"/>
  <c r="S105" i="20" s="1"/>
  <c r="T114" i="20" s="1"/>
  <c r="U123" i="20" s="1"/>
  <c r="E35" i="19"/>
  <c r="E42" i="19"/>
  <c r="E36" i="19"/>
  <c r="E7" i="19"/>
  <c r="E38" i="19"/>
  <c r="J77" i="19"/>
  <c r="K79" i="19"/>
  <c r="X93" i="19"/>
  <c r="E12" i="22"/>
  <c r="F12" i="20" s="1"/>
  <c r="I69" i="19"/>
  <c r="E111" i="19"/>
  <c r="H16" i="22"/>
  <c r="I16" i="20" s="1"/>
  <c r="M108" i="19"/>
  <c r="I15" i="22" s="1"/>
  <c r="J15" i="20" s="1"/>
  <c r="C44" i="5"/>
  <c r="D44" i="5"/>
  <c r="E44" i="5"/>
  <c r="C23" i="5"/>
  <c r="D23" i="5"/>
  <c r="E23" i="5"/>
  <c r="AF111" i="9"/>
  <c r="Q111" i="9"/>
  <c r="AF110" i="9"/>
  <c r="Q110" i="9"/>
  <c r="AF109" i="9"/>
  <c r="Q109" i="9"/>
  <c r="AF108" i="9"/>
  <c r="Q108" i="9"/>
  <c r="AF107" i="9"/>
  <c r="Q107" i="9"/>
  <c r="AF106" i="9"/>
  <c r="Q106" i="9"/>
  <c r="AF105" i="9"/>
  <c r="Q105" i="9"/>
  <c r="AF104" i="9"/>
  <c r="Q104" i="9"/>
  <c r="AF103" i="9"/>
  <c r="Q103" i="9"/>
  <c r="AF102" i="9"/>
  <c r="Q102" i="9"/>
  <c r="AF101" i="9"/>
  <c r="Q101" i="9"/>
  <c r="AF100" i="9"/>
  <c r="Q100" i="9"/>
  <c r="AF99" i="9"/>
  <c r="Q99" i="9"/>
  <c r="AF98" i="9"/>
  <c r="Q98" i="9"/>
  <c r="AF97" i="9"/>
  <c r="Q97" i="9"/>
  <c r="AF96" i="9"/>
  <c r="Q96" i="9"/>
  <c r="AF95" i="9"/>
  <c r="Q95" i="9"/>
  <c r="AF94" i="9"/>
  <c r="Q94" i="9"/>
  <c r="AF93" i="9"/>
  <c r="Q93" i="9"/>
  <c r="AF92" i="9"/>
  <c r="AA92" i="9"/>
  <c r="Z92" i="9"/>
  <c r="Y92" i="9"/>
  <c r="X92" i="9"/>
  <c r="W92" i="9"/>
  <c r="V92" i="9"/>
  <c r="Q92" i="9"/>
  <c r="S92" i="9" s="1"/>
  <c r="I63" i="7" s="1"/>
  <c r="AF91" i="9"/>
  <c r="AA91" i="9"/>
  <c r="Z91" i="9"/>
  <c r="Y91" i="9"/>
  <c r="X91" i="9"/>
  <c r="W91" i="9"/>
  <c r="V91" i="9"/>
  <c r="Q91" i="9"/>
  <c r="S91" i="9" s="1"/>
  <c r="I62" i="7" s="1"/>
  <c r="AF90" i="9"/>
  <c r="AA90" i="9"/>
  <c r="Z90" i="9"/>
  <c r="Y90" i="9"/>
  <c r="X90" i="9"/>
  <c r="W90" i="9"/>
  <c r="V90" i="9"/>
  <c r="Q90" i="9"/>
  <c r="S90" i="9" s="1"/>
  <c r="I61" i="7" s="1"/>
  <c r="AF89" i="9"/>
  <c r="AA89" i="9"/>
  <c r="Z89" i="9"/>
  <c r="Y89" i="9"/>
  <c r="X89" i="9"/>
  <c r="W89" i="9"/>
  <c r="V89" i="9"/>
  <c r="Q89" i="9"/>
  <c r="S89" i="9" s="1"/>
  <c r="I60" i="7" s="1"/>
  <c r="AF83" i="9"/>
  <c r="AE83" i="9"/>
  <c r="Q83" i="9"/>
  <c r="AF82" i="9"/>
  <c r="AE82" i="9"/>
  <c r="Q82" i="9"/>
  <c r="AF81" i="9"/>
  <c r="AE81" i="9"/>
  <c r="Q81" i="9"/>
  <c r="AF80" i="9"/>
  <c r="AE80" i="9"/>
  <c r="Q80" i="9"/>
  <c r="AF79" i="9"/>
  <c r="AE79" i="9"/>
  <c r="Q79" i="9"/>
  <c r="AF78" i="9"/>
  <c r="AE78" i="9"/>
  <c r="Q78" i="9"/>
  <c r="AF77" i="9"/>
  <c r="AE77" i="9"/>
  <c r="Q77" i="9"/>
  <c r="AF76" i="9"/>
  <c r="AE76" i="9"/>
  <c r="Q76" i="9"/>
  <c r="AF75" i="9"/>
  <c r="AE75" i="9"/>
  <c r="Q75" i="9"/>
  <c r="AF74" i="9"/>
  <c r="AE74" i="9"/>
  <c r="Q74" i="9"/>
  <c r="AF73" i="9"/>
  <c r="AE73" i="9"/>
  <c r="Q73" i="9"/>
  <c r="AF72" i="9"/>
  <c r="AE72" i="9"/>
  <c r="Q72" i="9"/>
  <c r="AF71" i="9"/>
  <c r="AE71" i="9"/>
  <c r="Q71" i="9"/>
  <c r="AF70" i="9"/>
  <c r="AE70" i="9"/>
  <c r="Q70" i="9"/>
  <c r="AF69" i="9"/>
  <c r="AE69" i="9"/>
  <c r="Q69" i="9"/>
  <c r="AF68" i="9"/>
  <c r="AE68" i="9"/>
  <c r="Q68" i="9"/>
  <c r="AF67" i="9"/>
  <c r="AE67" i="9"/>
  <c r="Q67" i="9"/>
  <c r="AF66" i="9"/>
  <c r="AE66" i="9"/>
  <c r="Q66" i="9"/>
  <c r="AF65" i="9"/>
  <c r="AE65" i="9"/>
  <c r="Q65" i="9"/>
  <c r="AF64" i="9"/>
  <c r="AA64" i="9"/>
  <c r="Z64" i="9"/>
  <c r="Y64" i="9"/>
  <c r="X64" i="9"/>
  <c r="W64" i="9"/>
  <c r="V64" i="9"/>
  <c r="Q64" i="9"/>
  <c r="S64" i="9" s="1"/>
  <c r="G63" i="7" s="1"/>
  <c r="AF63" i="9"/>
  <c r="AA63" i="9"/>
  <c r="Z63" i="9"/>
  <c r="Y63" i="9"/>
  <c r="X63" i="9"/>
  <c r="W63" i="9"/>
  <c r="V63" i="9"/>
  <c r="Q63" i="9"/>
  <c r="S63" i="9" s="1"/>
  <c r="G62" i="7" s="1"/>
  <c r="AF62" i="9"/>
  <c r="AA62" i="9"/>
  <c r="Z62" i="9"/>
  <c r="Y62" i="9"/>
  <c r="X62" i="9"/>
  <c r="W62" i="9"/>
  <c r="V62" i="9"/>
  <c r="Q62" i="9"/>
  <c r="S62" i="9" s="1"/>
  <c r="G61" i="7" s="1"/>
  <c r="AF61" i="9"/>
  <c r="AA61" i="9"/>
  <c r="Z61" i="9"/>
  <c r="Y61" i="9"/>
  <c r="X61" i="9"/>
  <c r="W61" i="9"/>
  <c r="V61" i="9"/>
  <c r="Q61" i="9"/>
  <c r="S61" i="9" s="1"/>
  <c r="G60" i="7" s="1"/>
  <c r="AF55" i="9"/>
  <c r="AE55" i="9"/>
  <c r="Q55" i="9"/>
  <c r="AF54" i="9"/>
  <c r="AE54" i="9"/>
  <c r="Q54" i="9"/>
  <c r="AF53" i="9"/>
  <c r="AE53" i="9"/>
  <c r="Q53" i="9"/>
  <c r="AF52" i="9"/>
  <c r="AE52" i="9"/>
  <c r="Q52" i="9"/>
  <c r="AF51" i="9"/>
  <c r="AE51" i="9"/>
  <c r="Q51" i="9"/>
  <c r="AF50" i="9"/>
  <c r="AE50" i="9"/>
  <c r="Q50" i="9"/>
  <c r="AF49" i="9"/>
  <c r="AE49" i="9"/>
  <c r="Q49" i="9"/>
  <c r="AF48" i="9"/>
  <c r="AE48" i="9"/>
  <c r="Q48" i="9"/>
  <c r="AF47" i="9"/>
  <c r="AE47" i="9"/>
  <c r="Q47" i="9"/>
  <c r="AF46" i="9"/>
  <c r="AE46" i="9"/>
  <c r="Q46" i="9"/>
  <c r="AF45" i="9"/>
  <c r="AE45" i="9"/>
  <c r="Q45" i="9"/>
  <c r="AF44" i="9"/>
  <c r="AE44" i="9"/>
  <c r="Q44" i="9"/>
  <c r="AF43" i="9"/>
  <c r="AE43" i="9"/>
  <c r="Q43" i="9"/>
  <c r="AF42" i="9"/>
  <c r="AE42" i="9"/>
  <c r="Q42" i="9"/>
  <c r="AF41" i="9"/>
  <c r="AE41" i="9"/>
  <c r="Q41" i="9"/>
  <c r="AF40" i="9"/>
  <c r="AE40" i="9"/>
  <c r="Q40" i="9"/>
  <c r="AF39" i="9"/>
  <c r="AE39" i="9"/>
  <c r="Q39" i="9"/>
  <c r="AF38" i="9"/>
  <c r="AE38" i="9"/>
  <c r="Q38" i="9"/>
  <c r="AF37" i="9"/>
  <c r="AE37" i="9"/>
  <c r="Q37" i="9"/>
  <c r="AF36" i="9"/>
  <c r="AA36" i="9"/>
  <c r="Z36" i="9"/>
  <c r="Y36" i="9"/>
  <c r="X36" i="9"/>
  <c r="W36" i="9"/>
  <c r="V36" i="9"/>
  <c r="Q36" i="9"/>
  <c r="S36" i="9" s="1"/>
  <c r="E63" i="7" s="1"/>
  <c r="AF35" i="9"/>
  <c r="AA35" i="9"/>
  <c r="Z35" i="9"/>
  <c r="Y35" i="9"/>
  <c r="X35" i="9"/>
  <c r="W35" i="9"/>
  <c r="V35" i="9"/>
  <c r="Q35" i="9"/>
  <c r="S35" i="9" s="1"/>
  <c r="E62" i="7" s="1"/>
  <c r="AF34" i="9"/>
  <c r="AA34" i="9"/>
  <c r="Z34" i="9"/>
  <c r="Y34" i="9"/>
  <c r="X34" i="9"/>
  <c r="W34" i="9"/>
  <c r="V34" i="9"/>
  <c r="Q34" i="9"/>
  <c r="S34" i="9" s="1"/>
  <c r="E61" i="7" s="1"/>
  <c r="AF33" i="9"/>
  <c r="AA33" i="9"/>
  <c r="Z33" i="9"/>
  <c r="Y33" i="9"/>
  <c r="X33" i="9"/>
  <c r="W33" i="9"/>
  <c r="V33" i="9"/>
  <c r="Q33" i="9"/>
  <c r="J62" i="7" l="1"/>
  <c r="R33" i="9"/>
  <c r="U33" i="9" s="1"/>
  <c r="S33" i="9"/>
  <c r="E60" i="7" s="1"/>
  <c r="T168" i="20"/>
  <c r="R35" i="9"/>
  <c r="R90" i="9"/>
  <c r="R62" i="9"/>
  <c r="R34" i="9"/>
  <c r="R91" i="9"/>
  <c r="R92" i="9"/>
  <c r="R63" i="9"/>
  <c r="R64" i="9"/>
  <c r="R36" i="9"/>
  <c r="R89" i="9"/>
  <c r="R61" i="9"/>
  <c r="F166" i="20"/>
  <c r="I170" i="20"/>
  <c r="J169" i="20"/>
  <c r="E6" i="19"/>
  <c r="E8" i="19"/>
  <c r="K24" i="20"/>
  <c r="K169" i="20" s="1"/>
  <c r="U35" i="20"/>
  <c r="U176" i="20" s="1"/>
  <c r="F12" i="22"/>
  <c r="G12" i="20" s="1"/>
  <c r="J69" i="19"/>
  <c r="J25" i="20"/>
  <c r="J170" i="20" s="1"/>
  <c r="U23" i="20"/>
  <c r="E93" i="19"/>
  <c r="X69" i="19"/>
  <c r="T14" i="22"/>
  <c r="U14" i="20" s="1"/>
  <c r="J74" i="20"/>
  <c r="J165" i="20" s="1"/>
  <c r="G21" i="20"/>
  <c r="H30" i="20" s="1"/>
  <c r="I39" i="20" s="1"/>
  <c r="J48" i="20" s="1"/>
  <c r="K57" i="20" s="1"/>
  <c r="L66" i="20" s="1"/>
  <c r="M75" i="20" s="1"/>
  <c r="N84" i="20" s="1"/>
  <c r="O93" i="20" s="1"/>
  <c r="P102" i="20" s="1"/>
  <c r="Q111" i="20" s="1"/>
  <c r="R120" i="20" s="1"/>
  <c r="S129" i="20" s="1"/>
  <c r="T138" i="20" s="1"/>
  <c r="U147" i="20" s="1"/>
  <c r="L79" i="19"/>
  <c r="L77" i="19" s="1"/>
  <c r="K77" i="19"/>
  <c r="M69" i="19"/>
  <c r="E108" i="19"/>
  <c r="B3" i="5"/>
  <c r="G166" i="20" l="1"/>
  <c r="U34" i="9"/>
  <c r="U92" i="9"/>
  <c r="U89" i="9"/>
  <c r="U64" i="9"/>
  <c r="U91" i="9"/>
  <c r="U35" i="9"/>
  <c r="U168" i="20"/>
  <c r="U61" i="9"/>
  <c r="U36" i="9"/>
  <c r="U63" i="9"/>
  <c r="U62" i="9"/>
  <c r="U90" i="9"/>
  <c r="E77" i="19"/>
  <c r="E67" i="19" s="1"/>
  <c r="K34" i="20"/>
  <c r="K170" i="20" s="1"/>
  <c r="G12" i="22"/>
  <c r="H12" i="20" s="1"/>
  <c r="K69" i="19"/>
  <c r="H21" i="20"/>
  <c r="I30" i="20" s="1"/>
  <c r="J39" i="20" s="1"/>
  <c r="K48" i="20" s="1"/>
  <c r="L57" i="20" s="1"/>
  <c r="M66" i="20" s="1"/>
  <c r="N75" i="20" s="1"/>
  <c r="O84" i="20" s="1"/>
  <c r="P93" i="20" s="1"/>
  <c r="Q102" i="20" s="1"/>
  <c r="R111" i="20" s="1"/>
  <c r="S120" i="20" s="1"/>
  <c r="T129" i="20" s="1"/>
  <c r="U138" i="20" s="1"/>
  <c r="U152" i="20"/>
  <c r="H12" i="22"/>
  <c r="I12" i="20" s="1"/>
  <c r="K83" i="20"/>
  <c r="K165" i="20" s="1"/>
  <c r="L69" i="19"/>
  <c r="U17" i="20"/>
  <c r="U26" i="20"/>
  <c r="L33" i="20"/>
  <c r="L169" i="20" s="1"/>
  <c r="B24" i="2"/>
  <c r="B3" i="2"/>
  <c r="H166" i="20" l="1"/>
  <c r="E69" i="19"/>
  <c r="U143" i="20"/>
  <c r="U182" i="20" s="1"/>
  <c r="L92" i="20"/>
  <c r="L165" i="20" s="1"/>
  <c r="J21" i="20"/>
  <c r="I21" i="20"/>
  <c r="J30" i="20" s="1"/>
  <c r="K39" i="20" s="1"/>
  <c r="L48" i="20" s="1"/>
  <c r="M57" i="20" s="1"/>
  <c r="N66" i="20" s="1"/>
  <c r="O75" i="20" s="1"/>
  <c r="P84" i="20" s="1"/>
  <c r="Q93" i="20" s="1"/>
  <c r="R102" i="20" s="1"/>
  <c r="S111" i="20" s="1"/>
  <c r="T120" i="20" s="1"/>
  <c r="U129" i="20" s="1"/>
  <c r="M42" i="20"/>
  <c r="M169" i="20" s="1"/>
  <c r="U175" i="20"/>
  <c r="L43" i="20"/>
  <c r="L170" i="20" s="1"/>
  <c r="X59" i="2"/>
  <c r="Y59" i="2" s="1"/>
  <c r="Z59" i="2" s="1"/>
  <c r="W58" i="2"/>
  <c r="X58" i="2" s="1"/>
  <c r="Y58" i="2" s="1"/>
  <c r="Z58" i="2" s="1"/>
  <c r="V57" i="2"/>
  <c r="W57" i="2" s="1"/>
  <c r="X57" i="2" s="1"/>
  <c r="Y57" i="2" s="1"/>
  <c r="Z57" i="2" s="1"/>
  <c r="U56" i="2"/>
  <c r="V56" i="2" s="1"/>
  <c r="W56" i="2" s="1"/>
  <c r="X56" i="2" s="1"/>
  <c r="Y56" i="2" s="1"/>
  <c r="Z56" i="2" s="1"/>
  <c r="T55" i="2"/>
  <c r="U55" i="2" s="1"/>
  <c r="V55" i="2" s="1"/>
  <c r="W55" i="2" s="1"/>
  <c r="X55" i="2" s="1"/>
  <c r="Y55" i="2" s="1"/>
  <c r="Z55" i="2" s="1"/>
  <c r="S54" i="2"/>
  <c r="T54" i="2" s="1"/>
  <c r="U54" i="2" s="1"/>
  <c r="V54" i="2" s="1"/>
  <c r="W54" i="2" s="1"/>
  <c r="X54" i="2" s="1"/>
  <c r="Y54" i="2" s="1"/>
  <c r="Z54" i="2" s="1"/>
  <c r="R53" i="2"/>
  <c r="S53" i="2" s="1"/>
  <c r="T53" i="2" s="1"/>
  <c r="U53" i="2" s="1"/>
  <c r="V53" i="2" s="1"/>
  <c r="W53" i="2" s="1"/>
  <c r="X53" i="2" s="1"/>
  <c r="Y53" i="2" s="1"/>
  <c r="Z53" i="2" s="1"/>
  <c r="Q52" i="2"/>
  <c r="R52" i="2" s="1"/>
  <c r="S52" i="2" s="1"/>
  <c r="T52" i="2" s="1"/>
  <c r="U52" i="2" s="1"/>
  <c r="V52" i="2" s="1"/>
  <c r="W52" i="2" s="1"/>
  <c r="X52" i="2" s="1"/>
  <c r="Y52" i="2" s="1"/>
  <c r="Z52" i="2" s="1"/>
  <c r="P51" i="2"/>
  <c r="Q51" i="2" s="1"/>
  <c r="R51" i="2" s="1"/>
  <c r="S51" i="2" s="1"/>
  <c r="T51" i="2" s="1"/>
  <c r="U51" i="2" s="1"/>
  <c r="V51" i="2" s="1"/>
  <c r="W51" i="2" s="1"/>
  <c r="X51" i="2" s="1"/>
  <c r="Y51" i="2" s="1"/>
  <c r="Z51" i="2" s="1"/>
  <c r="O50" i="2"/>
  <c r="P50" i="2" s="1"/>
  <c r="Q50" i="2" s="1"/>
  <c r="R50" i="2" s="1"/>
  <c r="S50" i="2" s="1"/>
  <c r="T50" i="2" s="1"/>
  <c r="U50" i="2" s="1"/>
  <c r="V50" i="2" s="1"/>
  <c r="W50" i="2" s="1"/>
  <c r="X50" i="2" s="1"/>
  <c r="Y50" i="2" s="1"/>
  <c r="Z50" i="2" s="1"/>
  <c r="N49" i="2"/>
  <c r="O49" i="2" s="1"/>
  <c r="P49" i="2" s="1"/>
  <c r="Q49" i="2" s="1"/>
  <c r="R49" i="2" s="1"/>
  <c r="S49" i="2" s="1"/>
  <c r="T49" i="2" s="1"/>
  <c r="U49" i="2" s="1"/>
  <c r="V49" i="2" s="1"/>
  <c r="W49" i="2" s="1"/>
  <c r="X49" i="2" s="1"/>
  <c r="Y49" i="2" s="1"/>
  <c r="Z49" i="2" s="1"/>
  <c r="M48" i="2"/>
  <c r="N48" i="2" s="1"/>
  <c r="O48" i="2" s="1"/>
  <c r="P48" i="2" s="1"/>
  <c r="Q48" i="2" s="1"/>
  <c r="R48" i="2" s="1"/>
  <c r="S48" i="2" s="1"/>
  <c r="T48" i="2" s="1"/>
  <c r="U48" i="2" s="1"/>
  <c r="V48" i="2" s="1"/>
  <c r="W48" i="2" s="1"/>
  <c r="X48" i="2" s="1"/>
  <c r="Y48" i="2" s="1"/>
  <c r="Z48" i="2" s="1"/>
  <c r="L47" i="2"/>
  <c r="M47" i="2" s="1"/>
  <c r="N47" i="2" s="1"/>
  <c r="O47" i="2" s="1"/>
  <c r="P47" i="2" s="1"/>
  <c r="Q47" i="2" s="1"/>
  <c r="R47" i="2" s="1"/>
  <c r="S47" i="2" s="1"/>
  <c r="T47" i="2" s="1"/>
  <c r="U47" i="2" s="1"/>
  <c r="V47" i="2" s="1"/>
  <c r="W47" i="2" s="1"/>
  <c r="X47" i="2" s="1"/>
  <c r="Y47" i="2" s="1"/>
  <c r="Z47" i="2" s="1"/>
  <c r="K46" i="2"/>
  <c r="L46" i="2" s="1"/>
  <c r="M46" i="2" s="1"/>
  <c r="N46" i="2" s="1"/>
  <c r="O46" i="2" s="1"/>
  <c r="P46" i="2" s="1"/>
  <c r="Q46" i="2" s="1"/>
  <c r="R46" i="2" s="1"/>
  <c r="S46" i="2" s="1"/>
  <c r="T46" i="2" s="1"/>
  <c r="U46" i="2" s="1"/>
  <c r="V46" i="2" s="1"/>
  <c r="W46" i="2" s="1"/>
  <c r="X46" i="2" s="1"/>
  <c r="Y46" i="2" s="1"/>
  <c r="Z46" i="2" s="1"/>
  <c r="J45" i="2"/>
  <c r="Y39" i="2"/>
  <c r="Z39" i="2" s="1"/>
  <c r="X38" i="2"/>
  <c r="Y38" i="2" s="1"/>
  <c r="Z38" i="2" s="1"/>
  <c r="W37" i="2"/>
  <c r="X37" i="2" s="1"/>
  <c r="Y37" i="2" s="1"/>
  <c r="Z37" i="2" s="1"/>
  <c r="V36" i="2"/>
  <c r="W36" i="2" s="1"/>
  <c r="X36" i="2" s="1"/>
  <c r="Y36" i="2" s="1"/>
  <c r="Z36" i="2" s="1"/>
  <c r="U35" i="2"/>
  <c r="V35" i="2" s="1"/>
  <c r="W35" i="2" s="1"/>
  <c r="X35" i="2" s="1"/>
  <c r="Y35" i="2" s="1"/>
  <c r="Z35" i="2" s="1"/>
  <c r="T34" i="2"/>
  <c r="U34" i="2" s="1"/>
  <c r="V34" i="2" s="1"/>
  <c r="W34" i="2" s="1"/>
  <c r="X34" i="2" s="1"/>
  <c r="Y34" i="2" s="1"/>
  <c r="Z34" i="2" s="1"/>
  <c r="S33" i="2"/>
  <c r="T33" i="2" s="1"/>
  <c r="U33" i="2" s="1"/>
  <c r="V33" i="2" s="1"/>
  <c r="W33" i="2" s="1"/>
  <c r="X33" i="2" s="1"/>
  <c r="Y33" i="2" s="1"/>
  <c r="Z33" i="2" s="1"/>
  <c r="R32" i="2"/>
  <c r="S32" i="2" s="1"/>
  <c r="T32" i="2" s="1"/>
  <c r="U32" i="2" s="1"/>
  <c r="V32" i="2" s="1"/>
  <c r="W32" i="2" s="1"/>
  <c r="X32" i="2" s="1"/>
  <c r="Y32" i="2" s="1"/>
  <c r="Z32" i="2" s="1"/>
  <c r="Q31" i="2"/>
  <c r="R31" i="2" s="1"/>
  <c r="S31" i="2" s="1"/>
  <c r="T31" i="2" s="1"/>
  <c r="U31" i="2" s="1"/>
  <c r="V31" i="2" s="1"/>
  <c r="W31" i="2" s="1"/>
  <c r="X31" i="2" s="1"/>
  <c r="Y31" i="2" s="1"/>
  <c r="Z31" i="2" s="1"/>
  <c r="P30" i="2"/>
  <c r="Q30" i="2" s="1"/>
  <c r="R30" i="2" s="1"/>
  <c r="S30" i="2" s="1"/>
  <c r="T30" i="2" s="1"/>
  <c r="U30" i="2" s="1"/>
  <c r="V30" i="2" s="1"/>
  <c r="W30" i="2" s="1"/>
  <c r="X30" i="2" s="1"/>
  <c r="Y30" i="2" s="1"/>
  <c r="Z30" i="2" s="1"/>
  <c r="O29" i="2"/>
  <c r="P29" i="2" s="1"/>
  <c r="Q29" i="2" s="1"/>
  <c r="R29" i="2" s="1"/>
  <c r="S29" i="2" s="1"/>
  <c r="T29" i="2" s="1"/>
  <c r="U29" i="2" s="1"/>
  <c r="V29" i="2" s="1"/>
  <c r="W29" i="2" s="1"/>
  <c r="X29" i="2" s="1"/>
  <c r="Y29" i="2" s="1"/>
  <c r="Z29" i="2" s="1"/>
  <c r="N28" i="2"/>
  <c r="O28" i="2" s="1"/>
  <c r="P28" i="2" s="1"/>
  <c r="Q28" i="2" s="1"/>
  <c r="R28" i="2" s="1"/>
  <c r="S28" i="2" s="1"/>
  <c r="T28" i="2" s="1"/>
  <c r="U28" i="2" s="1"/>
  <c r="V28" i="2" s="1"/>
  <c r="W28" i="2" s="1"/>
  <c r="X28" i="2" s="1"/>
  <c r="Y28" i="2" s="1"/>
  <c r="Z28" i="2" s="1"/>
  <c r="M27" i="2"/>
  <c r="N27" i="2" s="1"/>
  <c r="O27" i="2" s="1"/>
  <c r="P27" i="2" s="1"/>
  <c r="Q27" i="2" s="1"/>
  <c r="R27" i="2" s="1"/>
  <c r="S27" i="2" s="1"/>
  <c r="T27" i="2" s="1"/>
  <c r="U27" i="2" s="1"/>
  <c r="V27" i="2" s="1"/>
  <c r="W27" i="2" s="1"/>
  <c r="X27" i="2" s="1"/>
  <c r="Y27" i="2" s="1"/>
  <c r="Z27" i="2" s="1"/>
  <c r="L26" i="2"/>
  <c r="M26" i="2" s="1"/>
  <c r="N26" i="2" s="1"/>
  <c r="O26" i="2" s="1"/>
  <c r="P26" i="2" s="1"/>
  <c r="Q26" i="2" s="1"/>
  <c r="R26" i="2" s="1"/>
  <c r="S26" i="2" s="1"/>
  <c r="T26" i="2" s="1"/>
  <c r="U26" i="2" s="1"/>
  <c r="V26" i="2" s="1"/>
  <c r="W26" i="2" s="1"/>
  <c r="X26" i="2" s="1"/>
  <c r="Y26" i="2" s="1"/>
  <c r="Z26" i="2" s="1"/>
  <c r="K25" i="2"/>
  <c r="L25" i="2" s="1"/>
  <c r="M25" i="2" s="1"/>
  <c r="N25" i="2" s="1"/>
  <c r="O25" i="2" s="1"/>
  <c r="P25" i="2" s="1"/>
  <c r="Q25" i="2" s="1"/>
  <c r="R25" i="2" s="1"/>
  <c r="S25" i="2" s="1"/>
  <c r="T25" i="2" s="1"/>
  <c r="U25" i="2" s="1"/>
  <c r="V25" i="2" s="1"/>
  <c r="W25" i="2" s="1"/>
  <c r="X25" i="2" s="1"/>
  <c r="Y25" i="2" s="1"/>
  <c r="Z25" i="2" s="1"/>
  <c r="J24" i="2"/>
  <c r="J166" i="20" l="1"/>
  <c r="I166" i="20"/>
  <c r="J69" i="2"/>
  <c r="K45" i="2"/>
  <c r="J70" i="2"/>
  <c r="K24" i="2"/>
  <c r="N51" i="20"/>
  <c r="N169" i="20" s="1"/>
  <c r="K30" i="20"/>
  <c r="K166" i="20" s="1"/>
  <c r="M52" i="20"/>
  <c r="M170" i="20" s="1"/>
  <c r="M101" i="20"/>
  <c r="M165" i="20" s="1"/>
  <c r="U134" i="20"/>
  <c r="X55" i="5"/>
  <c r="X48" i="5"/>
  <c r="X56" i="5"/>
  <c r="X34" i="5"/>
  <c r="X35" i="5"/>
  <c r="X36" i="5"/>
  <c r="X49" i="5"/>
  <c r="X57" i="5"/>
  <c r="X47" i="5"/>
  <c r="X29" i="5"/>
  <c r="X37" i="5"/>
  <c r="X50" i="5"/>
  <c r="X58" i="5"/>
  <c r="X27" i="5"/>
  <c r="X30" i="5"/>
  <c r="X38" i="5"/>
  <c r="X51" i="5"/>
  <c r="X59" i="5"/>
  <c r="X26" i="5"/>
  <c r="X28" i="5"/>
  <c r="X31" i="5"/>
  <c r="X39" i="5"/>
  <c r="X52" i="5"/>
  <c r="X32" i="5"/>
  <c r="X53" i="5"/>
  <c r="X25" i="5"/>
  <c r="X33" i="5"/>
  <c r="X46" i="5"/>
  <c r="X54" i="5"/>
  <c r="W80" i="1"/>
  <c r="W79" i="1"/>
  <c r="V79" i="1"/>
  <c r="W78" i="1"/>
  <c r="V78" i="1"/>
  <c r="U78" i="1"/>
  <c r="W77" i="1"/>
  <c r="V77" i="1"/>
  <c r="U77" i="1"/>
  <c r="T77" i="1"/>
  <c r="W76" i="1"/>
  <c r="V76" i="1"/>
  <c r="U76" i="1"/>
  <c r="T76" i="1"/>
  <c r="S76" i="1"/>
  <c r="W75" i="1"/>
  <c r="V75" i="1"/>
  <c r="U75" i="1"/>
  <c r="T75" i="1"/>
  <c r="S75" i="1"/>
  <c r="R75" i="1"/>
  <c r="W74" i="1"/>
  <c r="V74" i="1"/>
  <c r="U74" i="1"/>
  <c r="T74" i="1"/>
  <c r="S74" i="1"/>
  <c r="R74" i="1"/>
  <c r="Q74" i="1"/>
  <c r="W73" i="1"/>
  <c r="V73" i="1"/>
  <c r="U73" i="1"/>
  <c r="T73" i="1"/>
  <c r="S73" i="1"/>
  <c r="R73" i="1"/>
  <c r="Q73" i="1"/>
  <c r="P73" i="1"/>
  <c r="W72" i="1"/>
  <c r="V72" i="1"/>
  <c r="U72" i="1"/>
  <c r="T72" i="1"/>
  <c r="S72" i="1"/>
  <c r="R72" i="1"/>
  <c r="Q72" i="1"/>
  <c r="P72" i="1"/>
  <c r="O72" i="1"/>
  <c r="W71" i="1"/>
  <c r="V71" i="1"/>
  <c r="U71" i="1"/>
  <c r="T71" i="1"/>
  <c r="S71" i="1"/>
  <c r="R71" i="1"/>
  <c r="Q71" i="1"/>
  <c r="P71" i="1"/>
  <c r="O71" i="1"/>
  <c r="N71" i="1"/>
  <c r="W70" i="1"/>
  <c r="V70" i="1"/>
  <c r="U70" i="1"/>
  <c r="T70" i="1"/>
  <c r="S70" i="1"/>
  <c r="R70" i="1"/>
  <c r="Q70" i="1"/>
  <c r="P70" i="1"/>
  <c r="O70" i="1"/>
  <c r="N70" i="1"/>
  <c r="M70" i="1"/>
  <c r="W69" i="1"/>
  <c r="V69" i="1"/>
  <c r="U69" i="1"/>
  <c r="T69" i="1"/>
  <c r="S69" i="1"/>
  <c r="R69" i="1"/>
  <c r="Q69" i="1"/>
  <c r="P69" i="1"/>
  <c r="O69" i="1"/>
  <c r="N69" i="1"/>
  <c r="M69" i="1"/>
  <c r="L69" i="1"/>
  <c r="W68" i="1"/>
  <c r="V68" i="1"/>
  <c r="U68" i="1"/>
  <c r="T68" i="1"/>
  <c r="S68" i="1"/>
  <c r="R68" i="1"/>
  <c r="Q68" i="1"/>
  <c r="P68" i="1"/>
  <c r="O68" i="1"/>
  <c r="N68" i="1"/>
  <c r="M68" i="1"/>
  <c r="L68" i="1"/>
  <c r="K68" i="1"/>
  <c r="W67" i="1"/>
  <c r="V67" i="1"/>
  <c r="U67" i="1"/>
  <c r="T67" i="1"/>
  <c r="S67" i="1"/>
  <c r="R67" i="1"/>
  <c r="Q67" i="1"/>
  <c r="P67" i="1"/>
  <c r="O67" i="1"/>
  <c r="N67" i="1"/>
  <c r="M67" i="1"/>
  <c r="L67" i="1"/>
  <c r="K67" i="1"/>
  <c r="J67" i="1"/>
  <c r="W66" i="1"/>
  <c r="V66" i="1"/>
  <c r="U66" i="1"/>
  <c r="T66" i="1"/>
  <c r="S66" i="1"/>
  <c r="R66" i="1"/>
  <c r="Q66" i="1"/>
  <c r="P66" i="1"/>
  <c r="O66" i="1"/>
  <c r="N66" i="1"/>
  <c r="M66" i="1"/>
  <c r="L66" i="1"/>
  <c r="K66" i="1"/>
  <c r="J66" i="1"/>
  <c r="I66" i="1"/>
  <c r="W65" i="1"/>
  <c r="V65" i="1"/>
  <c r="U65" i="1"/>
  <c r="T65" i="1"/>
  <c r="S65" i="1"/>
  <c r="R65" i="1"/>
  <c r="Q65" i="1"/>
  <c r="P65" i="1"/>
  <c r="O65" i="1"/>
  <c r="N65" i="1"/>
  <c r="M65" i="1"/>
  <c r="L65" i="1"/>
  <c r="K65" i="1"/>
  <c r="J65" i="1"/>
  <c r="I65" i="1"/>
  <c r="H65" i="1"/>
  <c r="X81" i="5" l="1"/>
  <c r="X82" i="5"/>
  <c r="K69" i="2"/>
  <c r="L45" i="2"/>
  <c r="K70" i="2"/>
  <c r="L24" i="2"/>
  <c r="N61" i="20"/>
  <c r="N170" i="20" s="1"/>
  <c r="L39" i="20"/>
  <c r="L166" i="20" s="1"/>
  <c r="N110" i="20"/>
  <c r="N165" i="20" s="1"/>
  <c r="O60" i="20"/>
  <c r="O169" i="20" s="1"/>
  <c r="D73" i="5"/>
  <c r="E73" i="5" s="1"/>
  <c r="F73" i="5" s="1"/>
  <c r="G73" i="5" s="1"/>
  <c r="H73" i="5" s="1"/>
  <c r="I73" i="5" s="1"/>
  <c r="J73" i="5" s="1"/>
  <c r="K73" i="5" s="1"/>
  <c r="L73" i="5" s="1"/>
  <c r="M73" i="5" s="1"/>
  <c r="N73" i="5" s="1"/>
  <c r="O73" i="5" s="1"/>
  <c r="P73" i="5" s="1"/>
  <c r="Q73" i="5" s="1"/>
  <c r="R73" i="5" s="1"/>
  <c r="S73" i="5" s="1"/>
  <c r="T73" i="5" s="1"/>
  <c r="U73" i="5" s="1"/>
  <c r="V73" i="5" s="1"/>
  <c r="W73" i="5" s="1"/>
  <c r="X73" i="5" s="1"/>
  <c r="E132" i="7"/>
  <c r="E128" i="7"/>
  <c r="E123" i="7"/>
  <c r="E136" i="7"/>
  <c r="D136" i="7"/>
  <c r="E135" i="7"/>
  <c r="D135" i="7"/>
  <c r="E134" i="7"/>
  <c r="D134" i="7"/>
  <c r="E133" i="7"/>
  <c r="D133" i="7"/>
  <c r="E131" i="7"/>
  <c r="D131" i="7"/>
  <c r="E130" i="7"/>
  <c r="D130" i="7"/>
  <c r="E129" i="7"/>
  <c r="D129" i="7"/>
  <c r="D128" i="7"/>
  <c r="E127" i="7"/>
  <c r="D127" i="7"/>
  <c r="E126" i="7"/>
  <c r="D126" i="7"/>
  <c r="E125" i="7"/>
  <c r="D125" i="7"/>
  <c r="E124" i="7"/>
  <c r="D123" i="7"/>
  <c r="E122" i="7"/>
  <c r="D122" i="7"/>
  <c r="E121" i="7"/>
  <c r="D121" i="7"/>
  <c r="E120" i="7"/>
  <c r="D120" i="7"/>
  <c r="E119" i="7"/>
  <c r="D119" i="7"/>
  <c r="E118" i="7"/>
  <c r="E117" i="7"/>
  <c r="D117" i="7"/>
  <c r="E116" i="7"/>
  <c r="E115" i="7"/>
  <c r="E114" i="7"/>
  <c r="D114" i="7"/>
  <c r="W64" i="5"/>
  <c r="V64" i="5"/>
  <c r="U64" i="5"/>
  <c r="T64" i="5"/>
  <c r="S64" i="5"/>
  <c r="R64" i="5"/>
  <c r="Q64" i="5"/>
  <c r="P64" i="5"/>
  <c r="O64" i="5"/>
  <c r="N64" i="5"/>
  <c r="M64" i="5"/>
  <c r="L64" i="5"/>
  <c r="K64" i="5"/>
  <c r="J64" i="5"/>
  <c r="I64" i="5"/>
  <c r="H64" i="5"/>
  <c r="G64" i="5"/>
  <c r="F64" i="5"/>
  <c r="E64" i="5"/>
  <c r="D64" i="5"/>
  <c r="C64" i="5"/>
  <c r="W63" i="5"/>
  <c r="V63" i="5"/>
  <c r="U63" i="5"/>
  <c r="T63" i="5"/>
  <c r="S63" i="5"/>
  <c r="R63" i="5"/>
  <c r="Q63" i="5"/>
  <c r="P63" i="5"/>
  <c r="O63" i="5"/>
  <c r="N63" i="5"/>
  <c r="M63" i="5"/>
  <c r="L63" i="5"/>
  <c r="K63" i="5"/>
  <c r="J63" i="5"/>
  <c r="I63" i="5"/>
  <c r="H63" i="5"/>
  <c r="G63" i="5"/>
  <c r="F63" i="5"/>
  <c r="E63" i="5"/>
  <c r="D63" i="5"/>
  <c r="C63" i="5"/>
  <c r="W62" i="5"/>
  <c r="V62" i="5"/>
  <c r="U62" i="5"/>
  <c r="T62" i="5"/>
  <c r="S62" i="5"/>
  <c r="R62" i="5"/>
  <c r="Q62" i="5"/>
  <c r="P62" i="5"/>
  <c r="O62" i="5"/>
  <c r="N62" i="5"/>
  <c r="M62" i="5"/>
  <c r="L62" i="5"/>
  <c r="K62" i="5"/>
  <c r="J62" i="5"/>
  <c r="I62" i="5"/>
  <c r="H62" i="5"/>
  <c r="G62" i="5"/>
  <c r="F62" i="5"/>
  <c r="E62" i="5"/>
  <c r="D62" i="5"/>
  <c r="C62" i="5"/>
  <c r="V61" i="5"/>
  <c r="U61" i="5"/>
  <c r="T61" i="5"/>
  <c r="S61" i="5"/>
  <c r="R61" i="5"/>
  <c r="Q61" i="5"/>
  <c r="P61" i="5"/>
  <c r="O61" i="5"/>
  <c r="N61" i="5"/>
  <c r="M61" i="5"/>
  <c r="L61" i="5"/>
  <c r="K61" i="5"/>
  <c r="J61" i="5"/>
  <c r="I61" i="5"/>
  <c r="H61" i="5"/>
  <c r="G61" i="5"/>
  <c r="F61" i="5"/>
  <c r="E61" i="5"/>
  <c r="D61" i="5"/>
  <c r="C61" i="5"/>
  <c r="U60" i="5"/>
  <c r="T60" i="5"/>
  <c r="S60" i="5"/>
  <c r="R60" i="5"/>
  <c r="Q60" i="5"/>
  <c r="P60" i="5"/>
  <c r="O60" i="5"/>
  <c r="N60" i="5"/>
  <c r="M60" i="5"/>
  <c r="L60" i="5"/>
  <c r="K60" i="5"/>
  <c r="J60" i="5"/>
  <c r="I60" i="5"/>
  <c r="H60" i="5"/>
  <c r="G60" i="5"/>
  <c r="F60" i="5"/>
  <c r="E60" i="5"/>
  <c r="D60" i="5"/>
  <c r="C60" i="5"/>
  <c r="T59" i="5"/>
  <c r="S59" i="5"/>
  <c r="R59" i="5"/>
  <c r="Q59" i="5"/>
  <c r="P59" i="5"/>
  <c r="O59" i="5"/>
  <c r="N59" i="5"/>
  <c r="M59" i="5"/>
  <c r="L59" i="5"/>
  <c r="K59" i="5"/>
  <c r="J59" i="5"/>
  <c r="I59" i="5"/>
  <c r="H59" i="5"/>
  <c r="G59" i="5"/>
  <c r="F59" i="5"/>
  <c r="E59" i="5"/>
  <c r="D59" i="5"/>
  <c r="C59" i="5"/>
  <c r="S58" i="5"/>
  <c r="R58" i="5"/>
  <c r="Q58" i="5"/>
  <c r="P58" i="5"/>
  <c r="O58" i="5"/>
  <c r="N58" i="5"/>
  <c r="M58" i="5"/>
  <c r="L58" i="5"/>
  <c r="K58" i="5"/>
  <c r="J58" i="5"/>
  <c r="I58" i="5"/>
  <c r="H58" i="5"/>
  <c r="G58" i="5"/>
  <c r="F58" i="5"/>
  <c r="E58" i="5"/>
  <c r="D58" i="5"/>
  <c r="C58" i="5"/>
  <c r="R57" i="5"/>
  <c r="Q57" i="5"/>
  <c r="P57" i="5"/>
  <c r="O57" i="5"/>
  <c r="N57" i="5"/>
  <c r="M57" i="5"/>
  <c r="L57" i="5"/>
  <c r="K57" i="5"/>
  <c r="J57" i="5"/>
  <c r="I57" i="5"/>
  <c r="H57" i="5"/>
  <c r="G57" i="5"/>
  <c r="F57" i="5"/>
  <c r="E57" i="5"/>
  <c r="D57" i="5"/>
  <c r="C57" i="5"/>
  <c r="Q56" i="5"/>
  <c r="P56" i="5"/>
  <c r="O56" i="5"/>
  <c r="N56" i="5"/>
  <c r="M56" i="5"/>
  <c r="L56" i="5"/>
  <c r="K56" i="5"/>
  <c r="J56" i="5"/>
  <c r="I56" i="5"/>
  <c r="H56" i="5"/>
  <c r="G56" i="5"/>
  <c r="F56" i="5"/>
  <c r="E56" i="5"/>
  <c r="D56" i="5"/>
  <c r="C56" i="5"/>
  <c r="P55" i="5"/>
  <c r="O55" i="5"/>
  <c r="N55" i="5"/>
  <c r="M55" i="5"/>
  <c r="L55" i="5"/>
  <c r="K55" i="5"/>
  <c r="J55" i="5"/>
  <c r="I55" i="5"/>
  <c r="H55" i="5"/>
  <c r="G55" i="5"/>
  <c r="F55" i="5"/>
  <c r="E55" i="5"/>
  <c r="D55" i="5"/>
  <c r="C55" i="5"/>
  <c r="O54" i="5"/>
  <c r="N54" i="5"/>
  <c r="M54" i="5"/>
  <c r="L54" i="5"/>
  <c r="K54" i="5"/>
  <c r="J54" i="5"/>
  <c r="I54" i="5"/>
  <c r="H54" i="5"/>
  <c r="G54" i="5"/>
  <c r="F54" i="5"/>
  <c r="E54" i="5"/>
  <c r="D54" i="5"/>
  <c r="C54" i="5"/>
  <c r="N53" i="5"/>
  <c r="M53" i="5"/>
  <c r="L53" i="5"/>
  <c r="K53" i="5"/>
  <c r="J53" i="5"/>
  <c r="I53" i="5"/>
  <c r="H53" i="5"/>
  <c r="G53" i="5"/>
  <c r="F53" i="5"/>
  <c r="E53" i="5"/>
  <c r="D53" i="5"/>
  <c r="C53" i="5"/>
  <c r="M52" i="5"/>
  <c r="L52" i="5"/>
  <c r="K52" i="5"/>
  <c r="J52" i="5"/>
  <c r="I52" i="5"/>
  <c r="H52" i="5"/>
  <c r="G52" i="5"/>
  <c r="F52" i="5"/>
  <c r="E52" i="5"/>
  <c r="D52" i="5"/>
  <c r="C52" i="5"/>
  <c r="L51" i="5"/>
  <c r="K51" i="5"/>
  <c r="J51" i="5"/>
  <c r="I51" i="5"/>
  <c r="H51" i="5"/>
  <c r="G51" i="5"/>
  <c r="F51" i="5"/>
  <c r="E51" i="5"/>
  <c r="D51" i="5"/>
  <c r="C51" i="5"/>
  <c r="K50" i="5"/>
  <c r="J50" i="5"/>
  <c r="I50" i="5"/>
  <c r="H50" i="5"/>
  <c r="G50" i="5"/>
  <c r="F50" i="5"/>
  <c r="E50" i="5"/>
  <c r="D50" i="5"/>
  <c r="C50" i="5"/>
  <c r="J49" i="5"/>
  <c r="I49" i="5"/>
  <c r="H49" i="5"/>
  <c r="G49" i="5"/>
  <c r="F49" i="5"/>
  <c r="E49" i="5"/>
  <c r="D49" i="5"/>
  <c r="C49" i="5"/>
  <c r="I48" i="5"/>
  <c r="H48" i="5"/>
  <c r="G48" i="5"/>
  <c r="F48" i="5"/>
  <c r="E48" i="5"/>
  <c r="D48" i="5"/>
  <c r="C48" i="5"/>
  <c r="H47" i="5"/>
  <c r="G47" i="5"/>
  <c r="F47" i="5"/>
  <c r="E47" i="5"/>
  <c r="D47" i="5"/>
  <c r="C47" i="5"/>
  <c r="G46" i="5"/>
  <c r="F46" i="5"/>
  <c r="E46" i="5"/>
  <c r="D46" i="5"/>
  <c r="C46" i="5"/>
  <c r="F45" i="5"/>
  <c r="E45" i="5"/>
  <c r="D45" i="5"/>
  <c r="C45" i="5"/>
  <c r="B45" i="5"/>
  <c r="W43" i="5"/>
  <c r="V43" i="5"/>
  <c r="U43" i="5"/>
  <c r="T43" i="5"/>
  <c r="S43" i="5"/>
  <c r="R43" i="5"/>
  <c r="Q43" i="5"/>
  <c r="P43" i="5"/>
  <c r="O43" i="5"/>
  <c r="N43" i="5"/>
  <c r="M43" i="5"/>
  <c r="L43" i="5"/>
  <c r="K43" i="5"/>
  <c r="J43" i="5"/>
  <c r="I43" i="5"/>
  <c r="H43" i="5"/>
  <c r="G43" i="5"/>
  <c r="F43" i="5"/>
  <c r="E43" i="5"/>
  <c r="D43" i="5"/>
  <c r="C43" i="5"/>
  <c r="W42" i="5"/>
  <c r="V42" i="5"/>
  <c r="U42" i="5"/>
  <c r="T42" i="5"/>
  <c r="S42" i="5"/>
  <c r="R42" i="5"/>
  <c r="Q42" i="5"/>
  <c r="P42" i="5"/>
  <c r="O42" i="5"/>
  <c r="N42" i="5"/>
  <c r="M42" i="5"/>
  <c r="L42" i="5"/>
  <c r="K42" i="5"/>
  <c r="J42" i="5"/>
  <c r="I42" i="5"/>
  <c r="H42" i="5"/>
  <c r="G42" i="5"/>
  <c r="F42" i="5"/>
  <c r="E42" i="5"/>
  <c r="D42" i="5"/>
  <c r="C42" i="5"/>
  <c r="W41" i="5"/>
  <c r="V41" i="5"/>
  <c r="U41" i="5"/>
  <c r="T41" i="5"/>
  <c r="S41" i="5"/>
  <c r="R41" i="5"/>
  <c r="Q41" i="5"/>
  <c r="P41" i="5"/>
  <c r="O41" i="5"/>
  <c r="N41" i="5"/>
  <c r="M41" i="5"/>
  <c r="L41" i="5"/>
  <c r="K41" i="5"/>
  <c r="J41" i="5"/>
  <c r="I41" i="5"/>
  <c r="H41" i="5"/>
  <c r="G41" i="5"/>
  <c r="F41" i="5"/>
  <c r="E41" i="5"/>
  <c r="D41" i="5"/>
  <c r="C41" i="5"/>
  <c r="V40" i="5"/>
  <c r="U40" i="5"/>
  <c r="T40" i="5"/>
  <c r="S40" i="5"/>
  <c r="R40" i="5"/>
  <c r="Q40" i="5"/>
  <c r="P40" i="5"/>
  <c r="O40" i="5"/>
  <c r="N40" i="5"/>
  <c r="M40" i="5"/>
  <c r="L40" i="5"/>
  <c r="K40" i="5"/>
  <c r="J40" i="5"/>
  <c r="I40" i="5"/>
  <c r="H40" i="5"/>
  <c r="G40" i="5"/>
  <c r="F40" i="5"/>
  <c r="E40" i="5"/>
  <c r="D40" i="5"/>
  <c r="C40" i="5"/>
  <c r="U39" i="5"/>
  <c r="T39" i="5"/>
  <c r="S39" i="5"/>
  <c r="R39" i="5"/>
  <c r="Q39" i="5"/>
  <c r="P39" i="5"/>
  <c r="O39" i="5"/>
  <c r="N39" i="5"/>
  <c r="M39" i="5"/>
  <c r="L39" i="5"/>
  <c r="K39" i="5"/>
  <c r="J39" i="5"/>
  <c r="I39" i="5"/>
  <c r="H39" i="5"/>
  <c r="G39" i="5"/>
  <c r="F39" i="5"/>
  <c r="E39" i="5"/>
  <c r="D39" i="5"/>
  <c r="C39" i="5"/>
  <c r="T38" i="5"/>
  <c r="S38" i="5"/>
  <c r="R38" i="5"/>
  <c r="Q38" i="5"/>
  <c r="P38" i="5"/>
  <c r="O38" i="5"/>
  <c r="N38" i="5"/>
  <c r="M38" i="5"/>
  <c r="L38" i="5"/>
  <c r="K38" i="5"/>
  <c r="J38" i="5"/>
  <c r="I38" i="5"/>
  <c r="H38" i="5"/>
  <c r="G38" i="5"/>
  <c r="F38" i="5"/>
  <c r="E38" i="5"/>
  <c r="D38" i="5"/>
  <c r="C38" i="5"/>
  <c r="S37" i="5"/>
  <c r="R37" i="5"/>
  <c r="Q37" i="5"/>
  <c r="P37" i="5"/>
  <c r="O37" i="5"/>
  <c r="N37" i="5"/>
  <c r="M37" i="5"/>
  <c r="L37" i="5"/>
  <c r="K37" i="5"/>
  <c r="J37" i="5"/>
  <c r="I37" i="5"/>
  <c r="H37" i="5"/>
  <c r="F37" i="5"/>
  <c r="E37" i="5"/>
  <c r="D37" i="5"/>
  <c r="C37" i="5"/>
  <c r="R36" i="5"/>
  <c r="Q36" i="5"/>
  <c r="P36" i="5"/>
  <c r="O36" i="5"/>
  <c r="N36" i="5"/>
  <c r="M36" i="5"/>
  <c r="L36" i="5"/>
  <c r="K36" i="5"/>
  <c r="J36" i="5"/>
  <c r="I36" i="5"/>
  <c r="H36" i="5"/>
  <c r="G36" i="5"/>
  <c r="F36" i="5"/>
  <c r="E36" i="5"/>
  <c r="D36" i="5"/>
  <c r="C36" i="5"/>
  <c r="Q35" i="5"/>
  <c r="P35" i="5"/>
  <c r="O35" i="5"/>
  <c r="N35" i="5"/>
  <c r="M35" i="5"/>
  <c r="L35" i="5"/>
  <c r="K35" i="5"/>
  <c r="J35" i="5"/>
  <c r="I35" i="5"/>
  <c r="H35" i="5"/>
  <c r="G35" i="5"/>
  <c r="F35" i="5"/>
  <c r="E35" i="5"/>
  <c r="D35" i="5"/>
  <c r="C35" i="5"/>
  <c r="P34" i="5"/>
  <c r="O34" i="5"/>
  <c r="N34" i="5"/>
  <c r="M34" i="5"/>
  <c r="L34" i="5"/>
  <c r="K34" i="5"/>
  <c r="J34" i="5"/>
  <c r="I34" i="5"/>
  <c r="H34" i="5"/>
  <c r="G34" i="5"/>
  <c r="F34" i="5"/>
  <c r="E34" i="5"/>
  <c r="D34" i="5"/>
  <c r="C34" i="5"/>
  <c r="O33" i="5"/>
  <c r="N33" i="5"/>
  <c r="M33" i="5"/>
  <c r="L33" i="5"/>
  <c r="K33" i="5"/>
  <c r="J33" i="5"/>
  <c r="I33" i="5"/>
  <c r="H33" i="5"/>
  <c r="G33" i="5"/>
  <c r="F33" i="5"/>
  <c r="E33" i="5"/>
  <c r="D33" i="5"/>
  <c r="C33" i="5"/>
  <c r="N32" i="5"/>
  <c r="M32" i="5"/>
  <c r="L32" i="5"/>
  <c r="K32" i="5"/>
  <c r="J32" i="5"/>
  <c r="I32" i="5"/>
  <c r="H32" i="5"/>
  <c r="G32" i="5"/>
  <c r="F32" i="5"/>
  <c r="E32" i="5"/>
  <c r="D32" i="5"/>
  <c r="C32" i="5"/>
  <c r="M31" i="5"/>
  <c r="L31" i="5"/>
  <c r="K31" i="5"/>
  <c r="J31" i="5"/>
  <c r="I31" i="5"/>
  <c r="H31" i="5"/>
  <c r="G31" i="5"/>
  <c r="F31" i="5"/>
  <c r="E31" i="5"/>
  <c r="D31" i="5"/>
  <c r="C31" i="5"/>
  <c r="L30" i="5"/>
  <c r="K30" i="5"/>
  <c r="J30" i="5"/>
  <c r="I30" i="5"/>
  <c r="H30" i="5"/>
  <c r="G30" i="5"/>
  <c r="F30" i="5"/>
  <c r="E30" i="5"/>
  <c r="D30" i="5"/>
  <c r="C30" i="5"/>
  <c r="K29" i="5"/>
  <c r="J29" i="5"/>
  <c r="I29" i="5"/>
  <c r="H29" i="5"/>
  <c r="G29" i="5"/>
  <c r="F29" i="5"/>
  <c r="E29" i="5"/>
  <c r="D29" i="5"/>
  <c r="C29" i="5"/>
  <c r="J28" i="5"/>
  <c r="I28" i="5"/>
  <c r="H28" i="5"/>
  <c r="G28" i="5"/>
  <c r="F28" i="5"/>
  <c r="E28" i="5"/>
  <c r="D28" i="5"/>
  <c r="C28" i="5"/>
  <c r="I27" i="5"/>
  <c r="H27" i="5"/>
  <c r="G27" i="5"/>
  <c r="F27" i="5"/>
  <c r="E27" i="5"/>
  <c r="D27" i="5"/>
  <c r="C27" i="5"/>
  <c r="H26" i="5"/>
  <c r="G26" i="5"/>
  <c r="F26" i="5"/>
  <c r="E26" i="5"/>
  <c r="D26" i="5"/>
  <c r="C26" i="5"/>
  <c r="G25" i="5"/>
  <c r="F25" i="5"/>
  <c r="E25" i="5"/>
  <c r="D25" i="5"/>
  <c r="C25" i="5"/>
  <c r="F24" i="5"/>
  <c r="E24" i="5"/>
  <c r="D24" i="5"/>
  <c r="C24" i="5"/>
  <c r="B24" i="5"/>
  <c r="W22" i="5"/>
  <c r="V22" i="5"/>
  <c r="U22" i="5"/>
  <c r="T22" i="5"/>
  <c r="S22" i="5"/>
  <c r="R22" i="5"/>
  <c r="Q22" i="5"/>
  <c r="P22" i="5"/>
  <c r="O22" i="5"/>
  <c r="N22" i="5"/>
  <c r="M22" i="5"/>
  <c r="L22" i="5"/>
  <c r="K22" i="5"/>
  <c r="J22" i="5"/>
  <c r="I22" i="5"/>
  <c r="H22" i="5"/>
  <c r="G22" i="5"/>
  <c r="F22" i="5"/>
  <c r="E22" i="5"/>
  <c r="D22" i="5"/>
  <c r="C22" i="5"/>
  <c r="W21" i="5"/>
  <c r="V21" i="5"/>
  <c r="U21" i="5"/>
  <c r="T21" i="5"/>
  <c r="S21" i="5"/>
  <c r="R21" i="5"/>
  <c r="Q21" i="5"/>
  <c r="P21" i="5"/>
  <c r="O21" i="5"/>
  <c r="N21" i="5"/>
  <c r="M21" i="5"/>
  <c r="L21" i="5"/>
  <c r="K21" i="5"/>
  <c r="J21" i="5"/>
  <c r="I21" i="5"/>
  <c r="H21" i="5"/>
  <c r="G21" i="5"/>
  <c r="F21" i="5"/>
  <c r="E21" i="5"/>
  <c r="D21" i="5"/>
  <c r="C21" i="5"/>
  <c r="W20" i="5"/>
  <c r="V20" i="5"/>
  <c r="U20" i="5"/>
  <c r="T20" i="5"/>
  <c r="S20" i="5"/>
  <c r="R20" i="5"/>
  <c r="Q20" i="5"/>
  <c r="P20" i="5"/>
  <c r="O20" i="5"/>
  <c r="N20" i="5"/>
  <c r="M20" i="5"/>
  <c r="L20" i="5"/>
  <c r="K20" i="5"/>
  <c r="J20" i="5"/>
  <c r="I20" i="5"/>
  <c r="H20" i="5"/>
  <c r="G20" i="5"/>
  <c r="F20" i="5"/>
  <c r="E20" i="5"/>
  <c r="D20" i="5"/>
  <c r="C20" i="5"/>
  <c r="V19" i="5"/>
  <c r="U19" i="5"/>
  <c r="T19" i="5"/>
  <c r="S19" i="5"/>
  <c r="R19" i="5"/>
  <c r="Q19" i="5"/>
  <c r="P19" i="5"/>
  <c r="O19" i="5"/>
  <c r="N19" i="5"/>
  <c r="M19" i="5"/>
  <c r="L19" i="5"/>
  <c r="K19" i="5"/>
  <c r="J19" i="5"/>
  <c r="I19" i="5"/>
  <c r="H19" i="5"/>
  <c r="G19" i="5"/>
  <c r="F19" i="5"/>
  <c r="E19" i="5"/>
  <c r="D19" i="5"/>
  <c r="C19" i="5"/>
  <c r="U18" i="5"/>
  <c r="T18" i="5"/>
  <c r="S18" i="5"/>
  <c r="R18" i="5"/>
  <c r="Q18" i="5"/>
  <c r="P18" i="5"/>
  <c r="O18" i="5"/>
  <c r="N18" i="5"/>
  <c r="M18" i="5"/>
  <c r="L18" i="5"/>
  <c r="K18" i="5"/>
  <c r="J18" i="5"/>
  <c r="I18" i="5"/>
  <c r="H18" i="5"/>
  <c r="G18" i="5"/>
  <c r="F18" i="5"/>
  <c r="E18" i="5"/>
  <c r="D18" i="5"/>
  <c r="C18" i="5"/>
  <c r="T17" i="5"/>
  <c r="S17" i="5"/>
  <c r="R17" i="5"/>
  <c r="Q17" i="5"/>
  <c r="P17" i="5"/>
  <c r="O17" i="5"/>
  <c r="N17" i="5"/>
  <c r="M17" i="5"/>
  <c r="L17" i="5"/>
  <c r="K17" i="5"/>
  <c r="J17" i="5"/>
  <c r="I17" i="5"/>
  <c r="H17" i="5"/>
  <c r="G17" i="5"/>
  <c r="F17" i="5"/>
  <c r="E17" i="5"/>
  <c r="D17" i="5"/>
  <c r="C17" i="5"/>
  <c r="S16" i="5"/>
  <c r="R16" i="5"/>
  <c r="Q16" i="5"/>
  <c r="P16" i="5"/>
  <c r="O16" i="5"/>
  <c r="N16" i="5"/>
  <c r="M16" i="5"/>
  <c r="L16" i="5"/>
  <c r="K16" i="5"/>
  <c r="J16" i="5"/>
  <c r="I16" i="5"/>
  <c r="H16" i="5"/>
  <c r="G16" i="5"/>
  <c r="F16" i="5"/>
  <c r="E16" i="5"/>
  <c r="D16" i="5"/>
  <c r="C16" i="5"/>
  <c r="R15" i="5"/>
  <c r="Q15" i="5"/>
  <c r="P15" i="5"/>
  <c r="O15" i="5"/>
  <c r="N15" i="5"/>
  <c r="M15" i="5"/>
  <c r="L15" i="5"/>
  <c r="K15" i="5"/>
  <c r="J15" i="5"/>
  <c r="I15" i="5"/>
  <c r="H15" i="5"/>
  <c r="G15" i="5"/>
  <c r="F15" i="5"/>
  <c r="E15" i="5"/>
  <c r="D15" i="5"/>
  <c r="C15" i="5"/>
  <c r="Q14" i="5"/>
  <c r="P14" i="5"/>
  <c r="O14" i="5"/>
  <c r="N14" i="5"/>
  <c r="M14" i="5"/>
  <c r="L14" i="5"/>
  <c r="K14" i="5"/>
  <c r="J14" i="5"/>
  <c r="I14" i="5"/>
  <c r="H14" i="5"/>
  <c r="G14" i="5"/>
  <c r="F14" i="5"/>
  <c r="E14" i="5"/>
  <c r="D14" i="5"/>
  <c r="C14" i="5"/>
  <c r="P13" i="5"/>
  <c r="O13" i="5"/>
  <c r="N13" i="5"/>
  <c r="M13" i="5"/>
  <c r="L13" i="5"/>
  <c r="K13" i="5"/>
  <c r="J13" i="5"/>
  <c r="I13" i="5"/>
  <c r="H13" i="5"/>
  <c r="G13" i="5"/>
  <c r="F13" i="5"/>
  <c r="E13" i="5"/>
  <c r="D13" i="5"/>
  <c r="C13" i="5"/>
  <c r="O12" i="5"/>
  <c r="N12" i="5"/>
  <c r="M12" i="5"/>
  <c r="L12" i="5"/>
  <c r="K12" i="5"/>
  <c r="J12" i="5"/>
  <c r="I12" i="5"/>
  <c r="H12" i="5"/>
  <c r="G12" i="5"/>
  <c r="F12" i="5"/>
  <c r="E12" i="5"/>
  <c r="D12" i="5"/>
  <c r="C12" i="5"/>
  <c r="N11" i="5"/>
  <c r="M11" i="5"/>
  <c r="L11" i="5"/>
  <c r="K11" i="5"/>
  <c r="J11" i="5"/>
  <c r="I11" i="5"/>
  <c r="H11" i="5"/>
  <c r="G11" i="5"/>
  <c r="F11" i="5"/>
  <c r="E11" i="5"/>
  <c r="D11" i="5"/>
  <c r="C11" i="5"/>
  <c r="M10" i="5"/>
  <c r="L10" i="5"/>
  <c r="K10" i="5"/>
  <c r="J10" i="5"/>
  <c r="I10" i="5"/>
  <c r="H10" i="5"/>
  <c r="G10" i="5"/>
  <c r="F10" i="5"/>
  <c r="E10" i="5"/>
  <c r="D10" i="5"/>
  <c r="C10" i="5"/>
  <c r="L9" i="5"/>
  <c r="K9" i="5"/>
  <c r="J9" i="5"/>
  <c r="I9" i="5"/>
  <c r="H9" i="5"/>
  <c r="G9" i="5"/>
  <c r="F9" i="5"/>
  <c r="E9" i="5"/>
  <c r="D9" i="5"/>
  <c r="C9" i="5"/>
  <c r="K8" i="5"/>
  <c r="J8" i="5"/>
  <c r="I8" i="5"/>
  <c r="H8" i="5"/>
  <c r="G8" i="5"/>
  <c r="F8" i="5"/>
  <c r="E8" i="5"/>
  <c r="D8" i="5"/>
  <c r="C8" i="5"/>
  <c r="J7" i="5"/>
  <c r="I7" i="5"/>
  <c r="H7" i="5"/>
  <c r="G7" i="5"/>
  <c r="F7" i="5"/>
  <c r="E7" i="5"/>
  <c r="D7" i="5"/>
  <c r="C7" i="5"/>
  <c r="I6" i="5"/>
  <c r="H6" i="5"/>
  <c r="G6" i="5"/>
  <c r="F6" i="5"/>
  <c r="E6" i="5"/>
  <c r="D6" i="5"/>
  <c r="C6" i="5"/>
  <c r="H5" i="5"/>
  <c r="G5" i="5"/>
  <c r="F5" i="5"/>
  <c r="E5" i="5"/>
  <c r="D5" i="5"/>
  <c r="C5" i="5"/>
  <c r="G4" i="5"/>
  <c r="F4" i="5"/>
  <c r="F68" i="5" s="1"/>
  <c r="E4" i="5"/>
  <c r="D4" i="5"/>
  <c r="C4" i="5"/>
  <c r="E3" i="5"/>
  <c r="D3" i="5"/>
  <c r="C3" i="5"/>
  <c r="B4" i="5"/>
  <c r="D1" i="5"/>
  <c r="E1" i="5" s="1"/>
  <c r="F1" i="5" s="1"/>
  <c r="G1" i="5" s="1"/>
  <c r="H1" i="5" s="1"/>
  <c r="I1" i="5" s="1"/>
  <c r="J1" i="5" s="1"/>
  <c r="K1" i="5" s="1"/>
  <c r="L1" i="5" s="1"/>
  <c r="M1" i="5" s="1"/>
  <c r="N1" i="5" s="1"/>
  <c r="O1" i="5" s="1"/>
  <c r="P1" i="5" s="1"/>
  <c r="Q1" i="5" s="1"/>
  <c r="R1" i="5" s="1"/>
  <c r="S1" i="5" s="1"/>
  <c r="T1" i="5" s="1"/>
  <c r="U1" i="5" s="1"/>
  <c r="V1" i="5" s="1"/>
  <c r="W1" i="5" s="1"/>
  <c r="F73" i="2"/>
  <c r="G73" i="2" s="1"/>
  <c r="H73" i="2" s="1"/>
  <c r="I73" i="2" s="1"/>
  <c r="J73" i="2" s="1"/>
  <c r="K73" i="2" s="1"/>
  <c r="L73" i="2" s="1"/>
  <c r="M73" i="2" s="1"/>
  <c r="N73" i="2" s="1"/>
  <c r="O73" i="2" s="1"/>
  <c r="P73" i="2" s="1"/>
  <c r="Q73" i="2" s="1"/>
  <c r="R73" i="2" s="1"/>
  <c r="S73" i="2" s="1"/>
  <c r="T73" i="2" s="1"/>
  <c r="U73" i="2" s="1"/>
  <c r="V73" i="2" s="1"/>
  <c r="W73" i="2" s="1"/>
  <c r="X73" i="2" s="1"/>
  <c r="Y73" i="2" s="1"/>
  <c r="Z73" i="2" s="1"/>
  <c r="F67" i="2"/>
  <c r="G67" i="2" s="1"/>
  <c r="H67" i="2" s="1"/>
  <c r="I67" i="2" s="1"/>
  <c r="J67" i="2" s="1"/>
  <c r="K67" i="2" s="1"/>
  <c r="L67" i="2" s="1"/>
  <c r="M67" i="2" s="1"/>
  <c r="N67" i="2" s="1"/>
  <c r="O67" i="2" s="1"/>
  <c r="P67" i="2" s="1"/>
  <c r="Q67" i="2" s="1"/>
  <c r="R67" i="2" s="1"/>
  <c r="S67" i="2" s="1"/>
  <c r="T67" i="2" s="1"/>
  <c r="U67" i="2" s="1"/>
  <c r="V67" i="2" s="1"/>
  <c r="W67" i="2" s="1"/>
  <c r="X67" i="2" s="1"/>
  <c r="Y67" i="2" s="1"/>
  <c r="Z67" i="2" s="1"/>
  <c r="B45" i="2"/>
  <c r="B25" i="2"/>
  <c r="B4" i="2"/>
  <c r="F1" i="2"/>
  <c r="G1" i="2" s="1"/>
  <c r="H1" i="2" s="1"/>
  <c r="I1" i="2" s="1"/>
  <c r="J1" i="2" s="1"/>
  <c r="K1" i="2" s="1"/>
  <c r="L1" i="2" s="1"/>
  <c r="M1" i="2" s="1"/>
  <c r="N1" i="2" s="1"/>
  <c r="O1" i="2" s="1"/>
  <c r="P1" i="2" s="1"/>
  <c r="Q1" i="2" s="1"/>
  <c r="R1" i="2" s="1"/>
  <c r="S1" i="2" s="1"/>
  <c r="T1" i="2" s="1"/>
  <c r="U1" i="2" s="1"/>
  <c r="V1" i="2" s="1"/>
  <c r="W1" i="2" s="1"/>
  <c r="X1" i="2" s="1"/>
  <c r="Y1" i="2" s="1"/>
  <c r="Z1" i="2" s="1"/>
  <c r="F29" i="8"/>
  <c r="F28" i="8"/>
  <c r="F27" i="8"/>
  <c r="F26" i="8"/>
  <c r="F25" i="8"/>
  <c r="F24" i="8"/>
  <c r="F23" i="8"/>
  <c r="F22" i="8"/>
  <c r="F21" i="8"/>
  <c r="F20" i="8"/>
  <c r="F19" i="8"/>
  <c r="F18" i="8"/>
  <c r="F17" i="8"/>
  <c r="F16" i="8"/>
  <c r="F15" i="8"/>
  <c r="F14" i="8"/>
  <c r="F13" i="8"/>
  <c r="F12" i="8"/>
  <c r="F11" i="8"/>
  <c r="F10" i="8"/>
  <c r="F9" i="8"/>
  <c r="F6" i="8"/>
  <c r="K127" i="8"/>
  <c r="F127" i="8"/>
  <c r="K126" i="8"/>
  <c r="F126" i="8"/>
  <c r="K125" i="8"/>
  <c r="F125" i="8"/>
  <c r="K124" i="8"/>
  <c r="F124" i="8"/>
  <c r="K123" i="8"/>
  <c r="F123" i="8"/>
  <c r="K122" i="8"/>
  <c r="F122" i="8"/>
  <c r="K121" i="8"/>
  <c r="F121" i="8"/>
  <c r="K120" i="8"/>
  <c r="F120" i="8"/>
  <c r="K119" i="8"/>
  <c r="F119" i="8"/>
  <c r="K118" i="8"/>
  <c r="F118" i="8"/>
  <c r="K117" i="8"/>
  <c r="F117" i="8"/>
  <c r="K116" i="8"/>
  <c r="F116" i="8"/>
  <c r="K115" i="8"/>
  <c r="F115" i="8"/>
  <c r="K114" i="8"/>
  <c r="F114" i="8"/>
  <c r="K113" i="8"/>
  <c r="F113" i="8"/>
  <c r="K112" i="8"/>
  <c r="F112" i="8"/>
  <c r="K111" i="8"/>
  <c r="F111" i="8"/>
  <c r="K110" i="8"/>
  <c r="F110" i="8"/>
  <c r="K109" i="8"/>
  <c r="F109" i="8"/>
  <c r="K108" i="8"/>
  <c r="F108" i="8"/>
  <c r="K107" i="8"/>
  <c r="F107" i="8"/>
  <c r="G106" i="8"/>
  <c r="AB86" i="10" s="1"/>
  <c r="F106" i="8"/>
  <c r="AB85" i="10"/>
  <c r="F105" i="8"/>
  <c r="K104" i="8"/>
  <c r="F104" i="8"/>
  <c r="K103" i="8"/>
  <c r="F103" i="8"/>
  <c r="K102" i="8"/>
  <c r="F102" i="8"/>
  <c r="E101" i="8"/>
  <c r="K94" i="8"/>
  <c r="F94" i="8"/>
  <c r="K93" i="8"/>
  <c r="C170" i="8" s="1"/>
  <c r="F93" i="8"/>
  <c r="K92" i="8"/>
  <c r="C169" i="8" s="1"/>
  <c r="F92" i="8"/>
  <c r="K91" i="8"/>
  <c r="C168" i="8" s="1"/>
  <c r="F91" i="8"/>
  <c r="K90" i="8"/>
  <c r="F90" i="8"/>
  <c r="K89" i="8"/>
  <c r="F89" i="8"/>
  <c r="K88" i="8"/>
  <c r="F88" i="8"/>
  <c r="K87" i="8"/>
  <c r="F87" i="8"/>
  <c r="K86" i="8"/>
  <c r="F86" i="8"/>
  <c r="K85" i="8"/>
  <c r="F85" i="8"/>
  <c r="K84" i="8"/>
  <c r="F84" i="8"/>
  <c r="K83" i="8"/>
  <c r="F83" i="8"/>
  <c r="K82" i="8"/>
  <c r="F82" i="8"/>
  <c r="K81" i="8"/>
  <c r="F81" i="8"/>
  <c r="K80" i="8"/>
  <c r="C157" i="8" s="1"/>
  <c r="F80" i="8"/>
  <c r="K79" i="8"/>
  <c r="F79" i="8"/>
  <c r="K78" i="8"/>
  <c r="C155" i="8" s="1"/>
  <c r="F78" i="8"/>
  <c r="K77" i="8"/>
  <c r="F77" i="8"/>
  <c r="K76" i="8"/>
  <c r="C153" i="8" s="1"/>
  <c r="F76" i="8"/>
  <c r="F75" i="8"/>
  <c r="K74" i="8"/>
  <c r="C151" i="8" s="1"/>
  <c r="F74" i="8"/>
  <c r="G73" i="8"/>
  <c r="K73" i="8" s="1"/>
  <c r="F73" i="8"/>
  <c r="E72" i="8"/>
  <c r="F72" i="8" s="1"/>
  <c r="K71" i="8"/>
  <c r="F71" i="8"/>
  <c r="K70" i="8"/>
  <c r="F70" i="8"/>
  <c r="K69" i="8"/>
  <c r="F69" i="8"/>
  <c r="K61" i="8"/>
  <c r="B171" i="8" s="1"/>
  <c r="F61" i="8"/>
  <c r="K60" i="8"/>
  <c r="B170" i="8" s="1"/>
  <c r="F60" i="8"/>
  <c r="K59" i="8"/>
  <c r="B169" i="8" s="1"/>
  <c r="F59" i="8"/>
  <c r="K58" i="8"/>
  <c r="B168" i="8" s="1"/>
  <c r="F58" i="8"/>
  <c r="K57" i="8"/>
  <c r="B167" i="8" s="1"/>
  <c r="F57" i="8"/>
  <c r="K56" i="8"/>
  <c r="B166" i="8" s="1"/>
  <c r="F56" i="8"/>
  <c r="K55" i="8"/>
  <c r="B165" i="8" s="1"/>
  <c r="F55" i="8"/>
  <c r="K54" i="8"/>
  <c r="B164" i="8" s="1"/>
  <c r="F54" i="8"/>
  <c r="K53" i="8"/>
  <c r="B163" i="8" s="1"/>
  <c r="F53" i="8"/>
  <c r="K52" i="8"/>
  <c r="B162" i="8" s="1"/>
  <c r="F52" i="8"/>
  <c r="K51" i="8"/>
  <c r="B161" i="8" s="1"/>
  <c r="F51" i="8"/>
  <c r="F50" i="8"/>
  <c r="K49" i="8"/>
  <c r="B159" i="8" s="1"/>
  <c r="F49" i="8"/>
  <c r="K48" i="8"/>
  <c r="B158" i="8" s="1"/>
  <c r="F48" i="8"/>
  <c r="K47" i="8"/>
  <c r="B157" i="8" s="1"/>
  <c r="F47" i="8"/>
  <c r="K46" i="8"/>
  <c r="B156" i="8" s="1"/>
  <c r="F46" i="8"/>
  <c r="K45" i="8"/>
  <c r="B155" i="8" s="1"/>
  <c r="F45" i="8"/>
  <c r="K44" i="8"/>
  <c r="B154" i="8" s="1"/>
  <c r="F44" i="8"/>
  <c r="K43" i="8"/>
  <c r="B153" i="8" s="1"/>
  <c r="F43" i="8"/>
  <c r="F42" i="8"/>
  <c r="K41" i="8"/>
  <c r="B151" i="8" s="1"/>
  <c r="F41" i="8"/>
  <c r="G40" i="8"/>
  <c r="K40" i="8" s="1"/>
  <c r="B150" i="8" s="1"/>
  <c r="F40" i="8"/>
  <c r="E39" i="8"/>
  <c r="K39" i="8" s="1"/>
  <c r="B149" i="8" s="1"/>
  <c r="K38" i="8"/>
  <c r="F38" i="8"/>
  <c r="K37" i="8"/>
  <c r="F37" i="8"/>
  <c r="F36" i="8"/>
  <c r="AB88" i="10" l="1"/>
  <c r="D150" i="8"/>
  <c r="AB96" i="10"/>
  <c r="D158" i="8"/>
  <c r="AB104" i="10"/>
  <c r="D166" i="8"/>
  <c r="K94" i="7"/>
  <c r="AB68" i="10"/>
  <c r="C159" i="8"/>
  <c r="AB72" i="10"/>
  <c r="C163" i="8"/>
  <c r="AB76" i="10"/>
  <c r="C167" i="8"/>
  <c r="AB80" i="10"/>
  <c r="AB81" i="10" s="1"/>
  <c r="C171" i="8"/>
  <c r="E171" i="8" s="1"/>
  <c r="K95" i="7"/>
  <c r="K103" i="7"/>
  <c r="D70" i="5"/>
  <c r="D151" i="8"/>
  <c r="E151" i="8" s="1"/>
  <c r="AB89" i="10"/>
  <c r="D155" i="8"/>
  <c r="E155" i="8" s="1"/>
  <c r="AB93" i="10"/>
  <c r="D159" i="8"/>
  <c r="AB97" i="10"/>
  <c r="AB101" i="10"/>
  <c r="D163" i="8"/>
  <c r="D167" i="8"/>
  <c r="AB105" i="10"/>
  <c r="K96" i="7"/>
  <c r="K104" i="7"/>
  <c r="C68" i="5"/>
  <c r="E70" i="5"/>
  <c r="AB100" i="10"/>
  <c r="D162" i="8"/>
  <c r="K102" i="7"/>
  <c r="AB65" i="10"/>
  <c r="C156" i="8"/>
  <c r="AB69" i="10"/>
  <c r="C160" i="8"/>
  <c r="AB73" i="10"/>
  <c r="C164" i="8"/>
  <c r="K89" i="7"/>
  <c r="K97" i="7"/>
  <c r="K105" i="7"/>
  <c r="B26" i="2"/>
  <c r="B27" i="2" s="1"/>
  <c r="B28" i="2" s="1"/>
  <c r="B29" i="2" s="1"/>
  <c r="B30" i="2" s="1"/>
  <c r="B31" i="2" s="1"/>
  <c r="B32" i="2" s="1"/>
  <c r="B33" i="2" s="1"/>
  <c r="B34" i="2" s="1"/>
  <c r="B35" i="2" s="1"/>
  <c r="B36" i="2" s="1"/>
  <c r="B37" i="2" s="1"/>
  <c r="B38" i="2" s="1"/>
  <c r="B39" i="2" s="1"/>
  <c r="B40" i="2" s="1"/>
  <c r="B41" i="2" s="1"/>
  <c r="B42" i="2" s="1"/>
  <c r="B43" i="2" s="1"/>
  <c r="C75" i="2"/>
  <c r="D68" i="5"/>
  <c r="F70" i="5"/>
  <c r="AB59" i="10"/>
  <c r="C150" i="8"/>
  <c r="AB90" i="10"/>
  <c r="D152" i="8"/>
  <c r="E152" i="8" s="1"/>
  <c r="D156" i="8"/>
  <c r="AB94" i="10"/>
  <c r="AB98" i="10"/>
  <c r="D160" i="8"/>
  <c r="AB102" i="10"/>
  <c r="D164" i="8"/>
  <c r="AB106" i="10"/>
  <c r="D168" i="8"/>
  <c r="E168" i="8" s="1"/>
  <c r="K90" i="7"/>
  <c r="K98" i="7"/>
  <c r="K106" i="7"/>
  <c r="B46" i="2"/>
  <c r="E68" i="5"/>
  <c r="B25" i="5"/>
  <c r="B26" i="5" s="1"/>
  <c r="B27" i="5" s="1"/>
  <c r="B28" i="5" s="1"/>
  <c r="B29" i="5" s="1"/>
  <c r="B30" i="5" s="1"/>
  <c r="B31" i="5" s="1"/>
  <c r="B32" i="5" s="1"/>
  <c r="B33" i="5" s="1"/>
  <c r="B34" i="5" s="1"/>
  <c r="B35" i="5" s="1"/>
  <c r="B36" i="5" s="1"/>
  <c r="B37" i="5" s="1"/>
  <c r="B38" i="5" s="1"/>
  <c r="B39" i="5" s="1"/>
  <c r="B40" i="5" s="1"/>
  <c r="B41" i="5" s="1"/>
  <c r="B42" i="5" s="1"/>
  <c r="B43" i="5" s="1"/>
  <c r="E170" i="8"/>
  <c r="AB70" i="10"/>
  <c r="C161" i="8"/>
  <c r="AB74" i="10"/>
  <c r="C165" i="8"/>
  <c r="K91" i="7"/>
  <c r="K99" i="7"/>
  <c r="K107" i="7"/>
  <c r="C69" i="5"/>
  <c r="C70" i="5"/>
  <c r="D149" i="8"/>
  <c r="AA85" i="10" s="1"/>
  <c r="AC85" i="10" s="1"/>
  <c r="AB87" i="10"/>
  <c r="AB91" i="10"/>
  <c r="D153" i="8"/>
  <c r="E153" i="8" s="1"/>
  <c r="AB95" i="10"/>
  <c r="D157" i="8"/>
  <c r="E157" i="8" s="1"/>
  <c r="AB99" i="10"/>
  <c r="D161" i="8"/>
  <c r="AB103" i="10"/>
  <c r="D165" i="8"/>
  <c r="AB107" i="10"/>
  <c r="D169" i="8"/>
  <c r="E169" i="8" s="1"/>
  <c r="AB108" i="10"/>
  <c r="K92" i="7"/>
  <c r="K100" i="7"/>
  <c r="K108" i="7"/>
  <c r="D69" i="5"/>
  <c r="AB92" i="10"/>
  <c r="D154" i="8"/>
  <c r="AB63" i="10"/>
  <c r="C154" i="8"/>
  <c r="AB67" i="10"/>
  <c r="C158" i="8"/>
  <c r="AB71" i="10"/>
  <c r="C162" i="8"/>
  <c r="AB75" i="10"/>
  <c r="C166" i="8"/>
  <c r="E166" i="8" s="1"/>
  <c r="K93" i="7"/>
  <c r="K101" i="7"/>
  <c r="K109" i="7"/>
  <c r="E69" i="5"/>
  <c r="B46" i="5"/>
  <c r="B47" i="5" s="1"/>
  <c r="B48" i="5" s="1"/>
  <c r="B49" i="5" s="1"/>
  <c r="B50" i="5" s="1"/>
  <c r="B51" i="5" s="1"/>
  <c r="B52" i="5" s="1"/>
  <c r="B53" i="5" s="1"/>
  <c r="B54" i="5" s="1"/>
  <c r="B55" i="5" s="1"/>
  <c r="B56" i="5" s="1"/>
  <c r="B57" i="5" s="1"/>
  <c r="B58" i="5" s="1"/>
  <c r="B59" i="5" s="1"/>
  <c r="B60" i="5" s="1"/>
  <c r="B61" i="5" s="1"/>
  <c r="B62" i="5" s="1"/>
  <c r="B63" i="5" s="1"/>
  <c r="B64" i="5" s="1"/>
  <c r="L69" i="2"/>
  <c r="M45" i="2"/>
  <c r="L70" i="2"/>
  <c r="F8" i="8"/>
  <c r="AB61" i="10"/>
  <c r="K15" i="8"/>
  <c r="AB12" i="10" s="1"/>
  <c r="M24" i="2"/>
  <c r="O119" i="20"/>
  <c r="O165" i="20" s="1"/>
  <c r="M48" i="20"/>
  <c r="M166" i="20" s="1"/>
  <c r="P69" i="20"/>
  <c r="P169" i="20" s="1"/>
  <c r="O70" i="20"/>
  <c r="O170" i="20" s="1"/>
  <c r="B5" i="5"/>
  <c r="B6" i="5" s="1"/>
  <c r="B7" i="5" s="1"/>
  <c r="B8" i="5" s="1"/>
  <c r="B9" i="5" s="1"/>
  <c r="B10" i="5" s="1"/>
  <c r="B11" i="5" s="1"/>
  <c r="B12" i="5" s="1"/>
  <c r="B13" i="5" s="1"/>
  <c r="B14" i="5" s="1"/>
  <c r="B15" i="5" s="1"/>
  <c r="B16" i="5" s="1"/>
  <c r="B17" i="5" s="1"/>
  <c r="B18" i="5" s="1"/>
  <c r="B19" i="5" s="1"/>
  <c r="B20" i="5" s="1"/>
  <c r="B21" i="5" s="1"/>
  <c r="B22" i="5" s="1"/>
  <c r="B5" i="2"/>
  <c r="B6" i="2" s="1"/>
  <c r="B7" i="2" s="1"/>
  <c r="B8" i="2" s="1"/>
  <c r="B9" i="2" s="1"/>
  <c r="B10" i="2" s="1"/>
  <c r="B11" i="2" s="1"/>
  <c r="B12" i="2" s="1"/>
  <c r="B13" i="2" s="1"/>
  <c r="B14" i="2" s="1"/>
  <c r="B15" i="2" s="1"/>
  <c r="B16" i="2" s="1"/>
  <c r="B17" i="2" s="1"/>
  <c r="B18" i="2" s="1"/>
  <c r="B19" i="2" s="1"/>
  <c r="B20" i="2" s="1"/>
  <c r="B21" i="2" s="1"/>
  <c r="B22" i="2" s="1"/>
  <c r="AB31" i="10"/>
  <c r="AB44" i="10"/>
  <c r="AB77" i="10"/>
  <c r="AB32" i="10"/>
  <c r="AB33" i="10"/>
  <c r="AB37" i="10"/>
  <c r="AB41" i="10"/>
  <c r="AB45" i="10"/>
  <c r="AB49" i="10"/>
  <c r="AB53" i="10"/>
  <c r="AB54" i="10" s="1"/>
  <c r="AB62" i="10"/>
  <c r="AB66" i="10"/>
  <c r="AB78" i="10"/>
  <c r="AB36" i="10"/>
  <c r="AB52" i="10"/>
  <c r="F39" i="8"/>
  <c r="AB34" i="10"/>
  <c r="AB38" i="10"/>
  <c r="AB42" i="10"/>
  <c r="AB46" i="10"/>
  <c r="AB50" i="10"/>
  <c r="AB48" i="10"/>
  <c r="AB79" i="10"/>
  <c r="AB35" i="10"/>
  <c r="AB39" i="10"/>
  <c r="AB43" i="10"/>
  <c r="AB47" i="10"/>
  <c r="AB51" i="10"/>
  <c r="AB40" i="10"/>
  <c r="AB60" i="10"/>
  <c r="AB64" i="10"/>
  <c r="D118" i="7"/>
  <c r="H77" i="2"/>
  <c r="F23" i="5"/>
  <c r="F75" i="5" s="1"/>
  <c r="K20" i="8"/>
  <c r="AB17" i="10" s="1"/>
  <c r="K8" i="8"/>
  <c r="AB5" i="10" s="1"/>
  <c r="M5" i="10" s="1"/>
  <c r="K16" i="8"/>
  <c r="AB13" i="10" s="1"/>
  <c r="K17" i="8"/>
  <c r="AB14" i="10" s="1"/>
  <c r="K25" i="8"/>
  <c r="AB22" i="10" s="1"/>
  <c r="K26" i="8"/>
  <c r="AB23" i="10" s="1"/>
  <c r="I77" i="2"/>
  <c r="K6" i="8"/>
  <c r="G6" i="8" s="1"/>
  <c r="K21" i="8"/>
  <c r="AB18" i="10" s="1"/>
  <c r="K29" i="8"/>
  <c r="AB26" i="10" s="1"/>
  <c r="K13" i="8"/>
  <c r="AB10" i="10" s="1"/>
  <c r="K11" i="8"/>
  <c r="AB8" i="10" s="1"/>
  <c r="H71" i="2"/>
  <c r="K24" i="8"/>
  <c r="AB21" i="10" s="1"/>
  <c r="K18" i="8"/>
  <c r="AB15" i="10" s="1"/>
  <c r="K22" i="8"/>
  <c r="AB19" i="10" s="1"/>
  <c r="K9" i="8"/>
  <c r="AB6" i="10" s="1"/>
  <c r="M6" i="10" s="1"/>
  <c r="K12" i="8"/>
  <c r="AB9" i="10" s="1"/>
  <c r="K14" i="8"/>
  <c r="AB11" i="10" s="1"/>
  <c r="K72" i="8"/>
  <c r="K27" i="8"/>
  <c r="AB24" i="10" s="1"/>
  <c r="G71" i="2"/>
  <c r="K4" i="8"/>
  <c r="G4" i="8" s="1"/>
  <c r="K19" i="8"/>
  <c r="AB16" i="10" s="1"/>
  <c r="K23" i="8"/>
  <c r="AB20" i="10" s="1"/>
  <c r="K28" i="8"/>
  <c r="AB25" i="10" s="1"/>
  <c r="F71" i="2"/>
  <c r="F77" i="2"/>
  <c r="G77" i="2"/>
  <c r="D116" i="7"/>
  <c r="D124" i="7"/>
  <c r="D132" i="7"/>
  <c r="D115" i="7"/>
  <c r="E167" i="8" l="1"/>
  <c r="AC31" i="10"/>
  <c r="E150" i="8"/>
  <c r="E162" i="8"/>
  <c r="E163" i="8"/>
  <c r="E158" i="8"/>
  <c r="E154" i="8"/>
  <c r="E165" i="8"/>
  <c r="E156" i="8"/>
  <c r="E161" i="8"/>
  <c r="E164" i="8"/>
  <c r="E159" i="8"/>
  <c r="M22" i="10"/>
  <c r="M11" i="10"/>
  <c r="M9" i="10"/>
  <c r="F146" i="7" s="1"/>
  <c r="G146" i="7" s="1"/>
  <c r="C71" i="5"/>
  <c r="M10" i="10"/>
  <c r="F147" i="7" s="1"/>
  <c r="G147" i="7" s="1"/>
  <c r="M13" i="10"/>
  <c r="P13" i="12" s="1"/>
  <c r="P97" i="12" s="1"/>
  <c r="Z97" i="12" s="1"/>
  <c r="M20" i="10"/>
  <c r="J125" i="12"/>
  <c r="J155" i="12" s="1"/>
  <c r="P6" i="10"/>
  <c r="M87" i="10"/>
  <c r="P87" i="10" s="1"/>
  <c r="AB27" i="10"/>
  <c r="M27" i="10" s="1"/>
  <c r="M26" i="10"/>
  <c r="M86" i="10"/>
  <c r="P86" i="10" s="1"/>
  <c r="AD86" i="10" s="1"/>
  <c r="P5" i="10"/>
  <c r="AD5" i="10" s="1"/>
  <c r="M124" i="12" s="1"/>
  <c r="J124" i="12"/>
  <c r="R32" i="12"/>
  <c r="AA32" i="12" s="1"/>
  <c r="M25" i="10"/>
  <c r="M16" i="10"/>
  <c r="M70" i="10" s="1"/>
  <c r="M19" i="10"/>
  <c r="M18" i="10"/>
  <c r="P18" i="12" s="1"/>
  <c r="P102" i="12" s="1"/>
  <c r="Z102" i="12" s="1"/>
  <c r="M17" i="10"/>
  <c r="M12" i="10"/>
  <c r="M39" i="10" s="1"/>
  <c r="E160" i="8"/>
  <c r="M7" i="10"/>
  <c r="F69" i="5"/>
  <c r="F71" i="5" s="1"/>
  <c r="C74" i="2"/>
  <c r="X83" i="5"/>
  <c r="M14" i="10"/>
  <c r="M68" i="10" s="1"/>
  <c r="M15" i="10"/>
  <c r="AB58" i="10"/>
  <c r="M21" i="10"/>
  <c r="M75" i="10" s="1"/>
  <c r="M24" i="10"/>
  <c r="M23" i="10"/>
  <c r="K88" i="7"/>
  <c r="B47" i="2"/>
  <c r="D71" i="5"/>
  <c r="M8" i="10"/>
  <c r="E71" i="5"/>
  <c r="N45" i="2"/>
  <c r="M70" i="2"/>
  <c r="M69" i="2"/>
  <c r="H98" i="5"/>
  <c r="O99" i="5"/>
  <c r="P99" i="5"/>
  <c r="O96" i="5"/>
  <c r="J95" i="5"/>
  <c r="H95" i="5"/>
  <c r="L97" i="5"/>
  <c r="L98" i="5"/>
  <c r="E214" i="7"/>
  <c r="E217" i="7"/>
  <c r="E213" i="7"/>
  <c r="E203" i="7"/>
  <c r="E208" i="7"/>
  <c r="E207" i="7"/>
  <c r="E204" i="7"/>
  <c r="E211" i="7"/>
  <c r="E205" i="7"/>
  <c r="F7" i="8"/>
  <c r="E216" i="7"/>
  <c r="E206" i="7"/>
  <c r="E210" i="7"/>
  <c r="E218" i="7"/>
  <c r="E212" i="7"/>
  <c r="E215" i="7"/>
  <c r="E209" i="7"/>
  <c r="N24" i="2"/>
  <c r="P79" i="20"/>
  <c r="P170" i="20" s="1"/>
  <c r="Q78" i="20"/>
  <c r="Q169" i="20" s="1"/>
  <c r="N57" i="20"/>
  <c r="N166" i="20" s="1"/>
  <c r="P128" i="20"/>
  <c r="P165" i="20" s="1"/>
  <c r="I93" i="5"/>
  <c r="K96" i="5"/>
  <c r="S97" i="5"/>
  <c r="H99" i="5"/>
  <c r="N98" i="5"/>
  <c r="I94" i="5"/>
  <c r="J93" i="5"/>
  <c r="O97" i="5"/>
  <c r="S99" i="5"/>
  <c r="H92" i="5"/>
  <c r="O98" i="5"/>
  <c r="I92" i="5"/>
  <c r="M94" i="5"/>
  <c r="J96" i="5"/>
  <c r="R97" i="5"/>
  <c r="I97" i="5"/>
  <c r="N99" i="5"/>
  <c r="L99" i="5"/>
  <c r="I95" i="5"/>
  <c r="R98" i="5"/>
  <c r="X91" i="5"/>
  <c r="Q97" i="5"/>
  <c r="X97" i="5"/>
  <c r="R99" i="5"/>
  <c r="H93" i="5"/>
  <c r="M95" i="5"/>
  <c r="J97" i="5"/>
  <c r="P96" i="5"/>
  <c r="U98" i="5"/>
  <c r="S98" i="5"/>
  <c r="X95" i="5"/>
  <c r="H94" i="5"/>
  <c r="J98" i="5"/>
  <c r="X93" i="5"/>
  <c r="N95" i="5"/>
  <c r="T99" i="5"/>
  <c r="J99" i="5"/>
  <c r="Q99" i="5"/>
  <c r="L94" i="5"/>
  <c r="Q96" i="5"/>
  <c r="H96" i="5"/>
  <c r="M98" i="5"/>
  <c r="K98" i="5"/>
  <c r="U99" i="5"/>
  <c r="K93" i="5"/>
  <c r="M97" i="5"/>
  <c r="X92" i="5"/>
  <c r="K97" i="5"/>
  <c r="N96" i="5"/>
  <c r="Q98" i="5"/>
  <c r="I99" i="5"/>
  <c r="I96" i="5"/>
  <c r="L95" i="5"/>
  <c r="K95" i="5"/>
  <c r="P97" i="5"/>
  <c r="N97" i="5"/>
  <c r="M99" i="5"/>
  <c r="X98" i="5"/>
  <c r="L96" i="5"/>
  <c r="X96" i="5"/>
  <c r="V99" i="5"/>
  <c r="K99" i="5"/>
  <c r="I98" i="5"/>
  <c r="P98" i="5"/>
  <c r="K94" i="5"/>
  <c r="W99" i="5"/>
  <c r="J94" i="5"/>
  <c r="H97" i="5"/>
  <c r="M96" i="5"/>
  <c r="T98" i="5"/>
  <c r="X99" i="5"/>
  <c r="O95" i="5"/>
  <c r="X94" i="5"/>
  <c r="P22" i="12"/>
  <c r="P106" i="12" s="1"/>
  <c r="Z106" i="12" s="1"/>
  <c r="F159" i="7"/>
  <c r="G159" i="7" s="1"/>
  <c r="P6" i="12"/>
  <c r="F143" i="7"/>
  <c r="G143" i="7" s="1"/>
  <c r="P5" i="12"/>
  <c r="F142" i="7"/>
  <c r="G142" i="7" s="1"/>
  <c r="P11" i="12"/>
  <c r="P95" i="12" s="1"/>
  <c r="Z95" i="12" s="1"/>
  <c r="F148" i="7"/>
  <c r="G148" i="7" s="1"/>
  <c r="D83" i="5"/>
  <c r="C83" i="5"/>
  <c r="E77" i="5"/>
  <c r="F83" i="5"/>
  <c r="D77" i="5"/>
  <c r="C77" i="5"/>
  <c r="E83" i="5"/>
  <c r="J61" i="7"/>
  <c r="J63" i="7"/>
  <c r="J60" i="7"/>
  <c r="J77" i="2"/>
  <c r="E222" i="7"/>
  <c r="M65" i="10"/>
  <c r="M38" i="10"/>
  <c r="M66" i="10"/>
  <c r="M59" i="10"/>
  <c r="M32" i="10"/>
  <c r="P32" i="10" s="1"/>
  <c r="AD32" i="10" s="1"/>
  <c r="M44" i="10"/>
  <c r="M33" i="10"/>
  <c r="P33" i="10" s="1"/>
  <c r="AD33" i="10" s="1"/>
  <c r="M60" i="10"/>
  <c r="P60" i="10" s="1"/>
  <c r="M49" i="10"/>
  <c r="M76" i="10"/>
  <c r="J71" i="2"/>
  <c r="G20" i="8"/>
  <c r="G12" i="8"/>
  <c r="G13" i="8"/>
  <c r="G8" i="8"/>
  <c r="G24" i="8"/>
  <c r="G17" i="8"/>
  <c r="G10" i="8"/>
  <c r="G45" i="5"/>
  <c r="G24" i="5"/>
  <c r="G3" i="5"/>
  <c r="G36" i="1"/>
  <c r="G23" i="5" s="1"/>
  <c r="G22" i="8"/>
  <c r="G21" i="8"/>
  <c r="I71" i="2"/>
  <c r="G15" i="8"/>
  <c r="G25" i="8"/>
  <c r="G23" i="8"/>
  <c r="G19" i="8"/>
  <c r="AB4" i="10"/>
  <c r="G18" i="8"/>
  <c r="G11" i="8"/>
  <c r="G14" i="8"/>
  <c r="G16" i="8"/>
  <c r="G63" i="1"/>
  <c r="G44" i="5" s="1"/>
  <c r="G75" i="5" l="1"/>
  <c r="G81" i="5"/>
  <c r="G83" i="5" s="1"/>
  <c r="G76" i="5"/>
  <c r="M45" i="10"/>
  <c r="M72" i="10"/>
  <c r="F150" i="7"/>
  <c r="G150" i="7" s="1"/>
  <c r="F155" i="7"/>
  <c r="G155" i="7" s="1"/>
  <c r="F149" i="7"/>
  <c r="G149" i="7" s="1"/>
  <c r="P12" i="12"/>
  <c r="P96" i="12" s="1"/>
  <c r="Z96" i="12" s="1"/>
  <c r="M41" i="10"/>
  <c r="F151" i="7"/>
  <c r="G151" i="7" s="1"/>
  <c r="M36" i="10"/>
  <c r="P14" i="12"/>
  <c r="P98" i="12" s="1"/>
  <c r="Z98" i="12" s="1"/>
  <c r="M63" i="10"/>
  <c r="F158" i="7"/>
  <c r="G158" i="7" s="1"/>
  <c r="P9" i="12"/>
  <c r="P93" i="12" s="1"/>
  <c r="Z93" i="12" s="1"/>
  <c r="M48" i="10"/>
  <c r="M67" i="10"/>
  <c r="P21" i="12"/>
  <c r="P105" i="12" s="1"/>
  <c r="Z105" i="12" s="1"/>
  <c r="M40" i="10"/>
  <c r="J137" i="12"/>
  <c r="J167" i="12" s="1"/>
  <c r="M99" i="10"/>
  <c r="J128" i="12"/>
  <c r="J158" i="12" s="1"/>
  <c r="M90" i="10"/>
  <c r="J127" i="12"/>
  <c r="J157" i="12" s="1"/>
  <c r="M89" i="10"/>
  <c r="J142" i="12"/>
  <c r="J172" i="12" s="1"/>
  <c r="M104" i="10"/>
  <c r="AA58" i="10"/>
  <c r="AC58" i="10" s="1"/>
  <c r="J134" i="12"/>
  <c r="J164" i="12" s="1"/>
  <c r="M96" i="10"/>
  <c r="J138" i="12"/>
  <c r="J168" i="12" s="1"/>
  <c r="M100" i="10"/>
  <c r="E77" i="2"/>
  <c r="J126" i="12"/>
  <c r="J156" i="12" s="1"/>
  <c r="P7" i="10"/>
  <c r="B48" i="2"/>
  <c r="J143" i="12"/>
  <c r="J173" i="12" s="1"/>
  <c r="M105" i="10"/>
  <c r="J145" i="12"/>
  <c r="J175" i="12" s="1"/>
  <c r="M107" i="10"/>
  <c r="J130" i="12"/>
  <c r="J160" i="12" s="1"/>
  <c r="M92" i="10"/>
  <c r="G70" i="5"/>
  <c r="J133" i="12"/>
  <c r="J163" i="12" s="1"/>
  <c r="M95" i="10"/>
  <c r="J135" i="12"/>
  <c r="J165" i="12" s="1"/>
  <c r="M97" i="10"/>
  <c r="J131" i="12"/>
  <c r="J161" i="12" s="1"/>
  <c r="M93" i="10"/>
  <c r="J154" i="12"/>
  <c r="K124" i="12"/>
  <c r="K154" i="12" s="1"/>
  <c r="M108" i="10"/>
  <c r="P27" i="10"/>
  <c r="J139" i="12"/>
  <c r="J169" i="12" s="1"/>
  <c r="M101" i="10"/>
  <c r="J132" i="12"/>
  <c r="J162" i="12" s="1"/>
  <c r="M94" i="10"/>
  <c r="G69" i="5"/>
  <c r="J129" i="12"/>
  <c r="J159" i="12" s="1"/>
  <c r="M91" i="10"/>
  <c r="K87" i="7"/>
  <c r="J140" i="12"/>
  <c r="J170" i="12" s="1"/>
  <c r="M102" i="10"/>
  <c r="J136" i="12"/>
  <c r="J166" i="12" s="1"/>
  <c r="M98" i="10"/>
  <c r="J144" i="12"/>
  <c r="J174" i="12" s="1"/>
  <c r="M106" i="10"/>
  <c r="J141" i="12"/>
  <c r="J171" i="12" s="1"/>
  <c r="M103" i="10"/>
  <c r="Q6" i="12"/>
  <c r="P90" i="12"/>
  <c r="Z90" i="12" s="1"/>
  <c r="Q5" i="12"/>
  <c r="P89" i="12"/>
  <c r="N69" i="2"/>
  <c r="O45" i="2"/>
  <c r="N70" i="2"/>
  <c r="F144" i="7"/>
  <c r="G144" i="7" s="1"/>
  <c r="M88" i="10"/>
  <c r="P88" i="10" s="1"/>
  <c r="F153" i="7"/>
  <c r="G153" i="7" s="1"/>
  <c r="M43" i="10"/>
  <c r="P17" i="12"/>
  <c r="P101" i="12" s="1"/>
  <c r="Z101" i="12" s="1"/>
  <c r="M74" i="10"/>
  <c r="F145" i="7"/>
  <c r="G145" i="7" s="1"/>
  <c r="M47" i="10"/>
  <c r="P8" i="12"/>
  <c r="F154" i="7"/>
  <c r="G154" i="7" s="1"/>
  <c r="P16" i="12"/>
  <c r="P100" i="12" s="1"/>
  <c r="Z100" i="12" s="1"/>
  <c r="M71" i="10"/>
  <c r="M35" i="10"/>
  <c r="F157" i="7"/>
  <c r="G157" i="7" s="1"/>
  <c r="M62" i="10"/>
  <c r="P20" i="12"/>
  <c r="P48" i="12" s="1"/>
  <c r="M37" i="10"/>
  <c r="P15" i="12"/>
  <c r="P99" i="12" s="1"/>
  <c r="Z99" i="12" s="1"/>
  <c r="M34" i="10"/>
  <c r="P34" i="10" s="1"/>
  <c r="AD34" i="10" s="1"/>
  <c r="M64" i="10"/>
  <c r="M42" i="10"/>
  <c r="P10" i="12"/>
  <c r="E219" i="7"/>
  <c r="F152" i="7"/>
  <c r="G152" i="7" s="1"/>
  <c r="E221" i="7"/>
  <c r="M69" i="10"/>
  <c r="M46" i="10"/>
  <c r="E220" i="7"/>
  <c r="F156" i="7"/>
  <c r="G156" i="7" s="1"/>
  <c r="M73" i="10"/>
  <c r="P19" i="12"/>
  <c r="P7" i="12"/>
  <c r="M61" i="10"/>
  <c r="P61" i="10" s="1"/>
  <c r="O24" i="2"/>
  <c r="Q137" i="20"/>
  <c r="Q165" i="20" s="1"/>
  <c r="O66" i="20"/>
  <c r="O166" i="20" s="1"/>
  <c r="R87" i="20"/>
  <c r="R169" i="20" s="1"/>
  <c r="Q88" i="20"/>
  <c r="Q170" i="20" s="1"/>
  <c r="Z22" i="12"/>
  <c r="P78" i="12"/>
  <c r="P50" i="12"/>
  <c r="Z12" i="12"/>
  <c r="P68" i="12"/>
  <c r="Z6" i="12"/>
  <c r="P62" i="12"/>
  <c r="Q62" i="12" s="1"/>
  <c r="P34" i="12"/>
  <c r="Q34" i="12" s="1"/>
  <c r="Z13" i="12"/>
  <c r="P69" i="12"/>
  <c r="P41" i="12"/>
  <c r="Z11" i="12"/>
  <c r="P67" i="12"/>
  <c r="P39" i="12"/>
  <c r="Z14" i="12"/>
  <c r="P70" i="12"/>
  <c r="P42" i="12"/>
  <c r="Z18" i="12"/>
  <c r="P74" i="12"/>
  <c r="P46" i="12"/>
  <c r="Z5" i="12"/>
  <c r="P33" i="12"/>
  <c r="Q33" i="12" s="1"/>
  <c r="P61" i="12"/>
  <c r="Q61" i="12" s="1"/>
  <c r="P25" i="12"/>
  <c r="P59" i="10"/>
  <c r="AD59" i="10" s="1"/>
  <c r="Y35" i="12"/>
  <c r="Y63" i="12"/>
  <c r="K77" i="2"/>
  <c r="M52" i="10"/>
  <c r="G2" i="5"/>
  <c r="G74" i="5" s="1"/>
  <c r="H4" i="5"/>
  <c r="H80" i="5" s="1"/>
  <c r="H3" i="5"/>
  <c r="K71" i="2"/>
  <c r="Y62" i="12"/>
  <c r="Y34" i="12"/>
  <c r="G7" i="8"/>
  <c r="H46" i="5"/>
  <c r="H45" i="5"/>
  <c r="H38" i="1"/>
  <c r="H25" i="5" s="1"/>
  <c r="H24" i="5"/>
  <c r="H36" i="1"/>
  <c r="H23" i="5" s="1"/>
  <c r="H75" i="5" s="1"/>
  <c r="H63" i="1"/>
  <c r="H44" i="5" s="1"/>
  <c r="Y36" i="12"/>
  <c r="Y64" i="12"/>
  <c r="H81" i="5" l="1"/>
  <c r="H76" i="5"/>
  <c r="P65" i="12"/>
  <c r="P37" i="12"/>
  <c r="Z9" i="12"/>
  <c r="P49" i="12"/>
  <c r="P40" i="12"/>
  <c r="Z16" i="12"/>
  <c r="P77" i="12"/>
  <c r="Z21" i="12"/>
  <c r="H70" i="5"/>
  <c r="G68" i="5"/>
  <c r="G71" i="5" s="1"/>
  <c r="H69" i="5"/>
  <c r="B49" i="2"/>
  <c r="R61" i="12"/>
  <c r="AA61" i="12" s="1"/>
  <c r="R60" i="12"/>
  <c r="AA60" i="12" s="1"/>
  <c r="P73" i="12"/>
  <c r="Z17" i="12"/>
  <c r="P72" i="12"/>
  <c r="Z15" i="12"/>
  <c r="P76" i="12"/>
  <c r="J123" i="12"/>
  <c r="M85" i="10"/>
  <c r="P85" i="10" s="1"/>
  <c r="AD85" i="10" s="1"/>
  <c r="AE85" i="10" s="1"/>
  <c r="P44" i="12"/>
  <c r="P45" i="12"/>
  <c r="Q7" i="12"/>
  <c r="P91" i="12"/>
  <c r="Z91" i="12" s="1"/>
  <c r="P103" i="12"/>
  <c r="Z103" i="12" s="1"/>
  <c r="Z8" i="12"/>
  <c r="P92" i="12"/>
  <c r="Z92" i="12" s="1"/>
  <c r="Z89" i="12"/>
  <c r="Q89" i="12"/>
  <c r="Z20" i="12"/>
  <c r="P104" i="12"/>
  <c r="Z104" i="12" s="1"/>
  <c r="P43" i="12"/>
  <c r="Z10" i="12"/>
  <c r="P94" i="12"/>
  <c r="Z94" i="12" s="1"/>
  <c r="P109" i="12"/>
  <c r="Z109" i="12" s="1"/>
  <c r="P71" i="12"/>
  <c r="O69" i="2"/>
  <c r="P45" i="2"/>
  <c r="O70" i="2"/>
  <c r="P64" i="12"/>
  <c r="P36" i="12"/>
  <c r="F160" i="7"/>
  <c r="G160" i="7" s="1"/>
  <c r="F161" i="7"/>
  <c r="G161" i="7" s="1"/>
  <c r="M51" i="10"/>
  <c r="P24" i="12"/>
  <c r="M78" i="10"/>
  <c r="P38" i="12"/>
  <c r="P66" i="12"/>
  <c r="F162" i="7"/>
  <c r="G162" i="7" s="1"/>
  <c r="P47" i="12"/>
  <c r="M79" i="10"/>
  <c r="P23" i="12"/>
  <c r="P75" i="12"/>
  <c r="P35" i="12"/>
  <c r="Q35" i="12" s="1"/>
  <c r="M77" i="10"/>
  <c r="P63" i="12"/>
  <c r="Q63" i="12" s="1"/>
  <c r="Z19" i="12"/>
  <c r="M50" i="10"/>
  <c r="Z7" i="12"/>
  <c r="M53" i="10"/>
  <c r="P24" i="2"/>
  <c r="H90" i="5"/>
  <c r="S96" i="20"/>
  <c r="S169" i="20" s="1"/>
  <c r="P75" i="20"/>
  <c r="P166" i="20" s="1"/>
  <c r="R97" i="20"/>
  <c r="R170" i="20" s="1"/>
  <c r="R146" i="20"/>
  <c r="R165" i="20" s="1"/>
  <c r="H91" i="5"/>
  <c r="M80" i="10"/>
  <c r="Z25" i="12"/>
  <c r="P53" i="12"/>
  <c r="P81" i="12"/>
  <c r="F141" i="7"/>
  <c r="G141" i="7" s="1"/>
  <c r="P4" i="12"/>
  <c r="P26" i="12"/>
  <c r="F163" i="7"/>
  <c r="G163" i="7" s="1"/>
  <c r="M31" i="10"/>
  <c r="M58" i="10"/>
  <c r="F77" i="5"/>
  <c r="H2" i="5"/>
  <c r="H74" i="5" s="1"/>
  <c r="L77" i="2"/>
  <c r="I4" i="5"/>
  <c r="I3" i="5"/>
  <c r="I5" i="5"/>
  <c r="M76" i="2"/>
  <c r="L71" i="2"/>
  <c r="M75" i="2"/>
  <c r="I63" i="1"/>
  <c r="I44" i="5" s="1"/>
  <c r="I76" i="5" s="1"/>
  <c r="I46" i="5"/>
  <c r="I45" i="5"/>
  <c r="I38" i="1"/>
  <c r="I25" i="5" s="1"/>
  <c r="I24" i="5"/>
  <c r="I47" i="5"/>
  <c r="I39" i="1"/>
  <c r="I26" i="5" s="1"/>
  <c r="I81" i="5" s="1"/>
  <c r="I36" i="1"/>
  <c r="I23" i="5" s="1"/>
  <c r="I75" i="5" s="1"/>
  <c r="I80" i="5" l="1"/>
  <c r="AA86" i="10"/>
  <c r="AC86" i="10" s="1"/>
  <c r="S88" i="12"/>
  <c r="AE86" i="10"/>
  <c r="R89" i="12"/>
  <c r="I70" i="5"/>
  <c r="H68" i="5"/>
  <c r="H71" i="5" s="1"/>
  <c r="I69" i="5"/>
  <c r="R4" i="12"/>
  <c r="AA4" i="12" s="1"/>
  <c r="B50" i="2"/>
  <c r="K123" i="12"/>
  <c r="K153" i="12" s="1"/>
  <c r="J153" i="12"/>
  <c r="H83" i="5"/>
  <c r="Q4" i="12"/>
  <c r="P88" i="12"/>
  <c r="P110" i="12"/>
  <c r="Z110" i="12" s="1"/>
  <c r="P82" i="12"/>
  <c r="P107" i="12"/>
  <c r="Z107" i="12" s="1"/>
  <c r="P108" i="12"/>
  <c r="Z108" i="12" s="1"/>
  <c r="M123" i="12"/>
  <c r="I90" i="5"/>
  <c r="P69" i="2"/>
  <c r="Q45" i="2"/>
  <c r="P70" i="2"/>
  <c r="P52" i="12"/>
  <c r="Z24" i="12"/>
  <c r="P80" i="12"/>
  <c r="Z23" i="12"/>
  <c r="P51" i="12"/>
  <c r="P79" i="12"/>
  <c r="M54" i="10"/>
  <c r="M81" i="10"/>
  <c r="I91" i="5"/>
  <c r="Q24" i="2"/>
  <c r="S106" i="20"/>
  <c r="S170" i="20" s="1"/>
  <c r="Q84" i="20"/>
  <c r="Q166" i="20" s="1"/>
  <c r="S155" i="20"/>
  <c r="S165" i="20" s="1"/>
  <c r="T105" i="20"/>
  <c r="T169" i="20" s="1"/>
  <c r="P54" i="12"/>
  <c r="P60" i="12"/>
  <c r="Q60" i="12" s="1"/>
  <c r="P32" i="12"/>
  <c r="Q32" i="12" s="1"/>
  <c r="P31" i="10"/>
  <c r="Z26" i="12"/>
  <c r="P58" i="10"/>
  <c r="AD58" i="10" s="1"/>
  <c r="AE58" i="10" s="1"/>
  <c r="Z4" i="12"/>
  <c r="G77" i="5"/>
  <c r="I2" i="5"/>
  <c r="I74" i="5" s="1"/>
  <c r="J4" i="5"/>
  <c r="J80" i="5" s="1"/>
  <c r="J3" i="5"/>
  <c r="J6" i="5"/>
  <c r="J5" i="5"/>
  <c r="M77" i="2"/>
  <c r="N76" i="2"/>
  <c r="N75" i="2"/>
  <c r="M71" i="2"/>
  <c r="J47" i="5"/>
  <c r="J39" i="1"/>
  <c r="J26" i="5" s="1"/>
  <c r="J81" i="5" s="1"/>
  <c r="J36" i="1"/>
  <c r="J23" i="5" s="1"/>
  <c r="J75" i="5" s="1"/>
  <c r="J46" i="5"/>
  <c r="J38" i="1"/>
  <c r="J25" i="5" s="1"/>
  <c r="J45" i="5"/>
  <c r="J24" i="5"/>
  <c r="J48" i="5"/>
  <c r="J82" i="5" s="1"/>
  <c r="J40" i="1"/>
  <c r="J27" i="5" s="1"/>
  <c r="J63" i="1"/>
  <c r="J44" i="5" s="1"/>
  <c r="J76" i="5" s="1"/>
  <c r="AA87" i="10" l="1"/>
  <c r="AC87" i="10" s="1"/>
  <c r="R90" i="12" s="1"/>
  <c r="S89" i="12"/>
  <c r="J69" i="5"/>
  <c r="J70" i="5"/>
  <c r="I68" i="5"/>
  <c r="I71" i="5" s="1"/>
  <c r="S4" i="12"/>
  <c r="L123" i="12"/>
  <c r="L153" i="12" s="1"/>
  <c r="AA88" i="12"/>
  <c r="B51" i="2"/>
  <c r="Q88" i="12"/>
  <c r="Z88" i="12"/>
  <c r="R45" i="2"/>
  <c r="Q70" i="2"/>
  <c r="Q69" i="2"/>
  <c r="J90" i="5"/>
  <c r="J91" i="5"/>
  <c r="R24" i="2"/>
  <c r="J92" i="5"/>
  <c r="U114" i="20"/>
  <c r="U169" i="20" s="1"/>
  <c r="R93" i="20"/>
  <c r="R166" i="20" s="1"/>
  <c r="T115" i="20"/>
  <c r="T170" i="20" s="1"/>
  <c r="AD31" i="10"/>
  <c r="AE31" i="10" s="1"/>
  <c r="AA59" i="10"/>
  <c r="S60" i="12"/>
  <c r="H77" i="5"/>
  <c r="I83" i="5"/>
  <c r="Y37" i="12"/>
  <c r="Y65" i="12"/>
  <c r="Y66" i="12"/>
  <c r="Y38" i="12"/>
  <c r="J2" i="5"/>
  <c r="J74" i="5" s="1"/>
  <c r="K7" i="5"/>
  <c r="K4" i="5"/>
  <c r="K5" i="5"/>
  <c r="K6" i="5"/>
  <c r="O76" i="2"/>
  <c r="N77" i="2"/>
  <c r="N71" i="2"/>
  <c r="O75" i="2"/>
  <c r="K48" i="5"/>
  <c r="K82" i="5" s="1"/>
  <c r="K40" i="1"/>
  <c r="K27" i="5" s="1"/>
  <c r="K38" i="1"/>
  <c r="K25" i="5" s="1"/>
  <c r="K45" i="5"/>
  <c r="K24" i="5"/>
  <c r="K3" i="5"/>
  <c r="K49" i="5"/>
  <c r="K36" i="1"/>
  <c r="K23" i="5" s="1"/>
  <c r="K75" i="5" s="1"/>
  <c r="K47" i="5"/>
  <c r="K41" i="1"/>
  <c r="K28" i="5" s="1"/>
  <c r="K46" i="5"/>
  <c r="K39" i="1"/>
  <c r="K26" i="5" s="1"/>
  <c r="K81" i="5" s="1"/>
  <c r="K63" i="1"/>
  <c r="K44" i="5" s="1"/>
  <c r="K76" i="5" s="1"/>
  <c r="K80" i="5" l="1"/>
  <c r="N123" i="12"/>
  <c r="M153" i="12" s="1"/>
  <c r="AA5" i="10"/>
  <c r="R5" i="12" s="1"/>
  <c r="AA5" i="12" s="1"/>
  <c r="B52" i="2"/>
  <c r="K69" i="5"/>
  <c r="J68" i="5"/>
  <c r="J71" i="5" s="1"/>
  <c r="AC59" i="10"/>
  <c r="AE59" i="10" s="1"/>
  <c r="S32" i="12"/>
  <c r="K70" i="5"/>
  <c r="R69" i="2"/>
  <c r="S45" i="2"/>
  <c r="R70" i="2"/>
  <c r="K92" i="5"/>
  <c r="S24" i="2"/>
  <c r="K90" i="5"/>
  <c r="U124" i="20"/>
  <c r="U170" i="20" s="1"/>
  <c r="S102" i="20"/>
  <c r="S166" i="20" s="1"/>
  <c r="U116" i="20"/>
  <c r="K91" i="5"/>
  <c r="AA32" i="10"/>
  <c r="R62" i="12"/>
  <c r="AA62" i="12" s="1"/>
  <c r="Z60" i="12"/>
  <c r="Z32" i="12"/>
  <c r="I77" i="5"/>
  <c r="J83" i="5"/>
  <c r="K2" i="5"/>
  <c r="K74" i="5" s="1"/>
  <c r="L7" i="5"/>
  <c r="L4" i="5"/>
  <c r="L3" i="5"/>
  <c r="L5" i="5"/>
  <c r="L8" i="5"/>
  <c r="L6" i="5"/>
  <c r="P76" i="2"/>
  <c r="O77" i="2"/>
  <c r="O71" i="2"/>
  <c r="P75" i="2"/>
  <c r="L63" i="1"/>
  <c r="L44" i="5" s="1"/>
  <c r="L76" i="5" s="1"/>
  <c r="L46" i="5"/>
  <c r="L45" i="5"/>
  <c r="L38" i="1"/>
  <c r="L25" i="5" s="1"/>
  <c r="L24" i="5"/>
  <c r="L48" i="5"/>
  <c r="L40" i="1"/>
  <c r="L27" i="5" s="1"/>
  <c r="L49" i="5"/>
  <c r="L36" i="1"/>
  <c r="L23" i="5" s="1"/>
  <c r="L75" i="5" s="1"/>
  <c r="L50" i="5"/>
  <c r="L47" i="5"/>
  <c r="L41" i="1"/>
  <c r="L28" i="5" s="1"/>
  <c r="L42" i="1"/>
  <c r="L29" i="5" s="1"/>
  <c r="L39" i="1"/>
  <c r="L26" i="5" s="1"/>
  <c r="L81" i="5" l="1"/>
  <c r="L80" i="5"/>
  <c r="L82" i="5"/>
  <c r="B53" i="2"/>
  <c r="K68" i="5"/>
  <c r="K71" i="5" s="1"/>
  <c r="L70" i="5"/>
  <c r="AC5" i="10"/>
  <c r="L69" i="5"/>
  <c r="S69" i="2"/>
  <c r="T45" i="2"/>
  <c r="S70" i="2"/>
  <c r="L90" i="5"/>
  <c r="L93" i="5"/>
  <c r="T24" i="2"/>
  <c r="U180" i="20"/>
  <c r="T111" i="20"/>
  <c r="T166" i="20" s="1"/>
  <c r="L91" i="5"/>
  <c r="L92" i="5"/>
  <c r="AC32" i="10"/>
  <c r="AE32" i="10" s="1"/>
  <c r="R33" i="12"/>
  <c r="AA33" i="12" s="1"/>
  <c r="AA60" i="10"/>
  <c r="S61" i="12"/>
  <c r="K83" i="5"/>
  <c r="J77" i="5"/>
  <c r="L2" i="5"/>
  <c r="L74" i="5" s="1"/>
  <c r="M9" i="5"/>
  <c r="M4" i="5"/>
  <c r="M3" i="5"/>
  <c r="M5" i="5"/>
  <c r="M8" i="5"/>
  <c r="M6" i="5"/>
  <c r="M7" i="5"/>
  <c r="Q76" i="2"/>
  <c r="P77" i="2"/>
  <c r="Q75" i="2"/>
  <c r="P71" i="2"/>
  <c r="M63" i="1"/>
  <c r="M44" i="5" s="1"/>
  <c r="M47" i="5"/>
  <c r="M39" i="1"/>
  <c r="M26" i="5" s="1"/>
  <c r="M36" i="1"/>
  <c r="M23" i="5" s="1"/>
  <c r="M45" i="5"/>
  <c r="M24" i="5"/>
  <c r="M49" i="5"/>
  <c r="M50" i="5"/>
  <c r="M48" i="5"/>
  <c r="M82" i="5" s="1"/>
  <c r="M41" i="1"/>
  <c r="M28" i="5" s="1"/>
  <c r="M51" i="5"/>
  <c r="M42" i="1"/>
  <c r="M29" i="5" s="1"/>
  <c r="M40" i="1"/>
  <c r="M27" i="5" s="1"/>
  <c r="M38" i="1"/>
  <c r="M25" i="5" s="1"/>
  <c r="M46" i="5"/>
  <c r="M43" i="1"/>
  <c r="M30" i="5" s="1"/>
  <c r="M75" i="5" l="1"/>
  <c r="M81" i="5"/>
  <c r="M76" i="5"/>
  <c r="M80" i="5"/>
  <c r="L68" i="5"/>
  <c r="L71" i="5" s="1"/>
  <c r="M69" i="5"/>
  <c r="AE5" i="10"/>
  <c r="AG5" i="10" s="1"/>
  <c r="AA89" i="12"/>
  <c r="L124" i="12"/>
  <c r="L154" i="12" s="1"/>
  <c r="M70" i="5"/>
  <c r="AC60" i="10"/>
  <c r="B54" i="2"/>
  <c r="T69" i="2"/>
  <c r="U45" i="2"/>
  <c r="T70" i="2"/>
  <c r="M90" i="5"/>
  <c r="U24" i="2"/>
  <c r="U120" i="20"/>
  <c r="U166" i="20" s="1"/>
  <c r="Q8" i="10" s="1" a="1"/>
  <c r="M92" i="5"/>
  <c r="M93" i="5"/>
  <c r="M91" i="5"/>
  <c r="S33" i="12"/>
  <c r="AA33" i="10"/>
  <c r="R63" i="12"/>
  <c r="AA63" i="12" s="1"/>
  <c r="L83" i="5"/>
  <c r="K77" i="5"/>
  <c r="M2" i="5"/>
  <c r="M74" i="5" s="1"/>
  <c r="N4" i="5"/>
  <c r="N3" i="5"/>
  <c r="N5" i="5"/>
  <c r="N8" i="5"/>
  <c r="N6" i="5"/>
  <c r="N10" i="5"/>
  <c r="N7" i="5"/>
  <c r="N9" i="5"/>
  <c r="R76" i="2"/>
  <c r="Q77" i="2"/>
  <c r="Q71" i="2"/>
  <c r="R75" i="2"/>
  <c r="N63" i="1"/>
  <c r="N44" i="5" s="1"/>
  <c r="N50" i="5"/>
  <c r="N42" i="1"/>
  <c r="N29" i="5" s="1"/>
  <c r="N52" i="5"/>
  <c r="N44" i="1"/>
  <c r="N31" i="5" s="1"/>
  <c r="N49" i="5"/>
  <c r="N41" i="1"/>
  <c r="N28" i="5" s="1"/>
  <c r="N24" i="5"/>
  <c r="N48" i="5"/>
  <c r="N36" i="1"/>
  <c r="N23" i="5" s="1"/>
  <c r="N75" i="5" s="1"/>
  <c r="N51" i="5"/>
  <c r="N47" i="5"/>
  <c r="N40" i="1"/>
  <c r="N27" i="5" s="1"/>
  <c r="N45" i="5"/>
  <c r="N46" i="5"/>
  <c r="N30" i="5"/>
  <c r="N39" i="1"/>
  <c r="N26" i="5" s="1"/>
  <c r="N38" i="1"/>
  <c r="N25" i="5" s="1"/>
  <c r="N82" i="5" l="1"/>
  <c r="N80" i="5"/>
  <c r="N81" i="5"/>
  <c r="N76" i="5"/>
  <c r="Q8" i="10"/>
  <c r="H128" i="12"/>
  <c r="H158" i="12" s="1"/>
  <c r="H129" i="12"/>
  <c r="H159" i="12" s="1"/>
  <c r="H130" i="12"/>
  <c r="H160" i="12" s="1"/>
  <c r="H141" i="12"/>
  <c r="H171" i="12" s="1"/>
  <c r="H137" i="12"/>
  <c r="H167" i="12" s="1"/>
  <c r="H136" i="12"/>
  <c r="H166" i="12" s="1"/>
  <c r="H138" i="12"/>
  <c r="H168" i="12" s="1"/>
  <c r="H144" i="12"/>
  <c r="H174" i="12" s="1"/>
  <c r="H133" i="12"/>
  <c r="H163" i="12" s="1"/>
  <c r="H139" i="12"/>
  <c r="H169" i="12" s="1"/>
  <c r="H145" i="12"/>
  <c r="H175" i="12" s="1"/>
  <c r="H142" i="12"/>
  <c r="H172" i="12" s="1"/>
  <c r="H131" i="12"/>
  <c r="H161" i="12" s="1"/>
  <c r="H143" i="12"/>
  <c r="H173" i="12" s="1"/>
  <c r="H134" i="12"/>
  <c r="H164" i="12" s="1"/>
  <c r="H140" i="12"/>
  <c r="H170" i="12" s="1"/>
  <c r="H135" i="12"/>
  <c r="H165" i="12" s="1"/>
  <c r="H132" i="12"/>
  <c r="H162" i="12" s="1"/>
  <c r="H127" i="12"/>
  <c r="H157" i="12" s="1"/>
  <c r="N69" i="5"/>
  <c r="B55" i="2"/>
  <c r="AA6" i="10"/>
  <c r="S5" i="12"/>
  <c r="N124" i="12"/>
  <c r="M154" i="12" s="1"/>
  <c r="M77" i="5"/>
  <c r="M68" i="5"/>
  <c r="M71" i="5" s="1"/>
  <c r="N70" i="5"/>
  <c r="U69" i="2"/>
  <c r="V45" i="2"/>
  <c r="U70" i="2"/>
  <c r="N94" i="5"/>
  <c r="V24" i="2"/>
  <c r="N90" i="5"/>
  <c r="U125" i="20"/>
  <c r="U171" i="20" s="1"/>
  <c r="N93" i="5"/>
  <c r="N91" i="5"/>
  <c r="N92" i="5"/>
  <c r="AC33" i="10"/>
  <c r="AE33" i="10" s="1"/>
  <c r="R34" i="12"/>
  <c r="AA34" i="12" s="1"/>
  <c r="Z61" i="12"/>
  <c r="Z33" i="12"/>
  <c r="M83" i="5"/>
  <c r="L77" i="5"/>
  <c r="N2" i="5"/>
  <c r="N74" i="5" s="1"/>
  <c r="O5" i="5"/>
  <c r="O8" i="5"/>
  <c r="O6" i="5"/>
  <c r="O3" i="5"/>
  <c r="O11" i="5"/>
  <c r="O10" i="5"/>
  <c r="O4" i="5"/>
  <c r="O7" i="5"/>
  <c r="O9" i="5"/>
  <c r="R77" i="2"/>
  <c r="S76" i="2"/>
  <c r="R71" i="2"/>
  <c r="S75" i="2"/>
  <c r="O48" i="5"/>
  <c r="O40" i="1"/>
  <c r="O27" i="5" s="1"/>
  <c r="O49" i="5"/>
  <c r="O41" i="1"/>
  <c r="O28" i="5" s="1"/>
  <c r="O51" i="5"/>
  <c r="O43" i="1"/>
  <c r="O30" i="5" s="1"/>
  <c r="O53" i="5"/>
  <c r="O45" i="1"/>
  <c r="O32" i="5" s="1"/>
  <c r="O36" i="1"/>
  <c r="O23" i="5" s="1"/>
  <c r="O75" i="5" s="1"/>
  <c r="O50" i="5"/>
  <c r="O47" i="5"/>
  <c r="O46" i="5"/>
  <c r="O42" i="1"/>
  <c r="O29" i="5" s="1"/>
  <c r="O39" i="1"/>
  <c r="O26" i="5" s="1"/>
  <c r="O44" i="1"/>
  <c r="O31" i="5" s="1"/>
  <c r="O38" i="1"/>
  <c r="O25" i="5" s="1"/>
  <c r="O24" i="5"/>
  <c r="O52" i="5"/>
  <c r="O45" i="5"/>
  <c r="O63" i="1"/>
  <c r="O44" i="5" s="1"/>
  <c r="O76" i="5" s="1"/>
  <c r="O82" i="5" l="1"/>
  <c r="O80" i="5"/>
  <c r="O81" i="5"/>
  <c r="N68" i="5"/>
  <c r="N71" i="5" s="1"/>
  <c r="O69" i="5"/>
  <c r="AC6" i="10"/>
  <c r="R6" i="12"/>
  <c r="AA6" i="12" s="1"/>
  <c r="B56" i="2"/>
  <c r="O70" i="5"/>
  <c r="W45" i="2"/>
  <c r="V70" i="2"/>
  <c r="V69" i="2"/>
  <c r="O93" i="5"/>
  <c r="O90" i="5"/>
  <c r="W24" i="2"/>
  <c r="U181" i="20"/>
  <c r="O92" i="5"/>
  <c r="O91" i="5"/>
  <c r="O94" i="5"/>
  <c r="S34" i="12"/>
  <c r="AA34" i="10"/>
  <c r="N83" i="5"/>
  <c r="O2" i="5"/>
  <c r="O74" i="5" s="1"/>
  <c r="P8" i="5"/>
  <c r="P6" i="5"/>
  <c r="P12" i="5"/>
  <c r="P11" i="5"/>
  <c r="P10" i="5"/>
  <c r="P7" i="5"/>
  <c r="P9" i="5"/>
  <c r="P5" i="5"/>
  <c r="P4" i="5"/>
  <c r="P3" i="5"/>
  <c r="T76" i="2"/>
  <c r="S77" i="2"/>
  <c r="T75" i="2"/>
  <c r="S71" i="2"/>
  <c r="P63" i="1"/>
  <c r="P44" i="5" s="1"/>
  <c r="P76" i="5" s="1"/>
  <c r="P54" i="5"/>
  <c r="P53" i="5"/>
  <c r="P46" i="1"/>
  <c r="P33" i="5" s="1"/>
  <c r="P45" i="1"/>
  <c r="P32" i="5" s="1"/>
  <c r="P51" i="5"/>
  <c r="P43" i="1"/>
  <c r="P30" i="5" s="1"/>
  <c r="P46" i="5"/>
  <c r="P45" i="5"/>
  <c r="P38" i="1"/>
  <c r="P25" i="5" s="1"/>
  <c r="P24" i="5"/>
  <c r="P36" i="1"/>
  <c r="P23" i="5" s="1"/>
  <c r="P75" i="5" s="1"/>
  <c r="P50" i="5"/>
  <c r="P49" i="5"/>
  <c r="P48" i="5"/>
  <c r="P47" i="5"/>
  <c r="P41" i="1"/>
  <c r="P28" i="5" s="1"/>
  <c r="P39" i="1"/>
  <c r="P26" i="5" s="1"/>
  <c r="P42" i="1"/>
  <c r="P29" i="5" s="1"/>
  <c r="P40" i="1"/>
  <c r="P27" i="5" s="1"/>
  <c r="P52" i="5"/>
  <c r="P44" i="1"/>
  <c r="P31" i="5" s="1"/>
  <c r="P80" i="5" l="1"/>
  <c r="P81" i="5"/>
  <c r="P82" i="5"/>
  <c r="P69" i="5"/>
  <c r="B57" i="2"/>
  <c r="O68" i="5"/>
  <c r="O71" i="5" s="1"/>
  <c r="P70" i="5"/>
  <c r="L125" i="12"/>
  <c r="L155" i="12" s="1"/>
  <c r="AA90" i="12"/>
  <c r="X45" i="2"/>
  <c r="W70" i="2"/>
  <c r="W69" i="2"/>
  <c r="P95" i="5"/>
  <c r="P90" i="5"/>
  <c r="X24" i="2"/>
  <c r="P93" i="5"/>
  <c r="P92" i="5"/>
  <c r="P91" i="5"/>
  <c r="P94" i="5"/>
  <c r="R35" i="12"/>
  <c r="AA35" i="12" s="1"/>
  <c r="AC34" i="10"/>
  <c r="AE34" i="10" s="1"/>
  <c r="O83" i="5"/>
  <c r="N77" i="5"/>
  <c r="P2" i="5"/>
  <c r="P74" i="5" s="1"/>
  <c r="Q6" i="5"/>
  <c r="Q12" i="5"/>
  <c r="Q11" i="5"/>
  <c r="Q13" i="5"/>
  <c r="Q10" i="5"/>
  <c r="Q7" i="5"/>
  <c r="Q9" i="5"/>
  <c r="Q4" i="5"/>
  <c r="Q3" i="5"/>
  <c r="Q5" i="5"/>
  <c r="Q8" i="5"/>
  <c r="T77" i="2"/>
  <c r="U76" i="2"/>
  <c r="U75" i="2"/>
  <c r="T71" i="2"/>
  <c r="Q63" i="1"/>
  <c r="Q44" i="5" s="1"/>
  <c r="Q76" i="5" s="1"/>
  <c r="Q55" i="5"/>
  <c r="Q52" i="5"/>
  <c r="Q47" i="1"/>
  <c r="Q34" i="5" s="1"/>
  <c r="Q44" i="1"/>
  <c r="Q31" i="5" s="1"/>
  <c r="Q46" i="5"/>
  <c r="Q45" i="5"/>
  <c r="Q38" i="1"/>
  <c r="Q25" i="5" s="1"/>
  <c r="Q24" i="5"/>
  <c r="Q47" i="5"/>
  <c r="Q39" i="1"/>
  <c r="Q26" i="5" s="1"/>
  <c r="Q36" i="1"/>
  <c r="Q23" i="5" s="1"/>
  <c r="Q75" i="5" s="1"/>
  <c r="Q45" i="1"/>
  <c r="Q32" i="5" s="1"/>
  <c r="Q49" i="5"/>
  <c r="Q50" i="5"/>
  <c r="Q48" i="5"/>
  <c r="Q54" i="5"/>
  <c r="Q42" i="1"/>
  <c r="Q29" i="5" s="1"/>
  <c r="Q41" i="1"/>
  <c r="Q28" i="5" s="1"/>
  <c r="Q40" i="1"/>
  <c r="Q27" i="5" s="1"/>
  <c r="Q51" i="5"/>
  <c r="Q46" i="1"/>
  <c r="Q33" i="5" s="1"/>
  <c r="Q43" i="1"/>
  <c r="Q30" i="5" s="1"/>
  <c r="Q53" i="5"/>
  <c r="Q81" i="5" l="1"/>
  <c r="Q80" i="5"/>
  <c r="Q82" i="5"/>
  <c r="Q70" i="5"/>
  <c r="P77" i="5"/>
  <c r="P68" i="5"/>
  <c r="P71" i="5" s="1"/>
  <c r="Q69" i="5"/>
  <c r="B58" i="2"/>
  <c r="X69" i="2"/>
  <c r="Y45" i="2"/>
  <c r="X70" i="2"/>
  <c r="Q94" i="5"/>
  <c r="Y24" i="2"/>
  <c r="Q95" i="5"/>
  <c r="Q90" i="5"/>
  <c r="Q93" i="5"/>
  <c r="Q92" i="5"/>
  <c r="Q91" i="5"/>
  <c r="S35" i="12"/>
  <c r="AA35" i="10"/>
  <c r="Z34" i="12"/>
  <c r="Z62" i="12"/>
  <c r="P83" i="5"/>
  <c r="O77" i="5"/>
  <c r="Q2" i="5"/>
  <c r="Q74" i="5" s="1"/>
  <c r="R12" i="5"/>
  <c r="R11" i="5"/>
  <c r="R13" i="5"/>
  <c r="R10" i="5"/>
  <c r="R7" i="5"/>
  <c r="R21" i="1"/>
  <c r="R14" i="5" s="1"/>
  <c r="R9" i="5"/>
  <c r="R4" i="5"/>
  <c r="R5" i="5"/>
  <c r="R8" i="5"/>
  <c r="R6" i="5"/>
  <c r="U77" i="2"/>
  <c r="V76" i="2"/>
  <c r="V75" i="2"/>
  <c r="U71" i="2"/>
  <c r="R63" i="1"/>
  <c r="R44" i="5" s="1"/>
  <c r="R76" i="5" s="1"/>
  <c r="R49" i="5"/>
  <c r="R41" i="1"/>
  <c r="R28" i="5" s="1"/>
  <c r="R56" i="5"/>
  <c r="R47" i="5"/>
  <c r="R39" i="1"/>
  <c r="R26" i="5" s="1"/>
  <c r="R36" i="1"/>
  <c r="R23" i="5" s="1"/>
  <c r="R50" i="5"/>
  <c r="R42" i="1"/>
  <c r="R29" i="5" s="1"/>
  <c r="R48" i="5"/>
  <c r="R40" i="1"/>
  <c r="R27" i="5" s="1"/>
  <c r="R54" i="5"/>
  <c r="R51" i="5"/>
  <c r="R48" i="1"/>
  <c r="R35" i="5" s="1"/>
  <c r="R46" i="1"/>
  <c r="R33" i="5" s="1"/>
  <c r="R46" i="5"/>
  <c r="R43" i="1"/>
  <c r="R30" i="5" s="1"/>
  <c r="R52" i="5"/>
  <c r="R38" i="1"/>
  <c r="R25" i="5" s="1"/>
  <c r="R55" i="5"/>
  <c r="R45" i="5"/>
  <c r="R44" i="1"/>
  <c r="R31" i="5" s="1"/>
  <c r="R53" i="5"/>
  <c r="R47" i="1"/>
  <c r="R34" i="5" s="1"/>
  <c r="R24" i="5"/>
  <c r="R45" i="1"/>
  <c r="R32" i="5" s="1"/>
  <c r="R3" i="5"/>
  <c r="R82" i="5" l="1"/>
  <c r="R75" i="5"/>
  <c r="R80" i="5"/>
  <c r="R81" i="5"/>
  <c r="B59" i="2"/>
  <c r="R69" i="5"/>
  <c r="R70" i="5"/>
  <c r="Q68" i="5"/>
  <c r="Q71" i="5" s="1"/>
  <c r="Y69" i="2"/>
  <c r="Z45" i="2"/>
  <c r="Y70" i="2"/>
  <c r="Z24" i="2"/>
  <c r="R90" i="5"/>
  <c r="R94" i="5"/>
  <c r="R91" i="5"/>
  <c r="R96" i="5"/>
  <c r="R92" i="5"/>
  <c r="R93" i="5"/>
  <c r="R95" i="5"/>
  <c r="AC35" i="10"/>
  <c r="R36" i="12"/>
  <c r="AA36" i="12" s="1"/>
  <c r="Q83" i="5"/>
  <c r="R2" i="5"/>
  <c r="R74" i="5" s="1"/>
  <c r="S13" i="5"/>
  <c r="S10" i="5"/>
  <c r="S7" i="5"/>
  <c r="S21" i="1"/>
  <c r="S14" i="5" s="1"/>
  <c r="S9" i="5"/>
  <c r="S11" i="5"/>
  <c r="S4" i="5"/>
  <c r="S3" i="5"/>
  <c r="S12" i="5"/>
  <c r="S5" i="5"/>
  <c r="S22" i="1"/>
  <c r="S15" i="5" s="1"/>
  <c r="S8" i="5"/>
  <c r="S6" i="5"/>
  <c r="V77" i="2"/>
  <c r="W76" i="2"/>
  <c r="W75" i="2"/>
  <c r="V71" i="2"/>
  <c r="S55" i="5"/>
  <c r="S56" i="5"/>
  <c r="S51" i="5"/>
  <c r="S48" i="1"/>
  <c r="S35" i="5" s="1"/>
  <c r="S43" i="1"/>
  <c r="S30" i="5" s="1"/>
  <c r="S57" i="5"/>
  <c r="S50" i="5"/>
  <c r="S49" i="1"/>
  <c r="S36" i="5" s="1"/>
  <c r="S42" i="1"/>
  <c r="S29" i="5" s="1"/>
  <c r="S48" i="5"/>
  <c r="S82" i="5" s="1"/>
  <c r="S40" i="1"/>
  <c r="S27" i="5" s="1"/>
  <c r="S54" i="5"/>
  <c r="S49" i="5"/>
  <c r="S36" i="1"/>
  <c r="S23" i="5" s="1"/>
  <c r="S47" i="5"/>
  <c r="S46" i="1"/>
  <c r="S33" i="5" s="1"/>
  <c r="S41" i="1"/>
  <c r="S28" i="5" s="1"/>
  <c r="S46" i="5"/>
  <c r="S39" i="1"/>
  <c r="S26" i="5" s="1"/>
  <c r="S52" i="5"/>
  <c r="S38" i="1"/>
  <c r="S25" i="5" s="1"/>
  <c r="S45" i="5"/>
  <c r="S44" i="1"/>
  <c r="S31" i="5" s="1"/>
  <c r="S24" i="5"/>
  <c r="S53" i="5"/>
  <c r="S47" i="1"/>
  <c r="S34" i="5" s="1"/>
  <c r="S45" i="1"/>
  <c r="S32" i="5" s="1"/>
  <c r="S63" i="1"/>
  <c r="S44" i="5" s="1"/>
  <c r="S81" i="5" l="1"/>
  <c r="S80" i="5"/>
  <c r="S75" i="5"/>
  <c r="S76" i="5"/>
  <c r="R68" i="5"/>
  <c r="R71" i="5" s="1"/>
  <c r="S69" i="5"/>
  <c r="S70" i="5"/>
  <c r="B60" i="2"/>
  <c r="X45" i="5"/>
  <c r="X76" i="5" s="1"/>
  <c r="Z70" i="2"/>
  <c r="Z76" i="2"/>
  <c r="Z69" i="2"/>
  <c r="S93" i="5"/>
  <c r="X24" i="5"/>
  <c r="X75" i="5" s="1"/>
  <c r="Z75" i="2"/>
  <c r="S92" i="5"/>
  <c r="S90" i="5"/>
  <c r="S96" i="5"/>
  <c r="S94" i="5"/>
  <c r="S95" i="5"/>
  <c r="S91" i="5"/>
  <c r="R83" i="5"/>
  <c r="Q77" i="5"/>
  <c r="S2" i="5"/>
  <c r="S74" i="5" s="1"/>
  <c r="T23" i="1"/>
  <c r="T16" i="5" s="1"/>
  <c r="T7" i="5"/>
  <c r="T10" i="5"/>
  <c r="T21" i="1"/>
  <c r="T14" i="5" s="1"/>
  <c r="T9" i="5"/>
  <c r="T4" i="5"/>
  <c r="T3" i="5"/>
  <c r="T5" i="5"/>
  <c r="T22" i="1"/>
  <c r="T15" i="5" s="1"/>
  <c r="T8" i="5"/>
  <c r="T6" i="5"/>
  <c r="T13" i="5"/>
  <c r="T12" i="5"/>
  <c r="T11" i="5"/>
  <c r="W77" i="2"/>
  <c r="X76" i="2"/>
  <c r="X75" i="2"/>
  <c r="W71" i="2"/>
  <c r="T63" i="1"/>
  <c r="T44" i="5" s="1"/>
  <c r="T58" i="5"/>
  <c r="T46" i="5"/>
  <c r="T45" i="5"/>
  <c r="T38" i="1"/>
  <c r="T25" i="5" s="1"/>
  <c r="T24" i="5"/>
  <c r="T48" i="5"/>
  <c r="T40" i="1"/>
  <c r="T27" i="5" s="1"/>
  <c r="T54" i="5"/>
  <c r="T53" i="5"/>
  <c r="T46" i="1"/>
  <c r="T33" i="5" s="1"/>
  <c r="T45" i="1"/>
  <c r="T32" i="5" s="1"/>
  <c r="T57" i="5"/>
  <c r="T50" i="5"/>
  <c r="T47" i="5"/>
  <c r="T41" i="1"/>
  <c r="T28" i="5" s="1"/>
  <c r="T48" i="1"/>
  <c r="T35" i="5" s="1"/>
  <c r="T42" i="1"/>
  <c r="T29" i="5" s="1"/>
  <c r="T51" i="5"/>
  <c r="T39" i="1"/>
  <c r="T26" i="5" s="1"/>
  <c r="T56" i="5"/>
  <c r="T52" i="5"/>
  <c r="T43" i="1"/>
  <c r="T30" i="5" s="1"/>
  <c r="T50" i="1"/>
  <c r="T37" i="5" s="1"/>
  <c r="T44" i="1"/>
  <c r="T31" i="5" s="1"/>
  <c r="T55" i="5"/>
  <c r="T47" i="1"/>
  <c r="T34" i="5" s="1"/>
  <c r="T49" i="1"/>
  <c r="T36" i="5" s="1"/>
  <c r="T49" i="5"/>
  <c r="T36" i="1"/>
  <c r="T23" i="5" s="1"/>
  <c r="T75" i="5" s="1"/>
  <c r="T76" i="5" l="1"/>
  <c r="T82" i="5"/>
  <c r="T81" i="5"/>
  <c r="T80" i="5"/>
  <c r="B61" i="2"/>
  <c r="T69" i="5"/>
  <c r="S68" i="5"/>
  <c r="S71" i="5" s="1"/>
  <c r="X77" i="5"/>
  <c r="X69" i="5"/>
  <c r="X70" i="5"/>
  <c r="T70" i="5"/>
  <c r="Z77" i="2"/>
  <c r="T93" i="5"/>
  <c r="Z71" i="2"/>
  <c r="X90" i="5"/>
  <c r="T92" i="5"/>
  <c r="T90" i="5"/>
  <c r="T94" i="5"/>
  <c r="T97" i="5"/>
  <c r="T91" i="5"/>
  <c r="T95" i="5"/>
  <c r="T96" i="5"/>
  <c r="Z63" i="12"/>
  <c r="Z35" i="12"/>
  <c r="S83" i="5"/>
  <c r="R77" i="5"/>
  <c r="T2" i="5"/>
  <c r="T74" i="5" s="1"/>
  <c r="U21" i="1"/>
  <c r="U14" i="5" s="1"/>
  <c r="U9" i="5"/>
  <c r="U4" i="5"/>
  <c r="U3" i="5"/>
  <c r="U5" i="5"/>
  <c r="U22" i="1"/>
  <c r="U15" i="5" s="1"/>
  <c r="U8" i="5"/>
  <c r="U24" i="1"/>
  <c r="U17" i="5" s="1"/>
  <c r="U6" i="5"/>
  <c r="U12" i="5"/>
  <c r="U11" i="5"/>
  <c r="U13" i="5"/>
  <c r="U10" i="5"/>
  <c r="U23" i="1"/>
  <c r="U16" i="5" s="1"/>
  <c r="U7" i="5"/>
  <c r="X77" i="2"/>
  <c r="Y76" i="2"/>
  <c r="X71" i="2"/>
  <c r="Y75" i="2"/>
  <c r="U56" i="5"/>
  <c r="U47" i="5"/>
  <c r="U39" i="1"/>
  <c r="U26" i="5" s="1"/>
  <c r="U36" i="1"/>
  <c r="U23" i="5" s="1"/>
  <c r="U57" i="5"/>
  <c r="U54" i="5"/>
  <c r="U53" i="5"/>
  <c r="U46" i="1"/>
  <c r="U33" i="5" s="1"/>
  <c r="U45" i="1"/>
  <c r="U32" i="5" s="1"/>
  <c r="U55" i="5"/>
  <c r="U52" i="5"/>
  <c r="U47" i="1"/>
  <c r="U34" i="5" s="1"/>
  <c r="U44" i="1"/>
  <c r="U31" i="5" s="1"/>
  <c r="U51" i="5"/>
  <c r="U48" i="1"/>
  <c r="U35" i="5" s="1"/>
  <c r="U42" i="1"/>
  <c r="U29" i="5" s="1"/>
  <c r="U40" i="1"/>
  <c r="U27" i="5" s="1"/>
  <c r="U46" i="5"/>
  <c r="U51" i="1"/>
  <c r="U38" i="5" s="1"/>
  <c r="U43" i="1"/>
  <c r="U30" i="5" s="1"/>
  <c r="U59" i="5"/>
  <c r="U50" i="1"/>
  <c r="U37" i="5" s="1"/>
  <c r="U38" i="1"/>
  <c r="U25" i="5" s="1"/>
  <c r="U45" i="5"/>
  <c r="U24" i="5"/>
  <c r="U48" i="5"/>
  <c r="U49" i="1"/>
  <c r="U36" i="5" s="1"/>
  <c r="U50" i="5"/>
  <c r="U58" i="5"/>
  <c r="U49" i="5"/>
  <c r="U41" i="1"/>
  <c r="U28" i="5" s="1"/>
  <c r="U63" i="1"/>
  <c r="U44" i="5" s="1"/>
  <c r="U76" i="5" s="1"/>
  <c r="U75" i="5" l="1"/>
  <c r="U81" i="5"/>
  <c r="U82" i="5"/>
  <c r="U80" i="5"/>
  <c r="T77" i="5"/>
  <c r="T68" i="5"/>
  <c r="T71" i="5" s="1"/>
  <c r="U69" i="5"/>
  <c r="X71" i="5"/>
  <c r="U70" i="5"/>
  <c r="B62" i="2"/>
  <c r="U90" i="5"/>
  <c r="U91" i="5"/>
  <c r="U95" i="5"/>
  <c r="U97" i="5"/>
  <c r="U92" i="5"/>
  <c r="U96" i="5"/>
  <c r="U93" i="5"/>
  <c r="U94" i="5"/>
  <c r="T83" i="5"/>
  <c r="S77" i="5"/>
  <c r="U2" i="5"/>
  <c r="U74" i="5" s="1"/>
  <c r="V4" i="5"/>
  <c r="V3" i="5"/>
  <c r="V25" i="1"/>
  <c r="V18" i="5" s="1"/>
  <c r="V5" i="5"/>
  <c r="V22" i="1"/>
  <c r="V15" i="5" s="1"/>
  <c r="V8" i="5"/>
  <c r="V24" i="1"/>
  <c r="V17" i="5" s="1"/>
  <c r="V6" i="5"/>
  <c r="V12" i="5"/>
  <c r="V11" i="5"/>
  <c r="V21" i="1"/>
  <c r="V14" i="5" s="1"/>
  <c r="V13" i="5"/>
  <c r="V10" i="5"/>
  <c r="V23" i="1"/>
  <c r="V16" i="5" s="1"/>
  <c r="V7" i="5"/>
  <c r="V9" i="5"/>
  <c r="Y77" i="2"/>
  <c r="Y71" i="2"/>
  <c r="V57" i="5"/>
  <c r="V50" i="5"/>
  <c r="V49" i="1"/>
  <c r="V36" i="5" s="1"/>
  <c r="V42" i="1"/>
  <c r="V29" i="5" s="1"/>
  <c r="V55" i="5"/>
  <c r="V52" i="5"/>
  <c r="V47" i="1"/>
  <c r="V34" i="5" s="1"/>
  <c r="V44" i="1"/>
  <c r="V31" i="5" s="1"/>
  <c r="V58" i="5"/>
  <c r="V49" i="5"/>
  <c r="V50" i="1"/>
  <c r="V37" i="5" s="1"/>
  <c r="V41" i="1"/>
  <c r="V28" i="5" s="1"/>
  <c r="V46" i="5"/>
  <c r="V51" i="1"/>
  <c r="V38" i="5" s="1"/>
  <c r="V46" i="1"/>
  <c r="V33" i="5" s="1"/>
  <c r="V43" i="1"/>
  <c r="V30" i="5" s="1"/>
  <c r="V39" i="1"/>
  <c r="V26" i="5" s="1"/>
  <c r="V59" i="5"/>
  <c r="V38" i="1"/>
  <c r="V25" i="5" s="1"/>
  <c r="V56" i="5"/>
  <c r="V45" i="5"/>
  <c r="V24" i="5"/>
  <c r="V53" i="5"/>
  <c r="V45" i="1"/>
  <c r="V32" i="5" s="1"/>
  <c r="V51" i="5"/>
  <c r="V40" i="1"/>
  <c r="V27" i="5" s="1"/>
  <c r="V54" i="5"/>
  <c r="V47" i="5"/>
  <c r="V48" i="1"/>
  <c r="V35" i="5" s="1"/>
  <c r="V48" i="5"/>
  <c r="V36" i="1"/>
  <c r="V23" i="5" s="1"/>
  <c r="V75" i="5" s="1"/>
  <c r="V60" i="5"/>
  <c r="V52" i="1"/>
  <c r="V39" i="5" s="1"/>
  <c r="W63" i="1"/>
  <c r="W44" i="5" s="1"/>
  <c r="V63" i="1"/>
  <c r="V44" i="5" s="1"/>
  <c r="V76" i="5" s="1"/>
  <c r="V82" i="5" l="1"/>
  <c r="V81" i="5"/>
  <c r="V80" i="5"/>
  <c r="B63" i="2"/>
  <c r="V69" i="5"/>
  <c r="V70" i="5"/>
  <c r="U77" i="5"/>
  <c r="U68" i="5"/>
  <c r="U71" i="5" s="1"/>
  <c r="V96" i="5"/>
  <c r="V90" i="5"/>
  <c r="V98" i="5"/>
  <c r="V91" i="5"/>
  <c r="V97" i="5"/>
  <c r="V92" i="5"/>
  <c r="V95" i="5"/>
  <c r="V93" i="5"/>
  <c r="V94" i="5"/>
  <c r="U83" i="5"/>
  <c r="V2" i="5"/>
  <c r="V74" i="5" s="1"/>
  <c r="W26" i="1"/>
  <c r="W19" i="5" s="1"/>
  <c r="W25" i="1"/>
  <c r="W18" i="5" s="1"/>
  <c r="W5" i="5"/>
  <c r="W22" i="1"/>
  <c r="W15" i="5" s="1"/>
  <c r="W8" i="5"/>
  <c r="W24" i="1"/>
  <c r="W17" i="5" s="1"/>
  <c r="W6" i="5"/>
  <c r="W12" i="5"/>
  <c r="W11" i="5"/>
  <c r="W4" i="5"/>
  <c r="W13" i="5"/>
  <c r="W10" i="5"/>
  <c r="W23" i="1"/>
  <c r="W16" i="5" s="1"/>
  <c r="W7" i="5"/>
  <c r="W21" i="1"/>
  <c r="W14" i="5" s="1"/>
  <c r="W9" i="5"/>
  <c r="W3" i="5"/>
  <c r="W48" i="5"/>
  <c r="W51" i="1"/>
  <c r="W38" i="5" s="1"/>
  <c r="W40" i="1"/>
  <c r="W27" i="5" s="1"/>
  <c r="W58" i="5"/>
  <c r="W49" i="5"/>
  <c r="W50" i="1"/>
  <c r="W37" i="5" s="1"/>
  <c r="W41" i="1"/>
  <c r="W28" i="5" s="1"/>
  <c r="W56" i="5"/>
  <c r="W51" i="5"/>
  <c r="W48" i="1"/>
  <c r="W35" i="5" s="1"/>
  <c r="W43" i="1"/>
  <c r="W30" i="5" s="1"/>
  <c r="W38" i="1"/>
  <c r="W25" i="5" s="1"/>
  <c r="W52" i="5"/>
  <c r="W45" i="5"/>
  <c r="W76" i="5" s="1"/>
  <c r="W44" i="1"/>
  <c r="W31" i="5" s="1"/>
  <c r="W24" i="5"/>
  <c r="W55" i="5"/>
  <c r="W53" i="5"/>
  <c r="W47" i="1"/>
  <c r="W34" i="5" s="1"/>
  <c r="W49" i="1"/>
  <c r="W36" i="5" s="1"/>
  <c r="W45" i="1"/>
  <c r="W32" i="5" s="1"/>
  <c r="W61" i="5"/>
  <c r="W57" i="5"/>
  <c r="W46" i="5"/>
  <c r="W46" i="1"/>
  <c r="W33" i="5" s="1"/>
  <c r="W53" i="1"/>
  <c r="W40" i="5" s="1"/>
  <c r="W36" i="1"/>
  <c r="W23" i="5" s="1"/>
  <c r="W75" i="5" s="1"/>
  <c r="W60" i="5"/>
  <c r="W42" i="1"/>
  <c r="W29" i="5" s="1"/>
  <c r="W39" i="1"/>
  <c r="W26" i="5" s="1"/>
  <c r="W54" i="5"/>
  <c r="W50" i="5"/>
  <c r="W47" i="5"/>
  <c r="W52" i="1"/>
  <c r="W39" i="5" s="1"/>
  <c r="W59" i="5"/>
  <c r="W82" i="5" l="1"/>
  <c r="Y6" i="10" s="1" a="1"/>
  <c r="W80" i="5"/>
  <c r="W6" i="10" s="1" a="1"/>
  <c r="W81" i="5"/>
  <c r="X6" i="10" s="1" a="1"/>
  <c r="W69" i="5"/>
  <c r="V77" i="5"/>
  <c r="V68" i="5"/>
  <c r="V71" i="5" s="1"/>
  <c r="B64" i="2"/>
  <c r="X83" i="2"/>
  <c r="V90" i="2"/>
  <c r="V83" i="2"/>
  <c r="X90" i="2"/>
  <c r="Z83" i="2"/>
  <c r="Z90" i="2"/>
  <c r="T83" i="2"/>
  <c r="W70" i="5"/>
  <c r="W90" i="5"/>
  <c r="W94" i="5"/>
  <c r="W91" i="5"/>
  <c r="W98" i="5"/>
  <c r="W95" i="5"/>
  <c r="W96" i="5"/>
  <c r="W92" i="5"/>
  <c r="W97" i="5"/>
  <c r="W93" i="5"/>
  <c r="Z64" i="12"/>
  <c r="Z36" i="12"/>
  <c r="V83" i="5"/>
  <c r="W2" i="5"/>
  <c r="W74" i="5" s="1"/>
  <c r="G101" i="5" l="1" a="1"/>
  <c r="W6" i="10"/>
  <c r="W60" i="10" s="1"/>
  <c r="I126" i="12"/>
  <c r="I127" i="12"/>
  <c r="I157" i="12" s="1"/>
  <c r="I135" i="12"/>
  <c r="I143" i="12"/>
  <c r="W90" i="10"/>
  <c r="W98" i="10"/>
  <c r="W106" i="10"/>
  <c r="W61" i="10"/>
  <c r="W69" i="10"/>
  <c r="W77" i="10"/>
  <c r="W40" i="10"/>
  <c r="W48" i="10"/>
  <c r="W62" i="10"/>
  <c r="W70" i="10"/>
  <c r="W78" i="10"/>
  <c r="W41" i="10"/>
  <c r="W49" i="10"/>
  <c r="W64" i="10"/>
  <c r="W43" i="10"/>
  <c r="W97" i="10"/>
  <c r="W68" i="10"/>
  <c r="I128" i="12"/>
  <c r="I136" i="12"/>
  <c r="I144" i="12"/>
  <c r="W91" i="10"/>
  <c r="W99" i="10"/>
  <c r="W107" i="10"/>
  <c r="I129" i="12"/>
  <c r="I137" i="12"/>
  <c r="I145" i="12"/>
  <c r="W92" i="10"/>
  <c r="W100" i="10"/>
  <c r="W108" i="10"/>
  <c r="W63" i="10"/>
  <c r="W71" i="10"/>
  <c r="W79" i="10"/>
  <c r="W34" i="10"/>
  <c r="W42" i="10"/>
  <c r="W50" i="10"/>
  <c r="I130" i="12"/>
  <c r="I138" i="12"/>
  <c r="W93" i="10"/>
  <c r="W101" i="10"/>
  <c r="W72" i="10"/>
  <c r="W80" i="10"/>
  <c r="W35" i="10"/>
  <c r="W51" i="10"/>
  <c r="W105" i="10"/>
  <c r="W76" i="10"/>
  <c r="I131" i="12"/>
  <c r="I139" i="12"/>
  <c r="W94" i="10"/>
  <c r="W102" i="10"/>
  <c r="W65" i="10"/>
  <c r="W73" i="10"/>
  <c r="W81" i="10"/>
  <c r="W36" i="10"/>
  <c r="W44" i="10"/>
  <c r="W52" i="10"/>
  <c r="I141" i="12"/>
  <c r="W96" i="10"/>
  <c r="W104" i="10"/>
  <c r="W67" i="10"/>
  <c r="W38" i="10"/>
  <c r="W46" i="10"/>
  <c r="W54" i="10"/>
  <c r="I134" i="12"/>
  <c r="W89" i="10"/>
  <c r="W47" i="10"/>
  <c r="I132" i="12"/>
  <c r="I140" i="12"/>
  <c r="W95" i="10"/>
  <c r="W103" i="10"/>
  <c r="W66" i="10"/>
  <c r="W74" i="10"/>
  <c r="W37" i="10"/>
  <c r="W45" i="10"/>
  <c r="W53" i="10"/>
  <c r="I133" i="12"/>
  <c r="W88" i="10"/>
  <c r="W75" i="10"/>
  <c r="I142" i="12"/>
  <c r="W39" i="10"/>
  <c r="Z7" i="10"/>
  <c r="AD7" i="10" s="1"/>
  <c r="Z9" i="10"/>
  <c r="Z23" i="10"/>
  <c r="Z14" i="10"/>
  <c r="Z21" i="10"/>
  <c r="Z13" i="10"/>
  <c r="Z25" i="10"/>
  <c r="Z20" i="10"/>
  <c r="Z12" i="10"/>
  <c r="Z22" i="10"/>
  <c r="Z8" i="10"/>
  <c r="Z16" i="10"/>
  <c r="Z18" i="10"/>
  <c r="Z19" i="10"/>
  <c r="Z10" i="10"/>
  <c r="Z17" i="10"/>
  <c r="Z24" i="10"/>
  <c r="Z11" i="10"/>
  <c r="Z15" i="10"/>
  <c r="X6" i="10"/>
  <c r="X33" i="10" s="1"/>
  <c r="X88" i="10"/>
  <c r="X96" i="10"/>
  <c r="X104" i="10"/>
  <c r="X67" i="10"/>
  <c r="X75" i="10"/>
  <c r="X38" i="10"/>
  <c r="X46" i="10"/>
  <c r="X54" i="10"/>
  <c r="X68" i="10"/>
  <c r="X76" i="10"/>
  <c r="X39" i="10"/>
  <c r="X47" i="10"/>
  <c r="X49" i="10"/>
  <c r="X95" i="10"/>
  <c r="X53" i="10"/>
  <c r="X89" i="10"/>
  <c r="X97" i="10"/>
  <c r="X105" i="10"/>
  <c r="X90" i="10"/>
  <c r="X98" i="10"/>
  <c r="X106" i="10"/>
  <c r="X61" i="10"/>
  <c r="X69" i="10"/>
  <c r="X77" i="10"/>
  <c r="X40" i="10"/>
  <c r="X48" i="10"/>
  <c r="X91" i="10"/>
  <c r="X99" i="10"/>
  <c r="X107" i="10"/>
  <c r="X62" i="10"/>
  <c r="X70" i="10"/>
  <c r="X78" i="10"/>
  <c r="X41" i="10"/>
  <c r="X66" i="10"/>
  <c r="X45" i="10"/>
  <c r="X92" i="10"/>
  <c r="X100" i="10"/>
  <c r="X108" i="10"/>
  <c r="X63" i="10"/>
  <c r="X71" i="10"/>
  <c r="X79" i="10"/>
  <c r="X34" i="10"/>
  <c r="X42" i="10"/>
  <c r="X50" i="10"/>
  <c r="X94" i="10"/>
  <c r="X102" i="10"/>
  <c r="X65" i="10"/>
  <c r="X81" i="10"/>
  <c r="X36" i="10"/>
  <c r="X52" i="10"/>
  <c r="X74" i="10"/>
  <c r="X37" i="10"/>
  <c r="X93" i="10"/>
  <c r="X101" i="10"/>
  <c r="X64" i="10"/>
  <c r="X72" i="10"/>
  <c r="X80" i="10"/>
  <c r="X35" i="10"/>
  <c r="X43" i="10"/>
  <c r="X51" i="10"/>
  <c r="X73" i="10"/>
  <c r="X44" i="10"/>
  <c r="X103" i="10"/>
  <c r="Y6" i="10"/>
  <c r="Y60" i="10" s="1"/>
  <c r="Y93" i="10"/>
  <c r="Y101" i="10"/>
  <c r="Y64" i="10"/>
  <c r="Y72" i="10"/>
  <c r="Y80" i="10"/>
  <c r="Y36" i="10"/>
  <c r="Y44" i="10"/>
  <c r="Y52" i="10"/>
  <c r="Y37" i="10"/>
  <c r="Y45" i="10"/>
  <c r="Y53" i="10"/>
  <c r="Y39" i="10"/>
  <c r="Y79" i="10"/>
  <c r="Y51" i="10"/>
  <c r="Y108" i="10"/>
  <c r="Y94" i="10"/>
  <c r="Y102" i="10"/>
  <c r="Y65" i="10"/>
  <c r="Y73" i="10"/>
  <c r="Y95" i="10"/>
  <c r="Y103" i="10"/>
  <c r="Y66" i="10"/>
  <c r="Y74" i="10"/>
  <c r="Y38" i="10"/>
  <c r="Y46" i="10"/>
  <c r="Y54" i="10"/>
  <c r="Y88" i="10"/>
  <c r="Y96" i="10"/>
  <c r="Y104" i="10"/>
  <c r="Y81" i="10"/>
  <c r="Y67" i="10"/>
  <c r="Y75" i="10"/>
  <c r="Y47" i="10"/>
  <c r="Y89" i="10"/>
  <c r="Y97" i="10"/>
  <c r="Y105" i="10"/>
  <c r="Y68" i="10"/>
  <c r="Y76" i="10"/>
  <c r="Y40" i="10"/>
  <c r="Y48" i="10"/>
  <c r="Y91" i="10"/>
  <c r="Y99" i="10"/>
  <c r="Y107" i="10"/>
  <c r="Y62" i="10"/>
  <c r="Y78" i="10"/>
  <c r="Y34" i="10"/>
  <c r="Y50" i="10"/>
  <c r="Y100" i="10"/>
  <c r="Y63" i="10"/>
  <c r="Y35" i="10"/>
  <c r="Y90" i="10"/>
  <c r="Y98" i="10"/>
  <c r="Y106" i="10"/>
  <c r="Y61" i="10"/>
  <c r="Y69" i="10"/>
  <c r="Y77" i="10"/>
  <c r="Y41" i="10"/>
  <c r="Y49" i="10"/>
  <c r="Y70" i="10"/>
  <c r="Y42" i="10"/>
  <c r="Y92" i="10"/>
  <c r="Y71" i="10"/>
  <c r="Y43" i="10"/>
  <c r="W33" i="10"/>
  <c r="J91" i="2"/>
  <c r="L95" i="2"/>
  <c r="H90" i="2"/>
  <c r="I90" i="2"/>
  <c r="J97" i="2"/>
  <c r="H93" i="2"/>
  <c r="U96" i="2"/>
  <c r="P95" i="2"/>
  <c r="H91" i="2"/>
  <c r="K93" i="2"/>
  <c r="J90" i="2"/>
  <c r="U98" i="2"/>
  <c r="K90" i="2"/>
  <c r="N98" i="2"/>
  <c r="P99" i="2"/>
  <c r="V98" i="2"/>
  <c r="E83" i="2"/>
  <c r="K83" i="2"/>
  <c r="H96" i="2"/>
  <c r="F83" i="2"/>
  <c r="Y96" i="2"/>
  <c r="C76" i="2"/>
  <c r="S98" i="2"/>
  <c r="D77" i="2"/>
  <c r="V97" i="2"/>
  <c r="O98" i="2"/>
  <c r="T91" i="2"/>
  <c r="L93" i="2"/>
  <c r="J83" i="2"/>
  <c r="H83" i="2"/>
  <c r="I94" i="2"/>
  <c r="Z92" i="2"/>
  <c r="G83" i="2"/>
  <c r="X97" i="2"/>
  <c r="L94" i="2"/>
  <c r="U97" i="2"/>
  <c r="I83" i="2"/>
  <c r="J93" i="2"/>
  <c r="S96" i="2"/>
  <c r="O91" i="2"/>
  <c r="Q91" i="2"/>
  <c r="H94" i="2"/>
  <c r="Z95" i="2"/>
  <c r="J96" i="2"/>
  <c r="R92" i="2"/>
  <c r="Y97" i="2"/>
  <c r="P96" i="2"/>
  <c r="S95" i="2"/>
  <c r="D83" i="2"/>
  <c r="U95" i="2"/>
  <c r="L91" i="2"/>
  <c r="W97" i="2"/>
  <c r="L90" i="2"/>
  <c r="M99" i="2"/>
  <c r="W96" i="2"/>
  <c r="M93" i="2"/>
  <c r="T92" i="2"/>
  <c r="Z94" i="2"/>
  <c r="X92" i="2"/>
  <c r="N91" i="2"/>
  <c r="T96" i="2"/>
  <c r="K99" i="2"/>
  <c r="X91" i="2"/>
  <c r="M83" i="2"/>
  <c r="L83" i="2"/>
  <c r="U94" i="2"/>
  <c r="S92" i="2"/>
  <c r="M95" i="2"/>
  <c r="Z97" i="2"/>
  <c r="X95" i="2"/>
  <c r="Q99" i="2"/>
  <c r="X99" i="2"/>
  <c r="S97" i="2"/>
  <c r="X98" i="2"/>
  <c r="Y98" i="2"/>
  <c r="V91" i="2"/>
  <c r="J98" i="2"/>
  <c r="Y92" i="2"/>
  <c r="J99" i="2"/>
  <c r="K96" i="2"/>
  <c r="P92" i="2"/>
  <c r="U99" i="2"/>
  <c r="H98" i="2"/>
  <c r="Q94" i="2"/>
  <c r="I97" i="2"/>
  <c r="N92" i="2"/>
  <c r="R96" i="2"/>
  <c r="W93" i="2"/>
  <c r="V94" i="2"/>
  <c r="S91" i="2"/>
  <c r="M97" i="2"/>
  <c r="I99" i="2"/>
  <c r="S99" i="2"/>
  <c r="O94" i="2"/>
  <c r="Q96" i="2"/>
  <c r="W98" i="2"/>
  <c r="K95" i="2"/>
  <c r="M98" i="2"/>
  <c r="O97" i="2"/>
  <c r="X94" i="2"/>
  <c r="N93" i="2"/>
  <c r="Y99" i="2"/>
  <c r="L99" i="2"/>
  <c r="T99" i="2"/>
  <c r="Z99" i="2"/>
  <c r="N96" i="2"/>
  <c r="Y95" i="2"/>
  <c r="S94" i="2"/>
  <c r="P91" i="2"/>
  <c r="I93" i="2"/>
  <c r="L97" i="2"/>
  <c r="T95" i="2"/>
  <c r="N97" i="2"/>
  <c r="O92" i="2"/>
  <c r="W91" i="2"/>
  <c r="J92" i="2"/>
  <c r="M90" i="2"/>
  <c r="K92" i="2"/>
  <c r="O99" i="2"/>
  <c r="V96" i="2"/>
  <c r="Q92" i="2"/>
  <c r="J95" i="2"/>
  <c r="R94" i="2"/>
  <c r="P93" i="2"/>
  <c r="W99" i="2"/>
  <c r="V99" i="2"/>
  <c r="K94" i="2"/>
  <c r="L92" i="2"/>
  <c r="O93" i="2"/>
  <c r="R99" i="2"/>
  <c r="H97" i="2"/>
  <c r="Z98" i="2"/>
  <c r="H95" i="2"/>
  <c r="Q93" i="2"/>
  <c r="Q97" i="2"/>
  <c r="R91" i="2"/>
  <c r="M92" i="2"/>
  <c r="Y93" i="2"/>
  <c r="U91" i="2"/>
  <c r="Q95" i="2"/>
  <c r="I95" i="2"/>
  <c r="Z96" i="2"/>
  <c r="W94" i="2"/>
  <c r="P97" i="2"/>
  <c r="J94" i="2"/>
  <c r="I98" i="2"/>
  <c r="X93" i="2"/>
  <c r="X96" i="2"/>
  <c r="N94" i="2"/>
  <c r="R97" i="2"/>
  <c r="R93" i="2"/>
  <c r="O95" i="2"/>
  <c r="Y94" i="2"/>
  <c r="W95" i="2"/>
  <c r="U92" i="2"/>
  <c r="M91" i="2"/>
  <c r="V92" i="2"/>
  <c r="W92" i="2"/>
  <c r="Z93" i="2"/>
  <c r="P94" i="2"/>
  <c r="N95" i="2"/>
  <c r="H99" i="2"/>
  <c r="K91" i="2"/>
  <c r="V93" i="2"/>
  <c r="R98" i="2"/>
  <c r="U93" i="2"/>
  <c r="I92" i="2"/>
  <c r="N99" i="2"/>
  <c r="O96" i="2"/>
  <c r="I96" i="2"/>
  <c r="T98" i="2"/>
  <c r="R95" i="2"/>
  <c r="M96" i="2"/>
  <c r="L98" i="2"/>
  <c r="Y91" i="2"/>
  <c r="L96" i="2"/>
  <c r="T97" i="2"/>
  <c r="M94" i="2"/>
  <c r="S93" i="2"/>
  <c r="K98" i="2"/>
  <c r="H92" i="2"/>
  <c r="T94" i="2"/>
  <c r="P98" i="2"/>
  <c r="Q98" i="2"/>
  <c r="K97" i="2"/>
  <c r="I91" i="2"/>
  <c r="T93" i="2"/>
  <c r="Z91" i="2"/>
  <c r="V95" i="2"/>
  <c r="N90" i="2"/>
  <c r="N83" i="2"/>
  <c r="O90" i="2"/>
  <c r="O83" i="2"/>
  <c r="P83" i="2"/>
  <c r="P90" i="2"/>
  <c r="Q83" i="2"/>
  <c r="Q90" i="2"/>
  <c r="R90" i="2"/>
  <c r="R83" i="2"/>
  <c r="Y83" i="2"/>
  <c r="T90" i="2"/>
  <c r="W90" i="2"/>
  <c r="U90" i="2"/>
  <c r="Y90" i="2"/>
  <c r="W83" i="2"/>
  <c r="S90" i="2"/>
  <c r="U83" i="2"/>
  <c r="S83" i="2"/>
  <c r="AE142" i="7"/>
  <c r="AC142" i="7"/>
  <c r="W77" i="5"/>
  <c r="W68" i="5"/>
  <c r="W71" i="5" s="1"/>
  <c r="AA142" i="7"/>
  <c r="W83" i="5"/>
  <c r="G101" i="5" l="1"/>
  <c r="E13" i="12"/>
  <c r="E21" i="12"/>
  <c r="E23" i="12"/>
  <c r="E11" i="12"/>
  <c r="E14" i="12"/>
  <c r="E22" i="12"/>
  <c r="E25" i="12"/>
  <c r="E15" i="12"/>
  <c r="E26" i="12"/>
  <c r="E16" i="12"/>
  <c r="E24" i="12"/>
  <c r="E17" i="12"/>
  <c r="E18" i="12"/>
  <c r="E19" i="12"/>
  <c r="E12" i="12"/>
  <c r="E20" i="12"/>
  <c r="W87" i="10"/>
  <c r="X87" i="10"/>
  <c r="Z6" i="10"/>
  <c r="AD6" i="10" s="1"/>
  <c r="M125" i="12" s="1"/>
  <c r="Y33" i="10"/>
  <c r="Y87" i="10"/>
  <c r="X60" i="10"/>
  <c r="Z60" i="10" s="1"/>
  <c r="AD60" i="10" s="1"/>
  <c r="AE60" i="10" s="1"/>
  <c r="M126" i="12"/>
  <c r="G203" i="7"/>
  <c r="I156" i="12"/>
  <c r="K126" i="12"/>
  <c r="K156" i="12" s="1"/>
  <c r="Z88" i="10"/>
  <c r="AD88" i="10" s="1"/>
  <c r="Z61" i="10"/>
  <c r="AD61" i="10" s="1"/>
  <c r="I125" i="12"/>
  <c r="I155" i="12" s="1"/>
  <c r="Z142" i="7"/>
  <c r="U142" i="7"/>
  <c r="Y150" i="7"/>
  <c r="W146" i="7"/>
  <c r="AD147" i="7"/>
  <c r="T149" i="7"/>
  <c r="R149" i="7"/>
  <c r="AD150" i="7"/>
  <c r="AE147" i="7"/>
  <c r="Q146" i="7"/>
  <c r="Z150" i="7"/>
  <c r="N142" i="7"/>
  <c r="AB142" i="7"/>
  <c r="R146" i="7"/>
  <c r="AB147" i="7"/>
  <c r="W151" i="7"/>
  <c r="O147" i="7"/>
  <c r="S148" i="7"/>
  <c r="R150" i="7"/>
  <c r="Z151" i="7"/>
  <c r="AC150" i="7"/>
  <c r="Z146" i="7"/>
  <c r="AE146" i="7"/>
  <c r="Z147" i="7"/>
  <c r="AC149" i="7"/>
  <c r="O142" i="7"/>
  <c r="Y142" i="7"/>
  <c r="P149" i="7"/>
  <c r="Y149" i="7"/>
  <c r="T148" i="7"/>
  <c r="S147" i="7"/>
  <c r="AD146" i="7"/>
  <c r="O146" i="7"/>
  <c r="S149" i="7"/>
  <c r="AE151" i="7"/>
  <c r="P147" i="7"/>
  <c r="AA146" i="7"/>
  <c r="X149" i="7"/>
  <c r="T150" i="7"/>
  <c r="Q147" i="7"/>
  <c r="J8" i="10" a="1"/>
  <c r="T142" i="7"/>
  <c r="V150" i="7"/>
  <c r="Q148" i="7"/>
  <c r="S151" i="7"/>
  <c r="U146" i="7"/>
  <c r="T147" i="7"/>
  <c r="U149" i="7"/>
  <c r="AA148" i="7"/>
  <c r="Y147" i="7"/>
  <c r="Y151" i="7"/>
  <c r="AB150" i="7"/>
  <c r="P148" i="7"/>
  <c r="AC151" i="7"/>
  <c r="X147" i="7"/>
  <c r="AA149" i="7"/>
  <c r="U150" i="7"/>
  <c r="AB146" i="7"/>
  <c r="V149" i="7"/>
  <c r="P146" i="7"/>
  <c r="T151" i="7"/>
  <c r="Q149" i="7"/>
  <c r="Q151" i="7"/>
  <c r="V148" i="7"/>
  <c r="W148" i="7"/>
  <c r="O151" i="7"/>
  <c r="V151" i="7"/>
  <c r="AB148" i="7"/>
  <c r="U148" i="7"/>
  <c r="X148" i="7"/>
  <c r="AA150" i="7"/>
  <c r="U147" i="7"/>
  <c r="AE6" i="10"/>
  <c r="AG6" i="10" s="1"/>
  <c r="X142" i="7"/>
  <c r="W142" i="7"/>
  <c r="S142" i="7"/>
  <c r="Y146" i="7"/>
  <c r="Q150" i="7"/>
  <c r="W149" i="7"/>
  <c r="AE148" i="7"/>
  <c r="AA151" i="7"/>
  <c r="AD151" i="7"/>
  <c r="T146" i="7"/>
  <c r="AC147" i="7"/>
  <c r="P151" i="7"/>
  <c r="R151" i="7"/>
  <c r="AD149" i="7"/>
  <c r="O145" i="7"/>
  <c r="AB4" i="9" a="1"/>
  <c r="C83" i="2"/>
  <c r="X150" i="7"/>
  <c r="U151" i="7"/>
  <c r="Z148" i="7"/>
  <c r="V142" i="7"/>
  <c r="AA147" i="7"/>
  <c r="R148" i="7"/>
  <c r="W150" i="7"/>
  <c r="S146" i="7"/>
  <c r="AB151" i="7"/>
  <c r="R142" i="7"/>
  <c r="X151" i="7"/>
  <c r="O150" i="7"/>
  <c r="AE149" i="7"/>
  <c r="Y148" i="7"/>
  <c r="Q142" i="7"/>
  <c r="C77" i="2"/>
  <c r="N4" i="9" a="1"/>
  <c r="S150" i="7"/>
  <c r="AD142" i="7"/>
  <c r="AE143" i="7"/>
  <c r="P150" i="7"/>
  <c r="W147" i="7"/>
  <c r="AC148" i="7"/>
  <c r="V147" i="7"/>
  <c r="AE150" i="7"/>
  <c r="X146" i="7"/>
  <c r="AC146" i="7"/>
  <c r="V146" i="7"/>
  <c r="R147" i="7"/>
  <c r="AB149" i="7"/>
  <c r="O148" i="7"/>
  <c r="Z149" i="7"/>
  <c r="AD148" i="7"/>
  <c r="P142" i="7"/>
  <c r="O149" i="7"/>
  <c r="I163" i="12"/>
  <c r="I171" i="12"/>
  <c r="I164" i="12"/>
  <c r="I172" i="12"/>
  <c r="I165" i="12"/>
  <c r="I173" i="12"/>
  <c r="I166" i="12"/>
  <c r="I174" i="12"/>
  <c r="I162" i="12"/>
  <c r="I159" i="12"/>
  <c r="I167" i="12"/>
  <c r="I160" i="12"/>
  <c r="I168" i="12"/>
  <c r="I161" i="12"/>
  <c r="I169" i="12"/>
  <c r="I170" i="12"/>
  <c r="Z87" i="10" l="1"/>
  <c r="AD87" i="10" s="1"/>
  <c r="AE87" i="10" s="1"/>
  <c r="AA88" i="10" s="1"/>
  <c r="AC88" i="10" s="1"/>
  <c r="K125" i="12"/>
  <c r="N4" i="9"/>
  <c r="T4" i="9" s="1"/>
  <c r="D5" i="7" s="1"/>
  <c r="T6" i="9"/>
  <c r="D7" i="7" s="1"/>
  <c r="S27" i="9"/>
  <c r="R6" i="9"/>
  <c r="U6" i="9" s="1"/>
  <c r="T5" i="9"/>
  <c r="D6" i="7" s="1"/>
  <c r="R7" i="9"/>
  <c r="T7" i="9"/>
  <c r="D8" i="7" s="1"/>
  <c r="H89" i="7"/>
  <c r="H88" i="7"/>
  <c r="R5" i="9"/>
  <c r="H90" i="7"/>
  <c r="S4" i="9"/>
  <c r="E5" i="7" s="1"/>
  <c r="S26" i="9"/>
  <c r="E27" i="7" s="1"/>
  <c r="S16" i="9"/>
  <c r="E17" i="7" s="1"/>
  <c r="S23" i="9"/>
  <c r="E24" i="7" s="1"/>
  <c r="S19" i="9"/>
  <c r="E20" i="7" s="1"/>
  <c r="S21" i="9"/>
  <c r="E22" i="7" s="1"/>
  <c r="S13" i="9"/>
  <c r="E14" i="7" s="1"/>
  <c r="S6" i="9"/>
  <c r="E7" i="7" s="1"/>
  <c r="S11" i="9"/>
  <c r="E12" i="7" s="1"/>
  <c r="S18" i="9"/>
  <c r="E19" i="7" s="1"/>
  <c r="S20" i="9"/>
  <c r="E21" i="7" s="1"/>
  <c r="S15" i="9"/>
  <c r="E16" i="7" s="1"/>
  <c r="S24" i="9"/>
  <c r="E25" i="7" s="1"/>
  <c r="S25" i="9"/>
  <c r="E26" i="7" s="1"/>
  <c r="S7" i="9"/>
  <c r="E8" i="7" s="1"/>
  <c r="S12" i="9"/>
  <c r="E13" i="7" s="1"/>
  <c r="S10" i="9"/>
  <c r="E11" i="7" s="1"/>
  <c r="S14" i="9"/>
  <c r="E15" i="7" s="1"/>
  <c r="S22" i="9"/>
  <c r="E23" i="7" s="1"/>
  <c r="S9" i="9"/>
  <c r="E10" i="7" s="1"/>
  <c r="S8" i="9"/>
  <c r="E9" i="7" s="1"/>
  <c r="S5" i="9"/>
  <c r="E6" i="7" s="1"/>
  <c r="S17" i="9"/>
  <c r="E18" i="7" s="1"/>
  <c r="N54" i="9"/>
  <c r="N49" i="9"/>
  <c r="N72" i="9"/>
  <c r="N79" i="9"/>
  <c r="N76" i="9"/>
  <c r="N100" i="9"/>
  <c r="T23" i="9"/>
  <c r="D24" i="7" s="1"/>
  <c r="N74" i="9"/>
  <c r="T74" i="9" s="1"/>
  <c r="F73" i="7" s="1"/>
  <c r="N99" i="9"/>
  <c r="N81" i="9"/>
  <c r="N97" i="9"/>
  <c r="T24" i="9"/>
  <c r="D25" i="7" s="1"/>
  <c r="N69" i="9"/>
  <c r="T69" i="9" s="1"/>
  <c r="F68" i="7" s="1"/>
  <c r="N75" i="9"/>
  <c r="T75" i="9" s="1"/>
  <c r="F74" i="7" s="1"/>
  <c r="N73" i="9"/>
  <c r="N51" i="9"/>
  <c r="T14" i="9"/>
  <c r="D15" i="7" s="1"/>
  <c r="N83" i="9"/>
  <c r="N50" i="9"/>
  <c r="N78" i="9"/>
  <c r="N110" i="9"/>
  <c r="T16" i="9"/>
  <c r="D17" i="7" s="1"/>
  <c r="N48" i="9"/>
  <c r="T48" i="9" s="1"/>
  <c r="D75" i="7" s="1"/>
  <c r="T21" i="9"/>
  <c r="D22" i="7" s="1"/>
  <c r="T18" i="9"/>
  <c r="D19" i="7" s="1"/>
  <c r="T19" i="9"/>
  <c r="D20" i="7" s="1"/>
  <c r="N82" i="9"/>
  <c r="T82" i="9" s="1"/>
  <c r="F81" i="7" s="1"/>
  <c r="N71" i="9"/>
  <c r="T71" i="9" s="1"/>
  <c r="N105" i="9"/>
  <c r="T15" i="9"/>
  <c r="D16" i="7" s="1"/>
  <c r="N39" i="9"/>
  <c r="T10" i="9"/>
  <c r="D11" i="7" s="1"/>
  <c r="N67" i="9"/>
  <c r="T25" i="9"/>
  <c r="D26" i="7" s="1"/>
  <c r="N55" i="9"/>
  <c r="N108" i="9"/>
  <c r="T13" i="9"/>
  <c r="D14" i="7" s="1"/>
  <c r="N103" i="9"/>
  <c r="N43" i="9"/>
  <c r="N94" i="9"/>
  <c r="N56" i="9"/>
  <c r="T27" i="9"/>
  <c r="N68" i="9"/>
  <c r="T22" i="9"/>
  <c r="D23" i="7" s="1"/>
  <c r="T9" i="9"/>
  <c r="D10" i="7" s="1"/>
  <c r="N44" i="9"/>
  <c r="N102" i="9"/>
  <c r="N41" i="9"/>
  <c r="N46" i="9"/>
  <c r="N104" i="9"/>
  <c r="N112" i="9"/>
  <c r="N45" i="9"/>
  <c r="T26" i="9"/>
  <c r="D27" i="7" s="1"/>
  <c r="N77" i="9"/>
  <c r="T20" i="9"/>
  <c r="D21" i="7" s="1"/>
  <c r="T12" i="9"/>
  <c r="D13" i="7" s="1"/>
  <c r="N98" i="9"/>
  <c r="T98" i="9" s="1"/>
  <c r="H69" i="7" s="1"/>
  <c r="N42" i="9"/>
  <c r="N111" i="9"/>
  <c r="N40" i="9"/>
  <c r="N66" i="9"/>
  <c r="N101" i="9"/>
  <c r="N52" i="9"/>
  <c r="N95" i="9"/>
  <c r="N80" i="9"/>
  <c r="N96" i="9"/>
  <c r="T11" i="9"/>
  <c r="D12" i="7" s="1"/>
  <c r="N84" i="9"/>
  <c r="N109" i="9"/>
  <c r="T109" i="9" s="1"/>
  <c r="H80" i="7" s="1"/>
  <c r="N53" i="9"/>
  <c r="T53" i="9" s="1"/>
  <c r="D80" i="7" s="1"/>
  <c r="N107" i="9"/>
  <c r="T17" i="9"/>
  <c r="D18" i="7" s="1"/>
  <c r="N70" i="9"/>
  <c r="N106" i="9"/>
  <c r="N38" i="9"/>
  <c r="N47" i="9"/>
  <c r="T8" i="9"/>
  <c r="D9" i="7" s="1"/>
  <c r="N37" i="9"/>
  <c r="N93" i="9"/>
  <c r="N65" i="9"/>
  <c r="P68" i="9"/>
  <c r="P94" i="9"/>
  <c r="P45" i="9"/>
  <c r="P74" i="9"/>
  <c r="P46" i="9"/>
  <c r="O37" i="9"/>
  <c r="P95" i="9"/>
  <c r="P93" i="9"/>
  <c r="P105" i="9"/>
  <c r="P75" i="9"/>
  <c r="P55" i="9"/>
  <c r="P52" i="9"/>
  <c r="P82" i="9"/>
  <c r="P40" i="9"/>
  <c r="P79" i="9"/>
  <c r="P67" i="9"/>
  <c r="P72" i="9"/>
  <c r="P84" i="9"/>
  <c r="P41" i="9"/>
  <c r="P56" i="9"/>
  <c r="P47" i="9"/>
  <c r="P100" i="9"/>
  <c r="P51" i="9"/>
  <c r="P39" i="9"/>
  <c r="P69" i="9"/>
  <c r="P65" i="9"/>
  <c r="O107" i="9"/>
  <c r="R24" i="9"/>
  <c r="U24" i="9" s="1"/>
  <c r="P54" i="9"/>
  <c r="P111" i="9"/>
  <c r="P106" i="9"/>
  <c r="P103" i="9"/>
  <c r="P112" i="9"/>
  <c r="P53" i="9"/>
  <c r="P76" i="9"/>
  <c r="P83" i="9"/>
  <c r="P99" i="9"/>
  <c r="P49" i="9"/>
  <c r="P66" i="9"/>
  <c r="P77" i="9"/>
  <c r="P38" i="9"/>
  <c r="P43" i="9"/>
  <c r="P109" i="9"/>
  <c r="P102" i="9"/>
  <c r="P97" i="9"/>
  <c r="R27" i="9"/>
  <c r="U27" i="9" s="1"/>
  <c r="P108" i="9"/>
  <c r="P70" i="9"/>
  <c r="P107" i="9"/>
  <c r="P98" i="9"/>
  <c r="P96" i="9"/>
  <c r="P73" i="9"/>
  <c r="P42" i="9"/>
  <c r="P48" i="9"/>
  <c r="P101" i="9"/>
  <c r="P37" i="9"/>
  <c r="P78" i="9"/>
  <c r="P80" i="9"/>
  <c r="P81" i="9"/>
  <c r="P44" i="9"/>
  <c r="P104" i="9"/>
  <c r="P110" i="9"/>
  <c r="P50" i="9"/>
  <c r="P71" i="9"/>
  <c r="R22" i="9"/>
  <c r="U22" i="9" s="1"/>
  <c r="O68" i="9"/>
  <c r="S68" i="9" s="1"/>
  <c r="G67" i="7" s="1"/>
  <c r="R23" i="9"/>
  <c r="U23" i="9" s="1"/>
  <c r="O106" i="9"/>
  <c r="S106" i="9" s="1"/>
  <c r="I77" i="7" s="1"/>
  <c r="H95" i="7"/>
  <c r="O76" i="9"/>
  <c r="O79" i="9"/>
  <c r="S79" i="9" s="1"/>
  <c r="G78" i="7" s="1"/>
  <c r="H96" i="7"/>
  <c r="O80" i="9"/>
  <c r="R10" i="9"/>
  <c r="U10" i="9" s="1"/>
  <c r="O38" i="9"/>
  <c r="S38" i="9" s="1"/>
  <c r="E65" i="7" s="1"/>
  <c r="O77" i="9"/>
  <c r="R18" i="9"/>
  <c r="U18" i="9" s="1"/>
  <c r="R16" i="9"/>
  <c r="U16" i="9" s="1"/>
  <c r="O50" i="9"/>
  <c r="S50" i="9" s="1"/>
  <c r="E77" i="7" s="1"/>
  <c r="O51" i="9"/>
  <c r="S51" i="9" s="1"/>
  <c r="E78" i="7" s="1"/>
  <c r="H105" i="7"/>
  <c r="O93" i="9"/>
  <c r="O75" i="9"/>
  <c r="H103" i="7"/>
  <c r="O43" i="9"/>
  <c r="S43" i="9" s="1"/>
  <c r="E70" i="7" s="1"/>
  <c r="O98" i="9"/>
  <c r="O55" i="9"/>
  <c r="R21" i="9"/>
  <c r="U21" i="9" s="1"/>
  <c r="O81" i="9"/>
  <c r="R14" i="9"/>
  <c r="U14" i="9" s="1"/>
  <c r="O110" i="9"/>
  <c r="O104" i="9"/>
  <c r="S104" i="9" s="1"/>
  <c r="I75" i="7" s="1"/>
  <c r="O82" i="9"/>
  <c r="O83" i="9"/>
  <c r="O39" i="9"/>
  <c r="O109" i="9"/>
  <c r="O99" i="9"/>
  <c r="O65" i="9"/>
  <c r="S65" i="9" s="1"/>
  <c r="G64" i="7" s="1"/>
  <c r="H91" i="7"/>
  <c r="O45" i="9"/>
  <c r="S45" i="9" s="1"/>
  <c r="E72" i="7" s="1"/>
  <c r="O70" i="9"/>
  <c r="H97" i="7"/>
  <c r="H104" i="7"/>
  <c r="R26" i="9"/>
  <c r="U26" i="9" s="1"/>
  <c r="O101" i="9"/>
  <c r="O105" i="9"/>
  <c r="S105" i="9" s="1"/>
  <c r="I76" i="7" s="1"/>
  <c r="H109" i="7"/>
  <c r="O67" i="9"/>
  <c r="O53" i="9"/>
  <c r="R19" i="9"/>
  <c r="U19" i="9" s="1"/>
  <c r="O100" i="9"/>
  <c r="O66" i="9"/>
  <c r="S66" i="9" s="1"/>
  <c r="G65" i="7" s="1"/>
  <c r="O71" i="9"/>
  <c r="H93" i="7"/>
  <c r="O48" i="9"/>
  <c r="O42" i="9"/>
  <c r="S42" i="9" s="1"/>
  <c r="E69" i="7" s="1"/>
  <c r="O78" i="9"/>
  <c r="S78" i="9" s="1"/>
  <c r="G77" i="7" s="1"/>
  <c r="O69" i="9"/>
  <c r="O73" i="9"/>
  <c r="H94" i="7"/>
  <c r="R15" i="9"/>
  <c r="U15" i="9" s="1"/>
  <c r="O40" i="9"/>
  <c r="O41" i="9"/>
  <c r="S41" i="9" s="1"/>
  <c r="E68" i="7" s="1"/>
  <c r="O47" i="9"/>
  <c r="S47" i="9" s="1"/>
  <c r="E74" i="7" s="1"/>
  <c r="O96" i="9"/>
  <c r="R20" i="9"/>
  <c r="U20" i="9" s="1"/>
  <c r="O44" i="9"/>
  <c r="O74" i="9"/>
  <c r="O56" i="9"/>
  <c r="O102" i="9"/>
  <c r="R11" i="9"/>
  <c r="U11" i="9" s="1"/>
  <c r="O94" i="9"/>
  <c r="S94" i="9" s="1"/>
  <c r="I65" i="7" s="1"/>
  <c r="H92" i="7"/>
  <c r="R8" i="9"/>
  <c r="U8" i="9" s="1"/>
  <c r="O49" i="9"/>
  <c r="O112" i="9"/>
  <c r="O108" i="9"/>
  <c r="S108" i="9" s="1"/>
  <c r="I79" i="7" s="1"/>
  <c r="R17" i="9"/>
  <c r="U17" i="9" s="1"/>
  <c r="H98" i="7"/>
  <c r="O97" i="9"/>
  <c r="S97" i="9" s="1"/>
  <c r="I68" i="7" s="1"/>
  <c r="H100" i="7"/>
  <c r="O111" i="9"/>
  <c r="S111" i="9" s="1"/>
  <c r="I82" i="7" s="1"/>
  <c r="H99" i="7"/>
  <c r="O103" i="9"/>
  <c r="S103" i="9" s="1"/>
  <c r="I74" i="7" s="1"/>
  <c r="R13" i="9"/>
  <c r="U13" i="9" s="1"/>
  <c r="R9" i="9"/>
  <c r="U9" i="9" s="1"/>
  <c r="O72" i="9"/>
  <c r="S72" i="9" s="1"/>
  <c r="G71" i="7" s="1"/>
  <c r="H102" i="7"/>
  <c r="H106" i="7"/>
  <c r="H108" i="7"/>
  <c r="O46" i="9"/>
  <c r="S46" i="9" s="1"/>
  <c r="E73" i="7" s="1"/>
  <c r="O52" i="9"/>
  <c r="O84" i="9"/>
  <c r="R25" i="9"/>
  <c r="U25" i="9" s="1"/>
  <c r="O54" i="9"/>
  <c r="S54" i="9" s="1"/>
  <c r="E81" i="7" s="1"/>
  <c r="R12" i="9"/>
  <c r="U12" i="9" s="1"/>
  <c r="H107" i="7"/>
  <c r="H101" i="7"/>
  <c r="O95" i="9"/>
  <c r="S95" i="9" s="1"/>
  <c r="I66" i="7" s="1"/>
  <c r="AB4" i="9"/>
  <c r="AD39" i="9"/>
  <c r="AG7" i="9"/>
  <c r="AM6" i="9"/>
  <c r="F33" i="7"/>
  <c r="AM7" i="9"/>
  <c r="F34" i="7"/>
  <c r="F35" i="7"/>
  <c r="G33" i="7"/>
  <c r="G32" i="7"/>
  <c r="F36" i="7"/>
  <c r="G34" i="7"/>
  <c r="G35" i="7"/>
  <c r="AM5" i="9"/>
  <c r="AL6" i="9"/>
  <c r="AL5" i="9"/>
  <c r="AL7" i="9"/>
  <c r="AN7" i="9" s="1"/>
  <c r="AO7" i="9" s="1"/>
  <c r="AL4" i="9"/>
  <c r="AD62" i="9"/>
  <c r="AB34" i="9"/>
  <c r="AC62" i="9"/>
  <c r="AL62" i="9" s="1"/>
  <c r="AD33" i="9"/>
  <c r="AC34" i="9"/>
  <c r="AD90" i="9"/>
  <c r="AB62" i="9"/>
  <c r="AC33" i="9"/>
  <c r="AG5" i="9"/>
  <c r="AC90" i="9"/>
  <c r="AL90" i="9" s="1"/>
  <c r="AD61" i="9"/>
  <c r="AB90" i="9"/>
  <c r="AC61" i="9"/>
  <c r="AD34" i="9"/>
  <c r="AD89" i="9"/>
  <c r="AC89" i="9"/>
  <c r="AC63" i="9"/>
  <c r="AB63" i="9"/>
  <c r="AD63" i="9"/>
  <c r="AD36" i="9"/>
  <c r="AC35" i="9"/>
  <c r="AG6" i="9"/>
  <c r="AH6" i="9" s="1"/>
  <c r="AD91" i="9"/>
  <c r="AD65" i="9"/>
  <c r="AB93" i="9"/>
  <c r="AC64" i="9"/>
  <c r="AC93" i="9"/>
  <c r="AB91" i="9"/>
  <c r="AD35" i="9"/>
  <c r="AD93" i="9"/>
  <c r="AD92" i="9"/>
  <c r="AC65" i="9"/>
  <c r="AB35" i="9"/>
  <c r="AD37" i="9"/>
  <c r="AC37" i="9"/>
  <c r="AB36" i="9"/>
  <c r="AB37" i="9"/>
  <c r="AC92" i="9"/>
  <c r="AB64" i="9"/>
  <c r="AB65" i="9"/>
  <c r="AC36" i="9"/>
  <c r="AL36" i="9" s="1"/>
  <c r="AC91" i="9"/>
  <c r="AB50" i="9"/>
  <c r="AB92" i="9"/>
  <c r="AD64" i="9"/>
  <c r="F45" i="7"/>
  <c r="F41" i="7"/>
  <c r="AB74" i="9"/>
  <c r="AM74" i="9" s="1"/>
  <c r="AB52" i="9"/>
  <c r="AM52" i="9" s="1"/>
  <c r="AB106" i="9"/>
  <c r="AM106" i="9" s="1"/>
  <c r="AB47" i="9"/>
  <c r="AM47" i="9" s="1"/>
  <c r="AB97" i="9"/>
  <c r="AB49" i="9"/>
  <c r="AM49" i="9" s="1"/>
  <c r="AM17" i="9"/>
  <c r="AM19" i="9"/>
  <c r="AM10" i="9"/>
  <c r="F52" i="7"/>
  <c r="AB53" i="9"/>
  <c r="F53" i="7"/>
  <c r="F49" i="7"/>
  <c r="AB54" i="9"/>
  <c r="AM54" i="9" s="1"/>
  <c r="AB108" i="9"/>
  <c r="AB79" i="9"/>
  <c r="AB77" i="9"/>
  <c r="AB107" i="9"/>
  <c r="AM107" i="9" s="1"/>
  <c r="AM21" i="9"/>
  <c r="AM23" i="9"/>
  <c r="AB56" i="9"/>
  <c r="AM56" i="9" s="1"/>
  <c r="AB44" i="9"/>
  <c r="AM44" i="9" s="1"/>
  <c r="F38" i="7"/>
  <c r="F42" i="7"/>
  <c r="AB48" i="9"/>
  <c r="AM48" i="9" s="1"/>
  <c r="AB40" i="9"/>
  <c r="AB83" i="9"/>
  <c r="AM83" i="9" s="1"/>
  <c r="AB111" i="9"/>
  <c r="AM111" i="9" s="1"/>
  <c r="AB81" i="9"/>
  <c r="AM81" i="9" s="1"/>
  <c r="AB109" i="9"/>
  <c r="AM109" i="9" s="1"/>
  <c r="AM25" i="9"/>
  <c r="AM22" i="9"/>
  <c r="AB76" i="9"/>
  <c r="AM76" i="9" s="1"/>
  <c r="AB104" i="9"/>
  <c r="F46" i="7"/>
  <c r="F50" i="7"/>
  <c r="AB80" i="9"/>
  <c r="AM80" i="9" s="1"/>
  <c r="AB43" i="9"/>
  <c r="AM43" i="9" s="1"/>
  <c r="AB72" i="9"/>
  <c r="AB100" i="9"/>
  <c r="AB70" i="9"/>
  <c r="AM70" i="9" s="1"/>
  <c r="AB45" i="9"/>
  <c r="AM14" i="9"/>
  <c r="AM12" i="9"/>
  <c r="AB73" i="9"/>
  <c r="AM73" i="9" s="1"/>
  <c r="AM13" i="9"/>
  <c r="AB110" i="9"/>
  <c r="AM110" i="9" s="1"/>
  <c r="F39" i="7"/>
  <c r="F51" i="7"/>
  <c r="AB82" i="9"/>
  <c r="AB102" i="9"/>
  <c r="AM102" i="9" s="1"/>
  <c r="AB67" i="9"/>
  <c r="AM67" i="9" s="1"/>
  <c r="AB39" i="9"/>
  <c r="AM39" i="9" s="1"/>
  <c r="AB95" i="9"/>
  <c r="AM95" i="9" s="1"/>
  <c r="AB42" i="9"/>
  <c r="AM42" i="9" s="1"/>
  <c r="AM18" i="9"/>
  <c r="AM16" i="9"/>
  <c r="AM15" i="9"/>
  <c r="AB71" i="9"/>
  <c r="F47" i="7"/>
  <c r="F43" i="7"/>
  <c r="AB98" i="9"/>
  <c r="AM98" i="9" s="1"/>
  <c r="AB78" i="9"/>
  <c r="AB75" i="9"/>
  <c r="AB69" i="9"/>
  <c r="AM69" i="9" s="1"/>
  <c r="AB41" i="9"/>
  <c r="AM41" i="9" s="1"/>
  <c r="AB96" i="9"/>
  <c r="AM96" i="9" s="1"/>
  <c r="AM27" i="9"/>
  <c r="AM20" i="9"/>
  <c r="F48" i="7"/>
  <c r="AB103" i="9"/>
  <c r="F44" i="7"/>
  <c r="F40" i="7"/>
  <c r="AB99" i="9"/>
  <c r="AB68" i="9"/>
  <c r="AM68" i="9" s="1"/>
  <c r="AB101" i="9"/>
  <c r="AB105" i="9"/>
  <c r="AM105" i="9" s="1"/>
  <c r="AB51" i="9"/>
  <c r="AM51" i="9" s="1"/>
  <c r="AB55" i="9"/>
  <c r="F37" i="7"/>
  <c r="AM11" i="9"/>
  <c r="AM24" i="9"/>
  <c r="AB46" i="9"/>
  <c r="AM46" i="9" s="1"/>
  <c r="AM26" i="9"/>
  <c r="AM8" i="9"/>
  <c r="AB38" i="9"/>
  <c r="AB66" i="9"/>
  <c r="AM66" i="9" s="1"/>
  <c r="AM9" i="9"/>
  <c r="AB94" i="9"/>
  <c r="AM94" i="9" s="1"/>
  <c r="AD82" i="9"/>
  <c r="AD40" i="9"/>
  <c r="AD79" i="9"/>
  <c r="AD107" i="9"/>
  <c r="AD76" i="9"/>
  <c r="AD73" i="9"/>
  <c r="AD67" i="9"/>
  <c r="AD103" i="9"/>
  <c r="AD71" i="9"/>
  <c r="AD50" i="9"/>
  <c r="AD75" i="9"/>
  <c r="AD70" i="9"/>
  <c r="AD105" i="9"/>
  <c r="AD77" i="9"/>
  <c r="AD48" i="9"/>
  <c r="AD102" i="9"/>
  <c r="AD98" i="9"/>
  <c r="AD80" i="9"/>
  <c r="AD100" i="9"/>
  <c r="AD41" i="9"/>
  <c r="AD47" i="9"/>
  <c r="AD44" i="9"/>
  <c r="AD42" i="9"/>
  <c r="AD54" i="9"/>
  <c r="AD51" i="9"/>
  <c r="AD46" i="9"/>
  <c r="AD74" i="9"/>
  <c r="AD101" i="9"/>
  <c r="AD99" i="9"/>
  <c r="AD68" i="9"/>
  <c r="AD106" i="9"/>
  <c r="AD96" i="9"/>
  <c r="AD43" i="9"/>
  <c r="AD95" i="9"/>
  <c r="AD94" i="9"/>
  <c r="AC103" i="9"/>
  <c r="AD72" i="9"/>
  <c r="AD81" i="9"/>
  <c r="AD111" i="9"/>
  <c r="AD53" i="9"/>
  <c r="AD104" i="9"/>
  <c r="AD55" i="9"/>
  <c r="AD69" i="9"/>
  <c r="AD97" i="9"/>
  <c r="AD45" i="9"/>
  <c r="AD49" i="9"/>
  <c r="AD52" i="9"/>
  <c r="AD56" i="9"/>
  <c r="AD110" i="9"/>
  <c r="AD109" i="9"/>
  <c r="AD108" i="9"/>
  <c r="AD83" i="9"/>
  <c r="AD78" i="9"/>
  <c r="AC106" i="9"/>
  <c r="AC72" i="9"/>
  <c r="AC56" i="9"/>
  <c r="AC82" i="9"/>
  <c r="AC70" i="9"/>
  <c r="AC46" i="9"/>
  <c r="AC101" i="9"/>
  <c r="AC111" i="9"/>
  <c r="AC79" i="9"/>
  <c r="AC47" i="9"/>
  <c r="AC69" i="9"/>
  <c r="AD38" i="9"/>
  <c r="AD66" i="9"/>
  <c r="AC54" i="9"/>
  <c r="AC73" i="9"/>
  <c r="AC44" i="9"/>
  <c r="AC100" i="9"/>
  <c r="AC42" i="9"/>
  <c r="AC107" i="9"/>
  <c r="AC110" i="9"/>
  <c r="AC108" i="9"/>
  <c r="AC43" i="9"/>
  <c r="AC51" i="9"/>
  <c r="AC48" i="9"/>
  <c r="AC97" i="9"/>
  <c r="AC40" i="9"/>
  <c r="AC50" i="9"/>
  <c r="AC39" i="9"/>
  <c r="AC104" i="9"/>
  <c r="AC102" i="9"/>
  <c r="AC45" i="9"/>
  <c r="AC71" i="9"/>
  <c r="AC94" i="9"/>
  <c r="AC76" i="9"/>
  <c r="AC98" i="9"/>
  <c r="AC95" i="9"/>
  <c r="AC68" i="9"/>
  <c r="AC75" i="9"/>
  <c r="AC41" i="9"/>
  <c r="AC52" i="9"/>
  <c r="AC80" i="9"/>
  <c r="AC49" i="9"/>
  <c r="AC81" i="9"/>
  <c r="AC99" i="9"/>
  <c r="AC78" i="9"/>
  <c r="AC55" i="9"/>
  <c r="AC83" i="9"/>
  <c r="AC74" i="9"/>
  <c r="AC109" i="9"/>
  <c r="AC77" i="9"/>
  <c r="AC67" i="9"/>
  <c r="AC96" i="9"/>
  <c r="AC53" i="9"/>
  <c r="AC105" i="9"/>
  <c r="AC66" i="9"/>
  <c r="AC38" i="9"/>
  <c r="J8" i="10"/>
  <c r="P8" i="10" s="1"/>
  <c r="AD8" i="10" s="1"/>
  <c r="P15" i="10"/>
  <c r="AD15" i="10" s="1"/>
  <c r="P14" i="10"/>
  <c r="AD14" i="10" s="1"/>
  <c r="P20" i="10"/>
  <c r="AD20" i="10" s="1"/>
  <c r="P13" i="10"/>
  <c r="AD13" i="10" s="1"/>
  <c r="P26" i="10"/>
  <c r="P16" i="10"/>
  <c r="AD16" i="10" s="1"/>
  <c r="P21" i="10"/>
  <c r="AD21" i="10" s="1"/>
  <c r="P18" i="10"/>
  <c r="AD18" i="10" s="1"/>
  <c r="P23" i="10"/>
  <c r="AD23" i="10" s="1"/>
  <c r="P11" i="10"/>
  <c r="AD11" i="10" s="1"/>
  <c r="P22" i="10"/>
  <c r="AD22" i="10" s="1"/>
  <c r="P25" i="10"/>
  <c r="AD25" i="10" s="1"/>
  <c r="P19" i="10"/>
  <c r="AD19" i="10" s="1"/>
  <c r="P24" i="10"/>
  <c r="AD24" i="10" s="1"/>
  <c r="P12" i="10"/>
  <c r="AD12" i="10" s="1"/>
  <c r="P10" i="10"/>
  <c r="AD10" i="10" s="1"/>
  <c r="P17" i="10"/>
  <c r="AD17" i="10" s="1"/>
  <c r="P9" i="10"/>
  <c r="AD9" i="10" s="1"/>
  <c r="H87" i="7"/>
  <c r="J87" i="7" s="1"/>
  <c r="L87" i="7" s="1"/>
  <c r="R4" i="9"/>
  <c r="AG4" i="9"/>
  <c r="AM4" i="9"/>
  <c r="F32" i="7"/>
  <c r="AB33" i="9"/>
  <c r="AB61" i="9"/>
  <c r="AB89" i="9"/>
  <c r="K155" i="12"/>
  <c r="AA7" i="10"/>
  <c r="S6" i="12"/>
  <c r="N125" i="12"/>
  <c r="M155" i="12" s="1"/>
  <c r="AA61" i="10"/>
  <c r="S62" i="12"/>
  <c r="I175" i="12"/>
  <c r="I158" i="12"/>
  <c r="G132" i="12"/>
  <c r="G140" i="12"/>
  <c r="G133" i="12"/>
  <c r="G141" i="12"/>
  <c r="G134" i="12"/>
  <c r="G142" i="12"/>
  <c r="G135" i="12"/>
  <c r="G143" i="12"/>
  <c r="G139" i="12"/>
  <c r="G128" i="12"/>
  <c r="G136" i="12"/>
  <c r="G144" i="12"/>
  <c r="G129" i="12"/>
  <c r="G137" i="12"/>
  <c r="G145" i="12"/>
  <c r="G131" i="12"/>
  <c r="G130" i="12"/>
  <c r="G138" i="12"/>
  <c r="L91" i="10"/>
  <c r="K94" i="10"/>
  <c r="J97" i="10"/>
  <c r="L99" i="10"/>
  <c r="K102" i="10"/>
  <c r="J105" i="10"/>
  <c r="L107" i="10"/>
  <c r="L92" i="10"/>
  <c r="J98" i="10"/>
  <c r="K103" i="10"/>
  <c r="K90" i="10"/>
  <c r="K89" i="10"/>
  <c r="J92" i="10"/>
  <c r="L94" i="10"/>
  <c r="K97" i="10"/>
  <c r="J100" i="10"/>
  <c r="L102" i="10"/>
  <c r="K105" i="10"/>
  <c r="J108" i="10"/>
  <c r="J106" i="10"/>
  <c r="L108" i="10"/>
  <c r="K106" i="10"/>
  <c r="L106" i="10"/>
  <c r="L89" i="10"/>
  <c r="K92" i="10"/>
  <c r="J95" i="10"/>
  <c r="L97" i="10"/>
  <c r="K100" i="10"/>
  <c r="J103" i="10"/>
  <c r="L105" i="10"/>
  <c r="K108" i="10"/>
  <c r="K98" i="10"/>
  <c r="L90" i="10"/>
  <c r="J91" i="10"/>
  <c r="L93" i="10"/>
  <c r="K96" i="10"/>
  <c r="J99" i="10"/>
  <c r="L101" i="10"/>
  <c r="K104" i="10"/>
  <c r="J107" i="10"/>
  <c r="L95" i="10"/>
  <c r="L103" i="10"/>
  <c r="J96" i="10"/>
  <c r="J104" i="10"/>
  <c r="K91" i="10"/>
  <c r="J94" i="10"/>
  <c r="L96" i="10"/>
  <c r="K99" i="10"/>
  <c r="J102" i="10"/>
  <c r="L104" i="10"/>
  <c r="K107" i="10"/>
  <c r="J90" i="10"/>
  <c r="K95" i="10"/>
  <c r="L100" i="10"/>
  <c r="J93" i="10"/>
  <c r="J101" i="10"/>
  <c r="K93" i="10"/>
  <c r="L98" i="10"/>
  <c r="K101" i="10"/>
  <c r="L76" i="10"/>
  <c r="L68" i="10"/>
  <c r="K75" i="10"/>
  <c r="K67" i="10"/>
  <c r="J74" i="10"/>
  <c r="J66" i="10"/>
  <c r="L35" i="10"/>
  <c r="K38" i="10"/>
  <c r="J41" i="10"/>
  <c r="L43" i="10"/>
  <c r="K46" i="10"/>
  <c r="J49" i="10"/>
  <c r="L51" i="10"/>
  <c r="K54" i="10"/>
  <c r="L75" i="10"/>
  <c r="L67" i="10"/>
  <c r="K74" i="10"/>
  <c r="K66" i="10"/>
  <c r="J73" i="10"/>
  <c r="J65" i="10"/>
  <c r="J36" i="10"/>
  <c r="L38" i="10"/>
  <c r="K41" i="10"/>
  <c r="J44" i="10"/>
  <c r="L46" i="10"/>
  <c r="K49" i="10"/>
  <c r="J52" i="10"/>
  <c r="L54" i="10"/>
  <c r="L74" i="10"/>
  <c r="L66" i="10"/>
  <c r="K73" i="10"/>
  <c r="K65" i="10"/>
  <c r="J80" i="10"/>
  <c r="J72" i="10"/>
  <c r="J64" i="10"/>
  <c r="K36" i="10"/>
  <c r="J39" i="10"/>
  <c r="L41" i="10"/>
  <c r="K44" i="10"/>
  <c r="J47" i="10"/>
  <c r="L49" i="10"/>
  <c r="K52" i="10"/>
  <c r="L81" i="10"/>
  <c r="L73" i="10"/>
  <c r="L65" i="10"/>
  <c r="K80" i="10"/>
  <c r="K72" i="10"/>
  <c r="K64" i="10"/>
  <c r="J79" i="10"/>
  <c r="J71" i="10"/>
  <c r="J63" i="10"/>
  <c r="L36" i="10"/>
  <c r="K39" i="10"/>
  <c r="J42" i="10"/>
  <c r="L44" i="10"/>
  <c r="K47" i="10"/>
  <c r="J50" i="10"/>
  <c r="L52" i="10"/>
  <c r="K81" i="10"/>
  <c r="L80" i="10"/>
  <c r="L72" i="10"/>
  <c r="L64" i="10"/>
  <c r="K79" i="10"/>
  <c r="K71" i="10"/>
  <c r="K63" i="10"/>
  <c r="J78" i="10"/>
  <c r="J70" i="10"/>
  <c r="J37" i="10"/>
  <c r="L39" i="10"/>
  <c r="K42" i="10"/>
  <c r="J45" i="10"/>
  <c r="L47" i="10"/>
  <c r="K50" i="10"/>
  <c r="J53" i="10"/>
  <c r="J81" i="10"/>
  <c r="L79" i="10"/>
  <c r="L71" i="10"/>
  <c r="L63" i="10"/>
  <c r="K78" i="10"/>
  <c r="K70" i="10"/>
  <c r="K62" i="10"/>
  <c r="J77" i="10"/>
  <c r="J69" i="10"/>
  <c r="K37" i="10"/>
  <c r="J40" i="10"/>
  <c r="L42" i="10"/>
  <c r="K45" i="10"/>
  <c r="J48" i="10"/>
  <c r="L50" i="10"/>
  <c r="K53" i="10"/>
  <c r="L78" i="10"/>
  <c r="L70" i="10"/>
  <c r="L62" i="10"/>
  <c r="K77" i="10"/>
  <c r="K69" i="10"/>
  <c r="J76" i="10"/>
  <c r="J68" i="10"/>
  <c r="L37" i="10"/>
  <c r="K40" i="10"/>
  <c r="J43" i="10"/>
  <c r="L45" i="10"/>
  <c r="K48" i="10"/>
  <c r="J51" i="10"/>
  <c r="L53" i="10"/>
  <c r="J75" i="10"/>
  <c r="L48" i="10"/>
  <c r="K43" i="10"/>
  <c r="J67" i="10"/>
  <c r="K51" i="10"/>
  <c r="J46" i="10"/>
  <c r="K76" i="10"/>
  <c r="J54" i="10"/>
  <c r="K68" i="10"/>
  <c r="K35" i="10"/>
  <c r="L77" i="10"/>
  <c r="J38" i="10"/>
  <c r="L69" i="10"/>
  <c r="L40" i="10"/>
  <c r="D25" i="12"/>
  <c r="D21" i="12"/>
  <c r="D10" i="12"/>
  <c r="D14" i="12"/>
  <c r="D18" i="12"/>
  <c r="D22" i="12"/>
  <c r="D26" i="12"/>
  <c r="D9" i="12"/>
  <c r="D11" i="12"/>
  <c r="D15" i="12"/>
  <c r="D19" i="12"/>
  <c r="D23" i="12"/>
  <c r="D17" i="12"/>
  <c r="D12" i="12"/>
  <c r="D16" i="12"/>
  <c r="D20" i="12"/>
  <c r="D24" i="12"/>
  <c r="D13" i="12"/>
  <c r="Z37" i="12"/>
  <c r="Z65" i="12"/>
  <c r="S101" i="9" l="1"/>
  <c r="I72" i="7" s="1"/>
  <c r="S90" i="12"/>
  <c r="AL34" i="9"/>
  <c r="AM82" i="9"/>
  <c r="AM55" i="9"/>
  <c r="AM72" i="9"/>
  <c r="S55" i="9"/>
  <c r="E82" i="7" s="1"/>
  <c r="AM38" i="9"/>
  <c r="S76" i="9"/>
  <c r="G75" i="7" s="1"/>
  <c r="AM97" i="9"/>
  <c r="S96" i="9"/>
  <c r="I67" i="7" s="1"/>
  <c r="AM71" i="9"/>
  <c r="AM45" i="9"/>
  <c r="AM40" i="9"/>
  <c r="S102" i="9"/>
  <c r="I73" i="7" s="1"/>
  <c r="S56" i="9"/>
  <c r="AM79" i="9"/>
  <c r="S52" i="9"/>
  <c r="E79" i="7" s="1"/>
  <c r="AM78" i="9"/>
  <c r="AM108" i="9"/>
  <c r="S44" i="9"/>
  <c r="E71" i="7" s="1"/>
  <c r="S73" i="9"/>
  <c r="G72" i="7" s="1"/>
  <c r="AN6" i="9"/>
  <c r="AO6" i="9" s="1"/>
  <c r="S83" i="9"/>
  <c r="G82" i="7" s="1"/>
  <c r="S107" i="9"/>
  <c r="I78" i="7" s="1"/>
  <c r="AL35" i="9"/>
  <c r="AL61" i="9"/>
  <c r="S37" i="9"/>
  <c r="E64" i="7" s="1"/>
  <c r="AI6" i="9"/>
  <c r="AK6" i="9"/>
  <c r="AN4" i="9"/>
  <c r="AO4" i="9" s="1"/>
  <c r="AM91" i="9"/>
  <c r="AG91" i="9"/>
  <c r="AH91" i="9" s="1"/>
  <c r="AI91" i="9" s="1"/>
  <c r="AM90" i="9"/>
  <c r="AN90" i="9" s="1"/>
  <c r="AO90" i="9" s="1"/>
  <c r="AG90" i="9"/>
  <c r="AH90" i="9" s="1"/>
  <c r="AI90" i="9" s="1"/>
  <c r="J107" i="7"/>
  <c r="L107" i="7" s="1"/>
  <c r="H134" i="7"/>
  <c r="I134" i="7" s="1"/>
  <c r="J134" i="7" s="1"/>
  <c r="J106" i="7"/>
  <c r="L106" i="7" s="1"/>
  <c r="H133" i="7"/>
  <c r="I133" i="7" s="1"/>
  <c r="J133" i="7" s="1"/>
  <c r="J100" i="7"/>
  <c r="L100" i="7" s="1"/>
  <c r="H127" i="7"/>
  <c r="I127" i="7" s="1"/>
  <c r="J127" i="7" s="1"/>
  <c r="J92" i="7"/>
  <c r="L92" i="7" s="1"/>
  <c r="H119" i="7"/>
  <c r="I119" i="7" s="1"/>
  <c r="J119" i="7" s="1"/>
  <c r="R53" i="9"/>
  <c r="U53" i="9" s="1"/>
  <c r="S53" i="9"/>
  <c r="E80" i="7" s="1"/>
  <c r="S70" i="9"/>
  <c r="G69" i="7" s="1"/>
  <c r="R82" i="9"/>
  <c r="U82" i="9" s="1"/>
  <c r="S82" i="9"/>
  <c r="G81" i="7" s="1"/>
  <c r="H122" i="7"/>
  <c r="I122" i="7" s="1"/>
  <c r="J122" i="7" s="1"/>
  <c r="J95" i="7"/>
  <c r="L95" i="7" s="1"/>
  <c r="E171" i="7"/>
  <c r="D35" i="7"/>
  <c r="H35" i="7" s="1"/>
  <c r="F9" i="7"/>
  <c r="T66" i="9"/>
  <c r="F65" i="7" s="1"/>
  <c r="R66" i="9"/>
  <c r="U66" i="9" s="1"/>
  <c r="E189" i="7"/>
  <c r="D53" i="7"/>
  <c r="H53" i="7" s="1"/>
  <c r="F27" i="7"/>
  <c r="E172" i="7"/>
  <c r="D36" i="7"/>
  <c r="H36" i="7" s="1"/>
  <c r="F10" i="7"/>
  <c r="E176" i="7"/>
  <c r="D40" i="7"/>
  <c r="H40" i="7" s="1"/>
  <c r="T105" i="9"/>
  <c r="H76" i="7" s="1"/>
  <c r="R105" i="9"/>
  <c r="U105" i="9" s="1"/>
  <c r="T110" i="9"/>
  <c r="H81" i="7" s="1"/>
  <c r="R110" i="9"/>
  <c r="U110" i="9" s="1"/>
  <c r="T76" i="9"/>
  <c r="F75" i="7" s="1"/>
  <c r="R76" i="9"/>
  <c r="U76" i="9" s="1"/>
  <c r="E36" i="7"/>
  <c r="D172" i="7"/>
  <c r="E42" i="7"/>
  <c r="D178" i="7"/>
  <c r="F24" i="7"/>
  <c r="E50" i="7"/>
  <c r="D186" i="7"/>
  <c r="F8" i="7"/>
  <c r="E170" i="7"/>
  <c r="D34" i="7"/>
  <c r="H34" i="7" s="1"/>
  <c r="J108" i="7"/>
  <c r="L108" i="7" s="1"/>
  <c r="H135" i="7"/>
  <c r="I135" i="7" s="1"/>
  <c r="J135" i="7" s="1"/>
  <c r="H124" i="7"/>
  <c r="I124" i="7" s="1"/>
  <c r="J124" i="7" s="1"/>
  <c r="J97" i="7"/>
  <c r="L97" i="7" s="1"/>
  <c r="E178" i="7"/>
  <c r="D42" i="7"/>
  <c r="H42" i="7" s="1"/>
  <c r="F16" i="7"/>
  <c r="J89" i="7"/>
  <c r="L89" i="7" s="1"/>
  <c r="H116" i="7"/>
  <c r="I116" i="7" s="1"/>
  <c r="J116" i="7" s="1"/>
  <c r="AM36" i="9"/>
  <c r="AN36" i="9" s="1"/>
  <c r="AO36" i="9" s="1"/>
  <c r="AG36" i="9"/>
  <c r="AH36" i="9" s="1"/>
  <c r="AI36" i="9" s="1"/>
  <c r="AM101" i="9"/>
  <c r="J102" i="7"/>
  <c r="L102" i="7" s="1"/>
  <c r="H129" i="7"/>
  <c r="I129" i="7" s="1"/>
  <c r="J129" i="7" s="1"/>
  <c r="S67" i="9"/>
  <c r="G66" i="7" s="1"/>
  <c r="J103" i="7"/>
  <c r="L103" i="7" s="1"/>
  <c r="H130" i="7"/>
  <c r="I130" i="7" s="1"/>
  <c r="J130" i="7" s="1"/>
  <c r="S77" i="9"/>
  <c r="G76" i="7" s="1"/>
  <c r="T47" i="9"/>
  <c r="D74" i="7" s="1"/>
  <c r="R47" i="9"/>
  <c r="U47" i="9" s="1"/>
  <c r="T84" i="9"/>
  <c r="AM84" i="9"/>
  <c r="T40" i="9"/>
  <c r="D67" i="7" s="1"/>
  <c r="R40" i="9"/>
  <c r="U40" i="9" s="1"/>
  <c r="T45" i="9"/>
  <c r="D72" i="7" s="1"/>
  <c r="R45" i="9"/>
  <c r="U45" i="9" s="1"/>
  <c r="E185" i="7"/>
  <c r="D49" i="7"/>
  <c r="H49" i="7" s="1"/>
  <c r="F23" i="7"/>
  <c r="T108" i="9"/>
  <c r="H79" i="7" s="1"/>
  <c r="R108" i="9"/>
  <c r="U108" i="9" s="1"/>
  <c r="F70" i="7"/>
  <c r="R71" i="9"/>
  <c r="U71" i="9" s="1"/>
  <c r="T78" i="9"/>
  <c r="F77" i="7" s="1"/>
  <c r="R78" i="9"/>
  <c r="U78" i="9" s="1"/>
  <c r="E187" i="7"/>
  <c r="D51" i="7"/>
  <c r="H51" i="7" s="1"/>
  <c r="F25" i="7"/>
  <c r="T79" i="9"/>
  <c r="F78" i="7" s="1"/>
  <c r="R79" i="9"/>
  <c r="U79" i="9" s="1"/>
  <c r="D185" i="7"/>
  <c r="E49" i="7"/>
  <c r="D183" i="7"/>
  <c r="E47" i="7"/>
  <c r="E43" i="7"/>
  <c r="D179" i="7"/>
  <c r="AH7" i="9"/>
  <c r="U7" i="9"/>
  <c r="E51" i="7"/>
  <c r="D187" i="7"/>
  <c r="AM53" i="9"/>
  <c r="AL91" i="9"/>
  <c r="AL64" i="9"/>
  <c r="AG63" i="9"/>
  <c r="AH63" i="9" s="1"/>
  <c r="AI63" i="9" s="1"/>
  <c r="AM63" i="9"/>
  <c r="AM34" i="9"/>
  <c r="AN34" i="9" s="1"/>
  <c r="AO34" i="9" s="1"/>
  <c r="AG34" i="9"/>
  <c r="AH34" i="9" s="1"/>
  <c r="AI34" i="9" s="1"/>
  <c r="J98" i="7"/>
  <c r="L98" i="7" s="1"/>
  <c r="H125" i="7"/>
  <c r="I125" i="7" s="1"/>
  <c r="J125" i="7" s="1"/>
  <c r="R48" i="9"/>
  <c r="U48" i="9" s="1"/>
  <c r="S48" i="9"/>
  <c r="E75" i="7" s="1"/>
  <c r="J109" i="7"/>
  <c r="L109" i="7" s="1"/>
  <c r="H136" i="7"/>
  <c r="I136" i="7" s="1"/>
  <c r="J136" i="7" s="1"/>
  <c r="J91" i="7"/>
  <c r="L91" i="7" s="1"/>
  <c r="H118" i="7"/>
  <c r="I118" i="7" s="1"/>
  <c r="J118" i="7" s="1"/>
  <c r="S110" i="9"/>
  <c r="I81" i="7" s="1"/>
  <c r="R75" i="9"/>
  <c r="U75" i="9" s="1"/>
  <c r="S75" i="9"/>
  <c r="G74" i="7" s="1"/>
  <c r="T38" i="9"/>
  <c r="D65" i="7" s="1"/>
  <c r="R38" i="9"/>
  <c r="U38" i="9" s="1"/>
  <c r="E174" i="7"/>
  <c r="D38" i="7"/>
  <c r="H38" i="7" s="1"/>
  <c r="F12" i="7"/>
  <c r="T111" i="9"/>
  <c r="H82" i="7" s="1"/>
  <c r="R111" i="9"/>
  <c r="U111" i="9" s="1"/>
  <c r="T112" i="9"/>
  <c r="AM112" i="9"/>
  <c r="T68" i="9"/>
  <c r="F67" i="7" s="1"/>
  <c r="R68" i="9"/>
  <c r="U68" i="9" s="1"/>
  <c r="T55" i="9"/>
  <c r="D82" i="7" s="1"/>
  <c r="J82" i="7" s="1"/>
  <c r="R55" i="9"/>
  <c r="U55" i="9" s="1"/>
  <c r="AM50" i="9"/>
  <c r="T50" i="9"/>
  <c r="D77" i="7" s="1"/>
  <c r="R50" i="9"/>
  <c r="U50" i="9" s="1"/>
  <c r="T97" i="9"/>
  <c r="H68" i="7" s="1"/>
  <c r="R97" i="9"/>
  <c r="U97" i="9" s="1"/>
  <c r="T72" i="9"/>
  <c r="F71" i="7" s="1"/>
  <c r="R72" i="9"/>
  <c r="U72" i="9" s="1"/>
  <c r="E41" i="7"/>
  <c r="D177" i="7"/>
  <c r="E45" i="7"/>
  <c r="D181" i="7"/>
  <c r="E53" i="7"/>
  <c r="D189" i="7"/>
  <c r="E168" i="7"/>
  <c r="D32" i="7"/>
  <c r="H32" i="7" s="1"/>
  <c r="F6" i="7"/>
  <c r="J101" i="7"/>
  <c r="L101" i="7" s="1"/>
  <c r="H128" i="7"/>
  <c r="I128" i="7" s="1"/>
  <c r="J128" i="7" s="1"/>
  <c r="AM92" i="9"/>
  <c r="AG92" i="9"/>
  <c r="AH92" i="9" s="1"/>
  <c r="AI92" i="9" s="1"/>
  <c r="AM35" i="9"/>
  <c r="AG35" i="9"/>
  <c r="AH35" i="9" s="1"/>
  <c r="AI35" i="9" s="1"/>
  <c r="AL63" i="9"/>
  <c r="S40" i="9"/>
  <c r="E67" i="7" s="1"/>
  <c r="J93" i="7"/>
  <c r="L93" i="7" s="1"/>
  <c r="H120" i="7"/>
  <c r="I120" i="7" s="1"/>
  <c r="J120" i="7" s="1"/>
  <c r="S93" i="9"/>
  <c r="I64" i="7" s="1"/>
  <c r="T106" i="9"/>
  <c r="H77" i="7" s="1"/>
  <c r="R106" i="9"/>
  <c r="U106" i="9" s="1"/>
  <c r="T96" i="9"/>
  <c r="H67" i="7" s="1"/>
  <c r="R96" i="9"/>
  <c r="U96" i="9" s="1"/>
  <c r="T42" i="9"/>
  <c r="D69" i="7" s="1"/>
  <c r="R42" i="9"/>
  <c r="U42" i="9" s="1"/>
  <c r="AM104" i="9"/>
  <c r="T104" i="9"/>
  <c r="H75" i="7" s="1"/>
  <c r="R104" i="9"/>
  <c r="U104" i="9" s="1"/>
  <c r="E188" i="7"/>
  <c r="D52" i="7"/>
  <c r="H52" i="7" s="1"/>
  <c r="F26" i="7"/>
  <c r="E182" i="7"/>
  <c r="D46" i="7"/>
  <c r="H46" i="7" s="1"/>
  <c r="F20" i="7"/>
  <c r="T83" i="9"/>
  <c r="F82" i="7" s="1"/>
  <c r="R83" i="9"/>
  <c r="U83" i="9" s="1"/>
  <c r="T81" i="9"/>
  <c r="F80" i="7" s="1"/>
  <c r="R81" i="9"/>
  <c r="U81" i="9" s="1"/>
  <c r="T49" i="9"/>
  <c r="D76" i="7" s="1"/>
  <c r="R49" i="9"/>
  <c r="U49" i="9" s="1"/>
  <c r="D173" i="7"/>
  <c r="E37" i="7"/>
  <c r="E38" i="7"/>
  <c r="D174" i="7"/>
  <c r="E31" i="7"/>
  <c r="I31" i="7" s="1"/>
  <c r="D167" i="7"/>
  <c r="T44" i="9"/>
  <c r="D71" i="7" s="1"/>
  <c r="R44" i="9"/>
  <c r="U44" i="9" s="1"/>
  <c r="E46" i="7"/>
  <c r="D182" i="7"/>
  <c r="AM77" i="9"/>
  <c r="AL89" i="9"/>
  <c r="AL33" i="9"/>
  <c r="S84" i="9"/>
  <c r="AL84" i="9"/>
  <c r="AN84" i="9" s="1"/>
  <c r="AO84" i="9" s="1"/>
  <c r="S71" i="9"/>
  <c r="G70" i="7" s="1"/>
  <c r="S99" i="9"/>
  <c r="I70" i="7" s="1"/>
  <c r="S81" i="9"/>
  <c r="G80" i="7" s="1"/>
  <c r="J105" i="7"/>
  <c r="L105" i="7" s="1"/>
  <c r="H132" i="7"/>
  <c r="I132" i="7" s="1"/>
  <c r="J132" i="7" s="1"/>
  <c r="S80" i="9"/>
  <c r="G79" i="7" s="1"/>
  <c r="T70" i="9"/>
  <c r="F69" i="7" s="1"/>
  <c r="R70" i="9"/>
  <c r="U70" i="9" s="1"/>
  <c r="T80" i="9"/>
  <c r="F79" i="7" s="1"/>
  <c r="R80" i="9"/>
  <c r="U80" i="9" s="1"/>
  <c r="T46" i="9"/>
  <c r="D73" i="7" s="1"/>
  <c r="R46" i="9"/>
  <c r="U46" i="9" s="1"/>
  <c r="T56" i="9"/>
  <c r="R56" i="9"/>
  <c r="U56" i="9" s="1"/>
  <c r="T67" i="9"/>
  <c r="F66" i="7" s="1"/>
  <c r="R67" i="9"/>
  <c r="U67" i="9" s="1"/>
  <c r="D45" i="7"/>
  <c r="H45" i="7" s="1"/>
  <c r="E181" i="7"/>
  <c r="F19" i="7"/>
  <c r="D41" i="7"/>
  <c r="H41" i="7" s="1"/>
  <c r="E177" i="7"/>
  <c r="F15" i="7"/>
  <c r="AM99" i="9"/>
  <c r="T99" i="9"/>
  <c r="H70" i="7" s="1"/>
  <c r="R99" i="9"/>
  <c r="U99" i="9" s="1"/>
  <c r="T54" i="9"/>
  <c r="D81" i="7" s="1"/>
  <c r="R54" i="9"/>
  <c r="U54" i="9" s="1"/>
  <c r="E39" i="7"/>
  <c r="D175" i="7"/>
  <c r="E33" i="7"/>
  <c r="I33" i="7" s="1"/>
  <c r="D169" i="7"/>
  <c r="J90" i="7"/>
  <c r="L90" i="7" s="1"/>
  <c r="H117" i="7"/>
  <c r="I117" i="7" s="1"/>
  <c r="J117" i="7" s="1"/>
  <c r="R98" i="9"/>
  <c r="U98" i="9" s="1"/>
  <c r="S98" i="9"/>
  <c r="I69" i="7" s="1"/>
  <c r="AM37" i="9"/>
  <c r="T37" i="9"/>
  <c r="D64" i="7" s="1"/>
  <c r="R37" i="9"/>
  <c r="U37" i="9" s="1"/>
  <c r="T101" i="9"/>
  <c r="H72" i="7" s="1"/>
  <c r="R101" i="9"/>
  <c r="U101" i="9" s="1"/>
  <c r="T103" i="9"/>
  <c r="H74" i="7" s="1"/>
  <c r="R103" i="9"/>
  <c r="U103" i="9" s="1"/>
  <c r="E179" i="7"/>
  <c r="D43" i="7"/>
  <c r="H43" i="7" s="1"/>
  <c r="F17" i="7"/>
  <c r="T100" i="9"/>
  <c r="H71" i="7" s="1"/>
  <c r="R100" i="9"/>
  <c r="U100" i="9" s="1"/>
  <c r="AM75" i="9"/>
  <c r="AM64" i="9"/>
  <c r="AG64" i="9"/>
  <c r="AH64" i="9" s="1"/>
  <c r="AI64" i="9" s="1"/>
  <c r="AM62" i="9"/>
  <c r="AN62" i="9" s="1"/>
  <c r="AO62" i="9" s="1"/>
  <c r="AG62" i="9"/>
  <c r="AH62" i="9" s="1"/>
  <c r="AI62" i="9" s="1"/>
  <c r="S112" i="9"/>
  <c r="AL112" i="9"/>
  <c r="AN112" i="9" s="1"/>
  <c r="AO112" i="9" s="1"/>
  <c r="R74" i="9"/>
  <c r="U74" i="9" s="1"/>
  <c r="S74" i="9"/>
  <c r="G73" i="7" s="1"/>
  <c r="J94" i="7"/>
  <c r="L94" i="7" s="1"/>
  <c r="H121" i="7"/>
  <c r="I121" i="7" s="1"/>
  <c r="J121" i="7" s="1"/>
  <c r="R109" i="9"/>
  <c r="U109" i="9" s="1"/>
  <c r="S109" i="9"/>
  <c r="I80" i="7" s="1"/>
  <c r="J96" i="7"/>
  <c r="L96" i="7" s="1"/>
  <c r="H123" i="7"/>
  <c r="I123" i="7" s="1"/>
  <c r="J123" i="7" s="1"/>
  <c r="AM65" i="9"/>
  <c r="T65" i="9"/>
  <c r="F64" i="7" s="1"/>
  <c r="R65" i="9"/>
  <c r="U65" i="9" s="1"/>
  <c r="E180" i="7"/>
  <c r="D44" i="7"/>
  <c r="H44" i="7" s="1"/>
  <c r="T95" i="9"/>
  <c r="H66" i="7" s="1"/>
  <c r="R95" i="9"/>
  <c r="U95" i="9" s="1"/>
  <c r="E175" i="7"/>
  <c r="D39" i="7"/>
  <c r="H39" i="7" s="1"/>
  <c r="F13" i="7"/>
  <c r="T41" i="9"/>
  <c r="D68" i="7" s="1"/>
  <c r="R41" i="9"/>
  <c r="U41" i="9" s="1"/>
  <c r="T94" i="9"/>
  <c r="H65" i="7" s="1"/>
  <c r="R94" i="9"/>
  <c r="U94" i="9" s="1"/>
  <c r="E173" i="7"/>
  <c r="D37" i="7"/>
  <c r="H37" i="7" s="1"/>
  <c r="F11" i="7"/>
  <c r="D48" i="7"/>
  <c r="H48" i="7" s="1"/>
  <c r="E184" i="7"/>
  <c r="F22" i="7"/>
  <c r="T51" i="9"/>
  <c r="D78" i="7" s="1"/>
  <c r="R51" i="9"/>
  <c r="U51" i="9" s="1"/>
  <c r="F18" i="7"/>
  <c r="E44" i="7"/>
  <c r="D180" i="7"/>
  <c r="E34" i="7"/>
  <c r="I34" i="7" s="1"/>
  <c r="D170" i="7"/>
  <c r="F14" i="7"/>
  <c r="E40" i="7"/>
  <c r="D176" i="7"/>
  <c r="U5" i="9"/>
  <c r="AH5" i="9"/>
  <c r="F7" i="7"/>
  <c r="D33" i="7"/>
  <c r="H33" i="7" s="1"/>
  <c r="E169" i="7"/>
  <c r="R69" i="9"/>
  <c r="U69" i="9" s="1"/>
  <c r="S69" i="9"/>
  <c r="G68" i="7" s="1"/>
  <c r="T77" i="9"/>
  <c r="F76" i="7" s="1"/>
  <c r="R77" i="9"/>
  <c r="U77" i="9" s="1"/>
  <c r="E35" i="7"/>
  <c r="I35" i="7" s="1"/>
  <c r="J35" i="7" s="1"/>
  <c r="D171" i="7"/>
  <c r="AM100" i="9"/>
  <c r="AM103" i="9"/>
  <c r="AL92" i="9"/>
  <c r="AN92" i="9" s="1"/>
  <c r="AO92" i="9" s="1"/>
  <c r="AN5" i="9"/>
  <c r="AO5" i="9" s="1"/>
  <c r="H126" i="7"/>
  <c r="I126" i="7" s="1"/>
  <c r="J126" i="7" s="1"/>
  <c r="J99" i="7"/>
  <c r="L99" i="7" s="1"/>
  <c r="S49" i="9"/>
  <c r="E76" i="7" s="1"/>
  <c r="S100" i="9"/>
  <c r="I71" i="7" s="1"/>
  <c r="J104" i="7"/>
  <c r="L104" i="7" s="1"/>
  <c r="H131" i="7"/>
  <c r="I131" i="7" s="1"/>
  <c r="J131" i="7" s="1"/>
  <c r="S39" i="9"/>
  <c r="E66" i="7" s="1"/>
  <c r="AM93" i="9"/>
  <c r="T93" i="9"/>
  <c r="H64" i="7" s="1"/>
  <c r="R93" i="9"/>
  <c r="U93" i="9" s="1"/>
  <c r="T107" i="9"/>
  <c r="H78" i="7" s="1"/>
  <c r="R107" i="9"/>
  <c r="U107" i="9" s="1"/>
  <c r="T52" i="9"/>
  <c r="D79" i="7" s="1"/>
  <c r="R52" i="9"/>
  <c r="U52" i="9" s="1"/>
  <c r="D47" i="7"/>
  <c r="H47" i="7" s="1"/>
  <c r="E183" i="7"/>
  <c r="F21" i="7"/>
  <c r="T102" i="9"/>
  <c r="H73" i="7" s="1"/>
  <c r="R102" i="9"/>
  <c r="U102" i="9" s="1"/>
  <c r="T43" i="9"/>
  <c r="D70" i="7" s="1"/>
  <c r="R43" i="9"/>
  <c r="U43" i="9" s="1"/>
  <c r="T39" i="9"/>
  <c r="D66" i="7" s="1"/>
  <c r="R39" i="9"/>
  <c r="U39" i="9" s="1"/>
  <c r="T73" i="9"/>
  <c r="F72" i="7" s="1"/>
  <c r="R73" i="9"/>
  <c r="U73" i="9" s="1"/>
  <c r="E186" i="7"/>
  <c r="D50" i="7"/>
  <c r="H50" i="7" s="1"/>
  <c r="E32" i="7"/>
  <c r="I32" i="7" s="1"/>
  <c r="D168" i="7"/>
  <c r="E52" i="7"/>
  <c r="D188" i="7"/>
  <c r="E48" i="7"/>
  <c r="D184" i="7"/>
  <c r="J88" i="7"/>
  <c r="L88" i="7" s="1"/>
  <c r="H115" i="7"/>
  <c r="I115" i="7" s="1"/>
  <c r="J115" i="7" s="1"/>
  <c r="AE88" i="10"/>
  <c r="R91" i="12"/>
  <c r="AH4" i="9"/>
  <c r="U4" i="9"/>
  <c r="AC61" i="10"/>
  <c r="AE61" i="10" s="1"/>
  <c r="R64" i="12"/>
  <c r="AA64" i="12" s="1"/>
  <c r="AM89" i="9"/>
  <c r="AN89" i="9" s="1"/>
  <c r="AO89" i="9" s="1"/>
  <c r="AG89" i="9"/>
  <c r="AH89" i="9" s="1"/>
  <c r="AI89" i="9" s="1"/>
  <c r="AM61" i="9"/>
  <c r="AG61" i="9"/>
  <c r="AH61" i="9" s="1"/>
  <c r="AI61" i="9" s="1"/>
  <c r="H114" i="7"/>
  <c r="I114" i="7" s="1"/>
  <c r="AC7" i="10"/>
  <c r="D203" i="7"/>
  <c r="R7" i="12"/>
  <c r="AA7" i="12" s="1"/>
  <c r="AM33" i="9"/>
  <c r="AG33" i="9"/>
  <c r="AH33" i="9" s="1"/>
  <c r="AI33" i="9" s="1"/>
  <c r="Z27" i="10"/>
  <c r="AD27" i="10" s="1"/>
  <c r="Z26" i="10"/>
  <c r="AD26" i="10" s="1"/>
  <c r="D82" i="12"/>
  <c r="K129" i="12"/>
  <c r="G159" i="12"/>
  <c r="G164" i="12"/>
  <c r="K134" i="12"/>
  <c r="G174" i="12"/>
  <c r="K144" i="12"/>
  <c r="G171" i="12"/>
  <c r="K141" i="12"/>
  <c r="K137" i="12"/>
  <c r="G167" i="12"/>
  <c r="J89" i="10"/>
  <c r="G127" i="12"/>
  <c r="G166" i="12"/>
  <c r="K136" i="12"/>
  <c r="G163" i="12"/>
  <c r="K133" i="12"/>
  <c r="G172" i="12"/>
  <c r="K142" i="12"/>
  <c r="G168" i="12"/>
  <c r="K138" i="12"/>
  <c r="G158" i="12"/>
  <c r="K128" i="12"/>
  <c r="G170" i="12"/>
  <c r="K140" i="12"/>
  <c r="G160" i="12"/>
  <c r="K130" i="12"/>
  <c r="G169" i="12"/>
  <c r="K139" i="12"/>
  <c r="G162" i="12"/>
  <c r="K132" i="12"/>
  <c r="G161" i="12"/>
  <c r="K131" i="12"/>
  <c r="G173" i="12"/>
  <c r="K143" i="12"/>
  <c r="K145" i="12"/>
  <c r="G175" i="12"/>
  <c r="G165" i="12"/>
  <c r="K135" i="12"/>
  <c r="D105" i="12"/>
  <c r="P104" i="10"/>
  <c r="D97" i="12"/>
  <c r="P96" i="10"/>
  <c r="D104" i="12"/>
  <c r="P103" i="10"/>
  <c r="D93" i="12"/>
  <c r="P92" i="10"/>
  <c r="D103" i="12"/>
  <c r="P102" i="10"/>
  <c r="D92" i="12"/>
  <c r="P91" i="10"/>
  <c r="D107" i="12"/>
  <c r="P106" i="10"/>
  <c r="D102" i="12"/>
  <c r="P101" i="10"/>
  <c r="D109" i="12"/>
  <c r="P108" i="10"/>
  <c r="D98" i="12"/>
  <c r="P97" i="10"/>
  <c r="D94" i="12"/>
  <c r="P93" i="10"/>
  <c r="D108" i="12"/>
  <c r="P107" i="10"/>
  <c r="D96" i="12"/>
  <c r="P95" i="10"/>
  <c r="D95" i="12"/>
  <c r="P94" i="10"/>
  <c r="D99" i="12"/>
  <c r="P98" i="10"/>
  <c r="D106" i="12"/>
  <c r="P105" i="10"/>
  <c r="D101" i="12"/>
  <c r="P100" i="10"/>
  <c r="D91" i="12"/>
  <c r="P90" i="10"/>
  <c r="D100" i="12"/>
  <c r="P99" i="10"/>
  <c r="P54" i="10"/>
  <c r="P74" i="10"/>
  <c r="D71" i="12"/>
  <c r="P69" i="10"/>
  <c r="P81" i="10"/>
  <c r="D72" i="12"/>
  <c r="P70" i="10"/>
  <c r="D40" i="12"/>
  <c r="P39" i="10"/>
  <c r="D68" i="12"/>
  <c r="P66" i="10"/>
  <c r="D77" i="12"/>
  <c r="P75" i="10"/>
  <c r="D79" i="12"/>
  <c r="P77" i="10"/>
  <c r="D54" i="12"/>
  <c r="P53" i="10"/>
  <c r="D80" i="12"/>
  <c r="P78" i="10"/>
  <c r="D65" i="12"/>
  <c r="P63" i="10"/>
  <c r="D37" i="12"/>
  <c r="P36" i="10"/>
  <c r="D38" i="12"/>
  <c r="P37" i="10"/>
  <c r="D70" i="12"/>
  <c r="P68" i="10"/>
  <c r="D51" i="12"/>
  <c r="D73" i="12"/>
  <c r="P71" i="10"/>
  <c r="D66" i="12"/>
  <c r="P64" i="10"/>
  <c r="D67" i="12"/>
  <c r="P65" i="10"/>
  <c r="D50" i="12"/>
  <c r="P49" i="10"/>
  <c r="D39" i="12"/>
  <c r="P38" i="10"/>
  <c r="D47" i="12"/>
  <c r="P46" i="10"/>
  <c r="D78" i="12"/>
  <c r="P76" i="10"/>
  <c r="D49" i="12"/>
  <c r="P48" i="10"/>
  <c r="P50" i="10"/>
  <c r="D81" i="12"/>
  <c r="P79" i="10"/>
  <c r="D74" i="12"/>
  <c r="P72" i="10"/>
  <c r="D53" i="12"/>
  <c r="P52" i="10"/>
  <c r="D75" i="12"/>
  <c r="P73" i="10"/>
  <c r="D52" i="12"/>
  <c r="P51" i="10"/>
  <c r="D46" i="12"/>
  <c r="P45" i="10"/>
  <c r="P80" i="10"/>
  <c r="D44" i="12"/>
  <c r="P43" i="10"/>
  <c r="J62" i="10"/>
  <c r="J35" i="10"/>
  <c r="D43" i="12"/>
  <c r="D48" i="12"/>
  <c r="P47" i="10"/>
  <c r="D76" i="12"/>
  <c r="D42" i="12"/>
  <c r="P41" i="10"/>
  <c r="D69" i="12"/>
  <c r="P67" i="10"/>
  <c r="D41" i="12"/>
  <c r="P40" i="10"/>
  <c r="P42" i="10"/>
  <c r="D45" i="12"/>
  <c r="P44" i="10"/>
  <c r="V9" i="12"/>
  <c r="D8" i="12"/>
  <c r="V16" i="12"/>
  <c r="V26" i="12"/>
  <c r="V12" i="12"/>
  <c r="V22" i="12"/>
  <c r="V17" i="12"/>
  <c r="V18" i="12"/>
  <c r="V20" i="12"/>
  <c r="V23" i="12"/>
  <c r="V14" i="12"/>
  <c r="V19" i="12"/>
  <c r="V10" i="12"/>
  <c r="V13" i="12"/>
  <c r="V15" i="12"/>
  <c r="V21" i="12"/>
  <c r="V24" i="12"/>
  <c r="V11" i="12"/>
  <c r="V25" i="12"/>
  <c r="J81" i="7" l="1"/>
  <c r="J66" i="7"/>
  <c r="J76" i="7"/>
  <c r="AN35" i="9"/>
  <c r="AO35" i="9" s="1"/>
  <c r="AN61" i="9"/>
  <c r="AO61" i="9" s="1"/>
  <c r="J70" i="7"/>
  <c r="J78" i="7"/>
  <c r="AN91" i="9"/>
  <c r="AO91" i="9" s="1"/>
  <c r="J77" i="7"/>
  <c r="AN63" i="9"/>
  <c r="AO63" i="9" s="1"/>
  <c r="J74" i="7"/>
  <c r="J80" i="7"/>
  <c r="AI5" i="9"/>
  <c r="AK5" i="9"/>
  <c r="AI7" i="9"/>
  <c r="AK7" i="9"/>
  <c r="AI4" i="9"/>
  <c r="AK4" i="9"/>
  <c r="K72" i="7"/>
  <c r="F179" i="7"/>
  <c r="J64" i="7"/>
  <c r="F170" i="7"/>
  <c r="K63" i="7"/>
  <c r="L63" i="7" s="1"/>
  <c r="F172" i="7"/>
  <c r="K65" i="7"/>
  <c r="F171" i="7"/>
  <c r="K64" i="7"/>
  <c r="J79" i="7"/>
  <c r="F168" i="7"/>
  <c r="K61" i="7"/>
  <c r="L61" i="7" s="1"/>
  <c r="F174" i="7"/>
  <c r="K67" i="7"/>
  <c r="J32" i="7"/>
  <c r="K69" i="7"/>
  <c r="F176" i="7"/>
  <c r="F184" i="7"/>
  <c r="K77" i="7"/>
  <c r="F181" i="7"/>
  <c r="K74" i="7"/>
  <c r="J73" i="7"/>
  <c r="J72" i="7"/>
  <c r="J68" i="7"/>
  <c r="F182" i="7"/>
  <c r="K75" i="7"/>
  <c r="K79" i="7"/>
  <c r="F186" i="7"/>
  <c r="F189" i="7"/>
  <c r="K82" i="7"/>
  <c r="L82" i="7" s="1"/>
  <c r="J33" i="7"/>
  <c r="F175" i="7"/>
  <c r="K68" i="7"/>
  <c r="J67" i="7"/>
  <c r="F183" i="7"/>
  <c r="K76" i="7"/>
  <c r="L76" i="7" s="1"/>
  <c r="K62" i="7"/>
  <c r="L62" i="7" s="1"/>
  <c r="F169" i="7"/>
  <c r="K66" i="7"/>
  <c r="F173" i="7"/>
  <c r="J71" i="7"/>
  <c r="J69" i="7"/>
  <c r="J65" i="7"/>
  <c r="J75" i="7"/>
  <c r="F187" i="7"/>
  <c r="K80" i="7"/>
  <c r="K73" i="7"/>
  <c r="F180" i="7"/>
  <c r="F177" i="7"/>
  <c r="K70" i="7"/>
  <c r="AN33" i="9"/>
  <c r="AO33" i="9" s="1"/>
  <c r="K141" i="7" a="1"/>
  <c r="K141" i="7" s="1"/>
  <c r="F188" i="7"/>
  <c r="K81" i="7"/>
  <c r="L81" i="7" s="1"/>
  <c r="AN64" i="9"/>
  <c r="AO64" i="9" s="1"/>
  <c r="F185" i="7"/>
  <c r="K78" i="7"/>
  <c r="F178" i="7"/>
  <c r="K71" i="7"/>
  <c r="J34" i="7"/>
  <c r="AA89" i="10"/>
  <c r="AC89" i="10" s="1"/>
  <c r="R92" i="12" s="1"/>
  <c r="S91" i="12"/>
  <c r="J114" i="7"/>
  <c r="AA62" i="10"/>
  <c r="S63" i="12"/>
  <c r="P89" i="10"/>
  <c r="E167" i="7"/>
  <c r="D31" i="7"/>
  <c r="H31" i="7" s="1"/>
  <c r="J31" i="7" s="1"/>
  <c r="F5" i="7"/>
  <c r="AE7" i="10"/>
  <c r="F203" i="7"/>
  <c r="L126" i="12"/>
  <c r="L156" i="12" s="1"/>
  <c r="AA91" i="12"/>
  <c r="D90" i="12"/>
  <c r="V90" i="12" s="1"/>
  <c r="K161" i="12"/>
  <c r="K165" i="12"/>
  <c r="K162" i="12"/>
  <c r="K158" i="12"/>
  <c r="K166" i="12"/>
  <c r="K174" i="12"/>
  <c r="K163" i="12"/>
  <c r="K169" i="12"/>
  <c r="K168" i="12"/>
  <c r="G157" i="12"/>
  <c r="K127" i="12"/>
  <c r="K157" i="12" s="1"/>
  <c r="K164" i="12"/>
  <c r="K171" i="12"/>
  <c r="K175" i="12"/>
  <c r="K173" i="12"/>
  <c r="K160" i="12"/>
  <c r="K172" i="12"/>
  <c r="K170" i="12"/>
  <c r="K167" i="12"/>
  <c r="K159" i="12"/>
  <c r="M127" i="12"/>
  <c r="G204" i="7"/>
  <c r="V110" i="12"/>
  <c r="V106" i="12"/>
  <c r="V108" i="12"/>
  <c r="V102" i="12"/>
  <c r="V93" i="12"/>
  <c r="Q91" i="12"/>
  <c r="V91" i="12"/>
  <c r="V99" i="12"/>
  <c r="V94" i="12"/>
  <c r="V107" i="12"/>
  <c r="V104" i="12"/>
  <c r="V95" i="12"/>
  <c r="V98" i="12"/>
  <c r="Q92" i="12"/>
  <c r="V92" i="12"/>
  <c r="V97" i="12"/>
  <c r="V100" i="12"/>
  <c r="V101" i="12"/>
  <c r="V96" i="12"/>
  <c r="V109" i="12"/>
  <c r="V103" i="12"/>
  <c r="V105" i="12"/>
  <c r="V51" i="12"/>
  <c r="V76" i="12"/>
  <c r="D64" i="12"/>
  <c r="P62" i="10"/>
  <c r="V82" i="12"/>
  <c r="V77" i="12"/>
  <c r="V69" i="12"/>
  <c r="V75" i="12"/>
  <c r="V81" i="12"/>
  <c r="V47" i="12"/>
  <c r="V66" i="12"/>
  <c r="V71" i="12"/>
  <c r="V42" i="12"/>
  <c r="V78" i="12"/>
  <c r="V45" i="12"/>
  <c r="V48" i="12"/>
  <c r="V46" i="12"/>
  <c r="V80" i="12"/>
  <c r="V68" i="12"/>
  <c r="D36" i="12"/>
  <c r="P35" i="10"/>
  <c r="AD35" i="10" s="1"/>
  <c r="AE35" i="10" s="1"/>
  <c r="V43" i="12"/>
  <c r="V53" i="12"/>
  <c r="V39" i="12"/>
  <c r="V50" i="12"/>
  <c r="V70" i="12"/>
  <c r="V38" i="12"/>
  <c r="V37" i="12"/>
  <c r="V44" i="12"/>
  <c r="V52" i="12"/>
  <c r="V49" i="12"/>
  <c r="V54" i="12"/>
  <c r="V40" i="12"/>
  <c r="V41" i="12"/>
  <c r="V73" i="12"/>
  <c r="V65" i="12"/>
  <c r="V74" i="12"/>
  <c r="V67" i="12"/>
  <c r="V79" i="12"/>
  <c r="V72" i="12"/>
  <c r="V8" i="12"/>
  <c r="L66" i="7" l="1"/>
  <c r="L78" i="7"/>
  <c r="L70" i="7"/>
  <c r="L80" i="7"/>
  <c r="L74" i="7"/>
  <c r="L77" i="7"/>
  <c r="L71" i="7"/>
  <c r="L79" i="7"/>
  <c r="L68" i="7"/>
  <c r="L75" i="7"/>
  <c r="L67" i="7"/>
  <c r="L72" i="7"/>
  <c r="H203" i="7"/>
  <c r="AG7" i="10"/>
  <c r="L64" i="7"/>
  <c r="L73" i="7"/>
  <c r="L65" i="7"/>
  <c r="L69" i="7"/>
  <c r="F167" i="7"/>
  <c r="K60" i="7"/>
  <c r="L60" i="7" s="1"/>
  <c r="AC62" i="10"/>
  <c r="R65" i="12"/>
  <c r="AA65" i="12" s="1"/>
  <c r="AA8" i="10"/>
  <c r="S7" i="12"/>
  <c r="N126" i="12"/>
  <c r="M156" i="12" s="1"/>
  <c r="Q90" i="12"/>
  <c r="V64" i="12"/>
  <c r="Q64" i="12"/>
  <c r="S36" i="12"/>
  <c r="AA36" i="10"/>
  <c r="V36" i="12"/>
  <c r="Q36" i="12"/>
  <c r="Z66" i="12"/>
  <c r="Z38" i="12"/>
  <c r="AC8" i="10" l="1"/>
  <c r="D204" i="7"/>
  <c r="R8" i="12"/>
  <c r="AA8" i="12" s="1"/>
  <c r="AC36" i="10"/>
  <c r="R37" i="12"/>
  <c r="AA37" i="12" s="1"/>
  <c r="AE8" i="10" l="1"/>
  <c r="AG8" i="10" s="1"/>
  <c r="F204" i="7"/>
  <c r="L127" i="12"/>
  <c r="L157" i="12" s="1"/>
  <c r="AA92" i="12"/>
  <c r="Z39" i="12"/>
  <c r="Z67" i="12"/>
  <c r="AA9" i="10" l="1"/>
  <c r="N127" i="12"/>
  <c r="M157" i="12" s="1"/>
  <c r="H204" i="7"/>
  <c r="S8" i="12"/>
  <c r="Z40" i="12"/>
  <c r="Z68" i="12"/>
  <c r="AC9" i="10" l="1"/>
  <c r="R9" i="12"/>
  <c r="AA9" i="12" s="1"/>
  <c r="D205" i="7"/>
  <c r="Z69" i="12"/>
  <c r="AE9" i="10" l="1"/>
  <c r="AG9" i="10" s="1"/>
  <c r="L128" i="12"/>
  <c r="L158" i="12" s="1"/>
  <c r="F205" i="7"/>
  <c r="Z41" i="12"/>
  <c r="AA10" i="10" l="1"/>
  <c r="Z42" i="12"/>
  <c r="Z70" i="12"/>
  <c r="AC10" i="10" l="1"/>
  <c r="Z43" i="12"/>
  <c r="Z71" i="12"/>
  <c r="AE10" i="10" l="1"/>
  <c r="AG10" i="10" s="1"/>
  <c r="Z72" i="12"/>
  <c r="AA11" i="10" l="1"/>
  <c r="Z44" i="12"/>
  <c r="AC11" i="10" l="1"/>
  <c r="Z73" i="12"/>
  <c r="Z45" i="12"/>
  <c r="AE11" i="10" l="1"/>
  <c r="AG11" i="10" s="1"/>
  <c r="Z74" i="12"/>
  <c r="AA12" i="10" l="1"/>
  <c r="Z46" i="12"/>
  <c r="AC12" i="10" l="1"/>
  <c r="Z47" i="12"/>
  <c r="Z75" i="12"/>
  <c r="AE12" i="10" l="1"/>
  <c r="AG12" i="10" s="1"/>
  <c r="Z48" i="12"/>
  <c r="Z76" i="12"/>
  <c r="AA13" i="10" l="1"/>
  <c r="Z77" i="12"/>
  <c r="Z49" i="12"/>
  <c r="AC13" i="10" l="1"/>
  <c r="Z78" i="12"/>
  <c r="Z50" i="12"/>
  <c r="AE13" i="10" l="1"/>
  <c r="AG13" i="10" s="1"/>
  <c r="Z51" i="12"/>
  <c r="Z79" i="12"/>
  <c r="AA14" i="10" l="1"/>
  <c r="Z80" i="12"/>
  <c r="AC14" i="10" l="1"/>
  <c r="Z52" i="12"/>
  <c r="AE14" i="10" l="1"/>
  <c r="AG14" i="10" s="1"/>
  <c r="Z53" i="12"/>
  <c r="Z81" i="12"/>
  <c r="AA15" i="10" l="1"/>
  <c r="Z54" i="12"/>
  <c r="Z82" i="12"/>
  <c r="AC15" i="10" l="1"/>
  <c r="S20" i="21"/>
  <c r="T20" i="21"/>
  <c r="U20" i="21"/>
  <c r="S25" i="21"/>
  <c r="D22" i="21"/>
  <c r="D166" i="21" s="1"/>
  <c r="T25" i="21"/>
  <c r="U25" i="21"/>
  <c r="U24" i="21"/>
  <c r="S21" i="21"/>
  <c r="D24" i="21"/>
  <c r="D168" i="21" s="1"/>
  <c r="U21" i="21"/>
  <c r="T21" i="21"/>
  <c r="T24" i="21"/>
  <c r="AE15" i="10" l="1"/>
  <c r="AG15" i="10" s="1"/>
  <c r="T30" i="21"/>
  <c r="U39" i="21" s="1"/>
  <c r="T34" i="21"/>
  <c r="U43" i="21" s="1"/>
  <c r="U33" i="21"/>
  <c r="U30" i="21"/>
  <c r="U34" i="21"/>
  <c r="E33" i="21"/>
  <c r="F42" i="21" s="1"/>
  <c r="G51" i="21" s="1"/>
  <c r="H60" i="21" s="1"/>
  <c r="E31" i="21"/>
  <c r="F40" i="21" s="1"/>
  <c r="G49" i="21" s="1"/>
  <c r="H58" i="21" s="1"/>
  <c r="U29" i="21"/>
  <c r="T29" i="21"/>
  <c r="AA16" i="10" l="1"/>
  <c r="U38" i="21"/>
  <c r="E22" i="21"/>
  <c r="E166" i="21" s="1"/>
  <c r="AC16" i="10" l="1"/>
  <c r="F31" i="21"/>
  <c r="G40" i="21" s="1"/>
  <c r="H49" i="21" s="1"/>
  <c r="I58" i="21" s="1"/>
  <c r="E24" i="21"/>
  <c r="E168" i="21" s="1"/>
  <c r="F22" i="21"/>
  <c r="F166" i="21" s="1"/>
  <c r="AE16" i="10" l="1"/>
  <c r="AG16" i="10" s="1"/>
  <c r="G31" i="21"/>
  <c r="H40" i="21" s="1"/>
  <c r="I49" i="21" s="1"/>
  <c r="J58" i="21" s="1"/>
  <c r="F24" i="21"/>
  <c r="D25" i="21"/>
  <c r="D169" i="21" s="1"/>
  <c r="E164" i="21"/>
  <c r="E25" i="21"/>
  <c r="G22" i="21"/>
  <c r="G166" i="21" s="1"/>
  <c r="F33" i="21"/>
  <c r="G42" i="21" s="1"/>
  <c r="H51" i="21" s="1"/>
  <c r="I60" i="21" s="1"/>
  <c r="D23" i="21"/>
  <c r="D167" i="21" s="1"/>
  <c r="F25" i="21"/>
  <c r="AA17" i="10" l="1"/>
  <c r="F168" i="21"/>
  <c r="E32" i="21"/>
  <c r="F41" i="21" s="1"/>
  <c r="G50" i="21" s="1"/>
  <c r="H59" i="21" s="1"/>
  <c r="F29" i="21"/>
  <c r="G38" i="21" s="1"/>
  <c r="H31" i="21"/>
  <c r="I40" i="21" s="1"/>
  <c r="J49" i="21" s="1"/>
  <c r="K58" i="21" s="1"/>
  <c r="F34" i="21"/>
  <c r="G43" i="21" s="1"/>
  <c r="H52" i="21" s="1"/>
  <c r="I61" i="21" s="1"/>
  <c r="E34" i="21"/>
  <c r="F43" i="21" s="1"/>
  <c r="G52" i="21" s="1"/>
  <c r="H61" i="21" s="1"/>
  <c r="G34" i="21"/>
  <c r="H43" i="21" s="1"/>
  <c r="I52" i="21" s="1"/>
  <c r="J61" i="21" s="1"/>
  <c r="G33" i="21"/>
  <c r="H42" i="21" s="1"/>
  <c r="I51" i="21" s="1"/>
  <c r="J60" i="21" s="1"/>
  <c r="E23" i="21"/>
  <c r="E167" i="21" s="1"/>
  <c r="G25" i="21"/>
  <c r="F164" i="21"/>
  <c r="H22" i="21"/>
  <c r="H166" i="21" s="1"/>
  <c r="G24" i="21"/>
  <c r="D21" i="21"/>
  <c r="D165" i="21" s="1"/>
  <c r="C17" i="21"/>
  <c r="E21" i="21"/>
  <c r="G29" i="21"/>
  <c r="AC17" i="10" l="1"/>
  <c r="D170" i="21"/>
  <c r="E169" i="21"/>
  <c r="G169" i="21"/>
  <c r="L143" i="7"/>
  <c r="F169" i="21"/>
  <c r="G168" i="21"/>
  <c r="H33" i="21"/>
  <c r="I42" i="21" s="1"/>
  <c r="J51" i="21" s="1"/>
  <c r="K60" i="21" s="1"/>
  <c r="F32" i="21"/>
  <c r="G41" i="21" s="1"/>
  <c r="H50" i="21" s="1"/>
  <c r="I59" i="21" s="1"/>
  <c r="I31" i="21"/>
  <c r="J40" i="21" s="1"/>
  <c r="K49" i="21" s="1"/>
  <c r="L58" i="21" s="1"/>
  <c r="H34" i="21"/>
  <c r="I43" i="21" s="1"/>
  <c r="J52" i="21" s="1"/>
  <c r="K61" i="21" s="1"/>
  <c r="H20" i="21"/>
  <c r="H25" i="21"/>
  <c r="H169" i="21" s="1"/>
  <c r="G164" i="21"/>
  <c r="I22" i="21"/>
  <c r="F21" i="21"/>
  <c r="E17" i="21"/>
  <c r="H29" i="21"/>
  <c r="H24" i="21"/>
  <c r="F23" i="21"/>
  <c r="F167" i="21" s="1"/>
  <c r="H38" i="21"/>
  <c r="E30" i="21"/>
  <c r="D26" i="21"/>
  <c r="F30" i="21"/>
  <c r="E26" i="21"/>
  <c r="E165" i="21" l="1"/>
  <c r="E170" i="21" s="1"/>
  <c r="F39" i="21"/>
  <c r="AE17" i="10"/>
  <c r="AG17" i="10" s="1"/>
  <c r="I166" i="21"/>
  <c r="H168" i="21"/>
  <c r="H47" i="21"/>
  <c r="I56" i="21" s="1"/>
  <c r="E175" i="21"/>
  <c r="I34" i="21"/>
  <c r="J43" i="21" s="1"/>
  <c r="K52" i="21" s="1"/>
  <c r="L61" i="21" s="1"/>
  <c r="G32" i="21"/>
  <c r="H41" i="21" s="1"/>
  <c r="I50" i="21" s="1"/>
  <c r="J59" i="21" s="1"/>
  <c r="I33" i="21"/>
  <c r="J42" i="21" s="1"/>
  <c r="K51" i="21" s="1"/>
  <c r="L60" i="21" s="1"/>
  <c r="J31" i="21"/>
  <c r="K40" i="21" s="1"/>
  <c r="L49" i="21" s="1"/>
  <c r="M58" i="21" s="1"/>
  <c r="G39" i="21"/>
  <c r="F35" i="21"/>
  <c r="F176" i="21" s="1"/>
  <c r="J22" i="21"/>
  <c r="I38" i="21"/>
  <c r="G30" i="21"/>
  <c r="F26" i="21"/>
  <c r="I29" i="21"/>
  <c r="G21" i="21"/>
  <c r="F17" i="21"/>
  <c r="I47" i="21"/>
  <c r="I25" i="21"/>
  <c r="I24" i="21"/>
  <c r="G23" i="21"/>
  <c r="I20" i="21"/>
  <c r="F165" i="21"/>
  <c r="F170" i="21" s="1"/>
  <c r="E35" i="21"/>
  <c r="I169" i="21" l="1"/>
  <c r="H164" i="21"/>
  <c r="N144" i="7"/>
  <c r="M143" i="7"/>
  <c r="N143" i="7"/>
  <c r="AA18" i="10"/>
  <c r="I164" i="21"/>
  <c r="I168" i="21"/>
  <c r="J166" i="21"/>
  <c r="G167" i="21"/>
  <c r="F175" i="21"/>
  <c r="K31" i="21"/>
  <c r="L40" i="21" s="1"/>
  <c r="M49" i="21" s="1"/>
  <c r="N58" i="21" s="1"/>
  <c r="J33" i="21"/>
  <c r="K42" i="21" s="1"/>
  <c r="L51" i="21" s="1"/>
  <c r="M60" i="21" s="1"/>
  <c r="H32" i="21"/>
  <c r="I41" i="21" s="1"/>
  <c r="J50" i="21" s="1"/>
  <c r="K59" i="21" s="1"/>
  <c r="J34" i="21"/>
  <c r="K43" i="21" s="1"/>
  <c r="L52" i="21" s="1"/>
  <c r="M61" i="21" s="1"/>
  <c r="H21" i="21"/>
  <c r="G17" i="21"/>
  <c r="H30" i="21"/>
  <c r="G26" i="21"/>
  <c r="H48" i="21"/>
  <c r="G44" i="21"/>
  <c r="G176" i="21" s="1"/>
  <c r="J25" i="21"/>
  <c r="J169" i="21" s="1"/>
  <c r="J38" i="21"/>
  <c r="J24" i="21"/>
  <c r="G48" i="21"/>
  <c r="G165" i="21" s="1"/>
  <c r="F44" i="21"/>
  <c r="K22" i="21"/>
  <c r="H39" i="21"/>
  <c r="G35" i="21"/>
  <c r="J29" i="21"/>
  <c r="J56" i="21"/>
  <c r="H23" i="21"/>
  <c r="J20" i="21"/>
  <c r="J47" i="21"/>
  <c r="G170" i="21" l="1"/>
  <c r="O144" i="7"/>
  <c r="P144" i="7"/>
  <c r="AC18" i="10"/>
  <c r="O143" i="7"/>
  <c r="K166" i="21"/>
  <c r="H167" i="21"/>
  <c r="J168" i="21"/>
  <c r="J164" i="21"/>
  <c r="G175" i="21"/>
  <c r="K33" i="21"/>
  <c r="L42" i="21" s="1"/>
  <c r="M51" i="21" s="1"/>
  <c r="N60" i="21" s="1"/>
  <c r="I32" i="21"/>
  <c r="J41" i="21" s="1"/>
  <c r="K50" i="21" s="1"/>
  <c r="L59" i="21" s="1"/>
  <c r="K34" i="21"/>
  <c r="L43" i="21" s="1"/>
  <c r="M52" i="21" s="1"/>
  <c r="N61" i="21" s="1"/>
  <c r="L22" i="21"/>
  <c r="L166" i="21" s="1"/>
  <c r="K38" i="21"/>
  <c r="I21" i="21"/>
  <c r="H17" i="21"/>
  <c r="L31" i="21"/>
  <c r="M40" i="21" s="1"/>
  <c r="N49" i="21" s="1"/>
  <c r="O58" i="21" s="1"/>
  <c r="I30" i="21"/>
  <c r="H26" i="21"/>
  <c r="K25" i="21"/>
  <c r="K169" i="21" s="1"/>
  <c r="K20" i="21"/>
  <c r="I57" i="21"/>
  <c r="I62" i="21" s="1"/>
  <c r="H53" i="21"/>
  <c r="I39" i="21"/>
  <c r="H35" i="21"/>
  <c r="I23" i="21"/>
  <c r="I167" i="21" s="1"/>
  <c r="K24" i="21"/>
  <c r="K29" i="21"/>
  <c r="K56" i="21"/>
  <c r="I48" i="21"/>
  <c r="H44" i="21"/>
  <c r="H57" i="21"/>
  <c r="H62" i="21" s="1"/>
  <c r="G53" i="21"/>
  <c r="G177" i="21" s="1"/>
  <c r="K47" i="21"/>
  <c r="P145" i="7" l="1"/>
  <c r="P143" i="7"/>
  <c r="AE18" i="10"/>
  <c r="AG18" i="10" s="1"/>
  <c r="K168" i="21"/>
  <c r="I165" i="21"/>
  <c r="I170" i="21" s="1"/>
  <c r="K164" i="21"/>
  <c r="H165" i="21"/>
  <c r="H170" i="21" s="1"/>
  <c r="H175" i="21"/>
  <c r="H177" i="21"/>
  <c r="L33" i="21"/>
  <c r="M42" i="21" s="1"/>
  <c r="N51" i="21" s="1"/>
  <c r="O60" i="21" s="1"/>
  <c r="L29" i="21"/>
  <c r="M38" i="21" s="1"/>
  <c r="L34" i="21"/>
  <c r="M43" i="21" s="1"/>
  <c r="N52" i="21" s="1"/>
  <c r="O61" i="21" s="1"/>
  <c r="J32" i="21"/>
  <c r="K41" i="21" s="1"/>
  <c r="L50" i="21" s="1"/>
  <c r="M59" i="21" s="1"/>
  <c r="M31" i="21"/>
  <c r="N40" i="21" s="1"/>
  <c r="O49" i="21" s="1"/>
  <c r="P58" i="21" s="1"/>
  <c r="L24" i="21"/>
  <c r="J57" i="21"/>
  <c r="J62" i="21" s="1"/>
  <c r="I53" i="21"/>
  <c r="I177" i="21" s="1"/>
  <c r="L20" i="21"/>
  <c r="J23" i="21"/>
  <c r="L56" i="21"/>
  <c r="J39" i="21"/>
  <c r="I35" i="21"/>
  <c r="L25" i="21"/>
  <c r="L169" i="21" s="1"/>
  <c r="J48" i="21"/>
  <c r="I44" i="21"/>
  <c r="L47" i="21"/>
  <c r="L38" i="21"/>
  <c r="J30" i="21"/>
  <c r="I26" i="21"/>
  <c r="M22" i="21"/>
  <c r="M166" i="21" s="1"/>
  <c r="J21" i="21"/>
  <c r="I17" i="21"/>
  <c r="R145" i="7" l="1"/>
  <c r="Q145" i="7"/>
  <c r="Q143" i="7"/>
  <c r="Q144" i="7"/>
  <c r="AA19" i="10"/>
  <c r="L168" i="21"/>
  <c r="J165" i="21"/>
  <c r="J167" i="21"/>
  <c r="L164" i="21"/>
  <c r="I175" i="21"/>
  <c r="M33" i="21"/>
  <c r="N42" i="21" s="1"/>
  <c r="O51" i="21" s="1"/>
  <c r="P60" i="21" s="1"/>
  <c r="M34" i="21"/>
  <c r="N43" i="21" s="1"/>
  <c r="O52" i="21" s="1"/>
  <c r="P61" i="21" s="1"/>
  <c r="K32" i="21"/>
  <c r="L41" i="21" s="1"/>
  <c r="M50" i="21" s="1"/>
  <c r="N59" i="21" s="1"/>
  <c r="N31" i="21"/>
  <c r="O40" i="21" s="1"/>
  <c r="P49" i="21" s="1"/>
  <c r="Q58" i="21" s="1"/>
  <c r="K23" i="21"/>
  <c r="K167" i="21" s="1"/>
  <c r="K39" i="21"/>
  <c r="J35" i="21"/>
  <c r="K57" i="21"/>
  <c r="K62" i="21" s="1"/>
  <c r="J53" i="21"/>
  <c r="J177" i="21" s="1"/>
  <c r="N47" i="21"/>
  <c r="N22" i="21"/>
  <c r="K48" i="21"/>
  <c r="J44" i="21"/>
  <c r="M25" i="21"/>
  <c r="M169" i="21" s="1"/>
  <c r="M20" i="21"/>
  <c r="K30" i="21"/>
  <c r="J26" i="21"/>
  <c r="M56" i="21"/>
  <c r="M24" i="21"/>
  <c r="M168" i="21" s="1"/>
  <c r="K21" i="21"/>
  <c r="J17" i="21"/>
  <c r="M29" i="21"/>
  <c r="M47" i="21"/>
  <c r="N166" i="21" l="1"/>
  <c r="AC19" i="10"/>
  <c r="S145" i="7"/>
  <c r="R143" i="7"/>
  <c r="R144" i="7"/>
  <c r="J170" i="21"/>
  <c r="K165" i="21"/>
  <c r="K170" i="21" s="1"/>
  <c r="M164" i="21"/>
  <c r="J175" i="21"/>
  <c r="N29" i="21"/>
  <c r="O38" i="21" s="1"/>
  <c r="N34" i="21"/>
  <c r="O43" i="21" s="1"/>
  <c r="P52" i="21" s="1"/>
  <c r="Q61" i="21" s="1"/>
  <c r="O31" i="21"/>
  <c r="P40" i="21" s="1"/>
  <c r="Q49" i="21" s="1"/>
  <c r="R58" i="21" s="1"/>
  <c r="L32" i="21"/>
  <c r="M41" i="21" s="1"/>
  <c r="N50" i="21" s="1"/>
  <c r="O59" i="21" s="1"/>
  <c r="L30" i="21"/>
  <c r="K26" i="21"/>
  <c r="L48" i="21"/>
  <c r="K44" i="21"/>
  <c r="O22" i="21"/>
  <c r="O166" i="21" s="1"/>
  <c r="O56" i="21"/>
  <c r="N56" i="21"/>
  <c r="N33" i="21"/>
  <c r="O42" i="21" s="1"/>
  <c r="P51" i="21" s="1"/>
  <c r="N24" i="21"/>
  <c r="N168" i="21" s="1"/>
  <c r="N38" i="21"/>
  <c r="L23" i="21"/>
  <c r="N20" i="21"/>
  <c r="L57" i="21"/>
  <c r="L62" i="21" s="1"/>
  <c r="K53" i="21"/>
  <c r="K177" i="21" s="1"/>
  <c r="L21" i="21"/>
  <c r="K17" i="21"/>
  <c r="N25" i="21"/>
  <c r="N169" i="21" s="1"/>
  <c r="L39" i="21"/>
  <c r="K35" i="21"/>
  <c r="T145" i="7" l="1"/>
  <c r="S143" i="7"/>
  <c r="S144" i="7"/>
  <c r="AE19" i="10"/>
  <c r="AG19" i="10" s="1"/>
  <c r="L165" i="21"/>
  <c r="N164" i="21"/>
  <c r="L167" i="21"/>
  <c r="K175" i="21"/>
  <c r="P31" i="21"/>
  <c r="Q40" i="21" s="1"/>
  <c r="R49" i="21" s="1"/>
  <c r="S58" i="21" s="1"/>
  <c r="O33" i="21"/>
  <c r="P42" i="21" s="1"/>
  <c r="Q51" i="21" s="1"/>
  <c r="R60" i="21" s="1"/>
  <c r="O34" i="21"/>
  <c r="P43" i="21" s="1"/>
  <c r="Q52" i="21" s="1"/>
  <c r="R61" i="21" s="1"/>
  <c r="M32" i="21"/>
  <c r="N41" i="21" s="1"/>
  <c r="O50" i="21" s="1"/>
  <c r="P59" i="21" s="1"/>
  <c r="O20" i="21"/>
  <c r="O24" i="21"/>
  <c r="O168" i="21" s="1"/>
  <c r="P47" i="21"/>
  <c r="Q56" i="21" s="1"/>
  <c r="M57" i="21"/>
  <c r="M62" i="21" s="1"/>
  <c r="L53" i="21"/>
  <c r="L177" i="21" s="1"/>
  <c r="M23" i="21"/>
  <c r="M167" i="21" s="1"/>
  <c r="O47" i="21"/>
  <c r="M39" i="21"/>
  <c r="L35" i="21"/>
  <c r="M21" i="21"/>
  <c r="L17" i="21"/>
  <c r="P22" i="21"/>
  <c r="P166" i="21" s="1"/>
  <c r="M48" i="21"/>
  <c r="L44" i="21"/>
  <c r="O29" i="21"/>
  <c r="Q60" i="21"/>
  <c r="O25" i="21"/>
  <c r="O169" i="21" s="1"/>
  <c r="M30" i="21"/>
  <c r="L26" i="21"/>
  <c r="T144" i="7" l="1"/>
  <c r="AA20" i="10"/>
  <c r="U145" i="7"/>
  <c r="T143" i="7"/>
  <c r="L170" i="21"/>
  <c r="O164" i="21"/>
  <c r="M165" i="21"/>
  <c r="M170" i="21" s="1"/>
  <c r="L175" i="21"/>
  <c r="Q31" i="21"/>
  <c r="R40" i="21" s="1"/>
  <c r="S49" i="21" s="1"/>
  <c r="T58" i="21" s="1"/>
  <c r="N32" i="21"/>
  <c r="O41" i="21" s="1"/>
  <c r="P50" i="21" s="1"/>
  <c r="Q59" i="21" s="1"/>
  <c r="P34" i="21"/>
  <c r="Q43" i="21" s="1"/>
  <c r="R52" i="21" s="1"/>
  <c r="S61" i="21" s="1"/>
  <c r="P33" i="21"/>
  <c r="Q42" i="21" s="1"/>
  <c r="R51" i="21" s="1"/>
  <c r="S60" i="21" s="1"/>
  <c r="P38" i="21"/>
  <c r="N21" i="21"/>
  <c r="M17" i="21"/>
  <c r="N57" i="21"/>
  <c r="N62" i="21" s="1"/>
  <c r="M53" i="21"/>
  <c r="M177" i="21" s="1"/>
  <c r="P24" i="21"/>
  <c r="P168" i="21" s="1"/>
  <c r="N30" i="21"/>
  <c r="M26" i="21"/>
  <c r="J17" i="20"/>
  <c r="N23" i="21"/>
  <c r="N167" i="21" s="1"/>
  <c r="P20" i="21"/>
  <c r="P25" i="21"/>
  <c r="N48" i="21"/>
  <c r="M44" i="21"/>
  <c r="Q22" i="21"/>
  <c r="Q166" i="21" s="1"/>
  <c r="N39" i="21"/>
  <c r="M35" i="21"/>
  <c r="P56" i="21"/>
  <c r="P29" i="21"/>
  <c r="AC20" i="10" l="1"/>
  <c r="U144" i="7"/>
  <c r="V145" i="7"/>
  <c r="U143" i="7"/>
  <c r="P169" i="21"/>
  <c r="P164" i="21"/>
  <c r="N165" i="21"/>
  <c r="N170" i="21" s="1"/>
  <c r="M175" i="21"/>
  <c r="Q33" i="21"/>
  <c r="R42" i="21" s="1"/>
  <c r="S51" i="21" s="1"/>
  <c r="T60" i="21" s="1"/>
  <c r="Q34" i="21"/>
  <c r="R43" i="21" s="1"/>
  <c r="S52" i="21" s="1"/>
  <c r="T61" i="21" s="1"/>
  <c r="R31" i="21"/>
  <c r="S40" i="21" s="1"/>
  <c r="T49" i="21" s="1"/>
  <c r="U58" i="21" s="1"/>
  <c r="O32" i="21"/>
  <c r="P41" i="21" s="1"/>
  <c r="Q50" i="21" s="1"/>
  <c r="R59" i="21" s="1"/>
  <c r="Q25" i="21"/>
  <c r="Q169" i="21" s="1"/>
  <c r="Q20" i="21"/>
  <c r="Q24" i="21"/>
  <c r="O39" i="21"/>
  <c r="N35" i="21"/>
  <c r="O30" i="21"/>
  <c r="N26" i="21"/>
  <c r="R22" i="21"/>
  <c r="R166" i="21" s="1"/>
  <c r="O21" i="21"/>
  <c r="N17" i="21"/>
  <c r="O23" i="21"/>
  <c r="O48" i="21"/>
  <c r="N44" i="21"/>
  <c r="Q38" i="21"/>
  <c r="O57" i="21"/>
  <c r="O62" i="21" s="1"/>
  <c r="N53" i="21"/>
  <c r="N177" i="21" s="1"/>
  <c r="Q29" i="21"/>
  <c r="K26" i="20"/>
  <c r="Q47" i="21"/>
  <c r="K17" i="20"/>
  <c r="W145" i="7" l="1"/>
  <c r="V143" i="7"/>
  <c r="V144" i="7"/>
  <c r="AE20" i="10"/>
  <c r="AG20" i="10" s="1"/>
  <c r="O167" i="21"/>
  <c r="O165" i="21"/>
  <c r="Q168" i="21"/>
  <c r="Q164" i="21"/>
  <c r="K175" i="20"/>
  <c r="N175" i="21"/>
  <c r="P32" i="21"/>
  <c r="Q41" i="21" s="1"/>
  <c r="R50" i="21" s="1"/>
  <c r="S59" i="21" s="1"/>
  <c r="R33" i="21"/>
  <c r="S42" i="21" s="1"/>
  <c r="T51" i="21" s="1"/>
  <c r="U60" i="21" s="1"/>
  <c r="S31" i="21"/>
  <c r="T40" i="21" s="1"/>
  <c r="U49" i="21" s="1"/>
  <c r="R34" i="21"/>
  <c r="S43" i="21" s="1"/>
  <c r="T52" i="21" s="1"/>
  <c r="U61" i="21" s="1"/>
  <c r="L17" i="20"/>
  <c r="L35" i="20"/>
  <c r="R24" i="21"/>
  <c r="R20" i="21"/>
  <c r="S22" i="21"/>
  <c r="R38" i="21"/>
  <c r="P57" i="21"/>
  <c r="P62" i="21" s="1"/>
  <c r="O53" i="21"/>
  <c r="O177" i="21" s="1"/>
  <c r="R47" i="21"/>
  <c r="P39" i="21"/>
  <c r="O35" i="21"/>
  <c r="P30" i="21"/>
  <c r="O26" i="21"/>
  <c r="P21" i="21"/>
  <c r="O17" i="21"/>
  <c r="R56" i="21"/>
  <c r="P23" i="21"/>
  <c r="P167" i="21" s="1"/>
  <c r="R25" i="21"/>
  <c r="L26" i="20"/>
  <c r="P48" i="21"/>
  <c r="O44" i="21"/>
  <c r="R29" i="21"/>
  <c r="O170" i="21" l="1"/>
  <c r="S166" i="21"/>
  <c r="R168" i="21"/>
  <c r="W144" i="7"/>
  <c r="AA21" i="10"/>
  <c r="X145" i="7"/>
  <c r="W143" i="7"/>
  <c r="R164" i="21"/>
  <c r="R169" i="21"/>
  <c r="P165" i="21"/>
  <c r="P170" i="21" s="1"/>
  <c r="O175" i="21"/>
  <c r="L175" i="20"/>
  <c r="Q32" i="21"/>
  <c r="R41" i="21" s="1"/>
  <c r="S50" i="21" s="1"/>
  <c r="T59" i="21" s="1"/>
  <c r="S33" i="21"/>
  <c r="T42" i="21" s="1"/>
  <c r="U51" i="21" s="1"/>
  <c r="M44" i="20"/>
  <c r="S24" i="21"/>
  <c r="Q23" i="21"/>
  <c r="T31" i="21"/>
  <c r="S34" i="21"/>
  <c r="S169" i="21" s="1"/>
  <c r="T22" i="21"/>
  <c r="S38" i="21"/>
  <c r="S29" i="21"/>
  <c r="Q48" i="21"/>
  <c r="P44" i="21"/>
  <c r="M26" i="20"/>
  <c r="S56" i="21"/>
  <c r="Q30" i="21"/>
  <c r="P26" i="21"/>
  <c r="M17" i="20"/>
  <c r="Q39" i="21"/>
  <c r="P35" i="21"/>
  <c r="S47" i="21"/>
  <c r="M35" i="20"/>
  <c r="Q21" i="21"/>
  <c r="P17" i="21"/>
  <c r="Q57" i="21"/>
  <c r="Q62" i="21" s="1"/>
  <c r="P53" i="21"/>
  <c r="P177" i="21" s="1"/>
  <c r="M176" i="20" l="1"/>
  <c r="AC21" i="10"/>
  <c r="X143" i="7"/>
  <c r="Y145" i="7"/>
  <c r="X144" i="7"/>
  <c r="T166" i="21"/>
  <c r="S164" i="21"/>
  <c r="Q165" i="21"/>
  <c r="Q167" i="21"/>
  <c r="S168" i="21"/>
  <c r="P175" i="21"/>
  <c r="M175" i="20"/>
  <c r="R32" i="21"/>
  <c r="S41" i="21" s="1"/>
  <c r="T50" i="21" s="1"/>
  <c r="U59" i="21" s="1"/>
  <c r="N17" i="20"/>
  <c r="R57" i="21"/>
  <c r="R62" i="21" s="1"/>
  <c r="Q53" i="21"/>
  <c r="Q177" i="21" s="1"/>
  <c r="N26" i="20"/>
  <c r="U31" i="21"/>
  <c r="R23" i="21"/>
  <c r="U22" i="21"/>
  <c r="R30" i="21"/>
  <c r="Q26" i="21"/>
  <c r="N44" i="20"/>
  <c r="R48" i="21"/>
  <c r="Q44" i="21"/>
  <c r="T38" i="21"/>
  <c r="T33" i="21"/>
  <c r="T168" i="21" s="1"/>
  <c r="R21" i="21"/>
  <c r="Q17" i="21"/>
  <c r="T43" i="21"/>
  <c r="N53" i="20"/>
  <c r="T56" i="21"/>
  <c r="R39" i="21"/>
  <c r="Q35" i="21"/>
  <c r="N35" i="20"/>
  <c r="T47" i="21"/>
  <c r="U40" i="21"/>
  <c r="Y143" i="7" l="1"/>
  <c r="Y144" i="7"/>
  <c r="Z145" i="7"/>
  <c r="AE21" i="10"/>
  <c r="AG21" i="10" s="1"/>
  <c r="Q170" i="21"/>
  <c r="R165" i="21"/>
  <c r="R167" i="21"/>
  <c r="U166" i="21"/>
  <c r="Q175" i="21"/>
  <c r="N176" i="20"/>
  <c r="N175" i="20"/>
  <c r="S32" i="21"/>
  <c r="T41" i="21" s="1"/>
  <c r="U50" i="21" s="1"/>
  <c r="U42" i="21"/>
  <c r="U168" i="21" s="1"/>
  <c r="O53" i="20"/>
  <c r="O26" i="20"/>
  <c r="S23" i="21"/>
  <c r="R17" i="21"/>
  <c r="U52" i="21"/>
  <c r="U169" i="21" s="1"/>
  <c r="S39" i="21"/>
  <c r="R35" i="21"/>
  <c r="O44" i="20"/>
  <c r="S48" i="21"/>
  <c r="R44" i="21"/>
  <c r="U47" i="21"/>
  <c r="O62" i="20"/>
  <c r="O35" i="20"/>
  <c r="O17" i="20"/>
  <c r="U56" i="21"/>
  <c r="S30" i="21"/>
  <c r="R26" i="21"/>
  <c r="S57" i="21"/>
  <c r="S62" i="21" s="1"/>
  <c r="R53" i="21"/>
  <c r="R177" i="21" s="1"/>
  <c r="S165" i="21" l="1"/>
  <c r="Z144" i="7"/>
  <c r="AA145" i="7"/>
  <c r="Z143" i="7"/>
  <c r="AA22" i="10"/>
  <c r="R170" i="21"/>
  <c r="S167" i="21"/>
  <c r="S170" i="21" s="1"/>
  <c r="O177" i="20"/>
  <c r="O175" i="20"/>
  <c r="O176" i="20"/>
  <c r="R175" i="21"/>
  <c r="P17" i="20"/>
  <c r="P26" i="20"/>
  <c r="P44" i="20"/>
  <c r="T48" i="21"/>
  <c r="S44" i="21"/>
  <c r="T32" i="21"/>
  <c r="S26" i="21"/>
  <c r="T57" i="21"/>
  <c r="T62" i="21" s="1"/>
  <c r="S53" i="21"/>
  <c r="S177" i="21" s="1"/>
  <c r="P62" i="20"/>
  <c r="P35" i="20"/>
  <c r="T23" i="21"/>
  <c r="T167" i="21" s="1"/>
  <c r="S17" i="21"/>
  <c r="T39" i="21"/>
  <c r="S35" i="21"/>
  <c r="P71" i="20"/>
  <c r="P53" i="20"/>
  <c r="AA143" i="7" l="1"/>
  <c r="AC22" i="10"/>
  <c r="AA144" i="7"/>
  <c r="AB145" i="7"/>
  <c r="T164" i="21"/>
  <c r="T165" i="21"/>
  <c r="T169" i="21"/>
  <c r="P177" i="20"/>
  <c r="S175" i="21"/>
  <c r="P176" i="20"/>
  <c r="P175" i="20"/>
  <c r="U23" i="21"/>
  <c r="T17" i="21"/>
  <c r="Q44" i="20"/>
  <c r="Q17" i="20"/>
  <c r="Q53" i="20"/>
  <c r="C17" i="20"/>
  <c r="Q35" i="20"/>
  <c r="U48" i="21"/>
  <c r="T44" i="21"/>
  <c r="U41" i="21"/>
  <c r="T35" i="21"/>
  <c r="Q62" i="20"/>
  <c r="U32" i="21"/>
  <c r="T26" i="21"/>
  <c r="Q80" i="20"/>
  <c r="Q71" i="20"/>
  <c r="U57" i="21"/>
  <c r="U62" i="21" s="1"/>
  <c r="T53" i="21"/>
  <c r="T177" i="21" s="1"/>
  <c r="Q26" i="20"/>
  <c r="AB143" i="7" l="1"/>
  <c r="AE22" i="10"/>
  <c r="AG22" i="10" s="1"/>
  <c r="AC145" i="7"/>
  <c r="U167" i="21"/>
  <c r="AB144" i="7"/>
  <c r="U165" i="21"/>
  <c r="U164" i="21"/>
  <c r="C171" i="20"/>
  <c r="T170" i="21"/>
  <c r="Q176" i="20"/>
  <c r="Q177" i="20"/>
  <c r="Q175" i="20"/>
  <c r="Q178" i="20"/>
  <c r="T175" i="21"/>
  <c r="U35" i="21"/>
  <c r="U44" i="21"/>
  <c r="U26" i="21"/>
  <c r="U53" i="21"/>
  <c r="U177" i="21" s="1"/>
  <c r="D17" i="20"/>
  <c r="R35" i="20"/>
  <c r="R80" i="20"/>
  <c r="U17" i="21"/>
  <c r="R89" i="20"/>
  <c r="R71" i="20"/>
  <c r="C26" i="20"/>
  <c r="C175" i="20" s="1"/>
  <c r="R26" i="20"/>
  <c r="R53" i="20"/>
  <c r="D26" i="20"/>
  <c r="R17" i="20"/>
  <c r="R44" i="20"/>
  <c r="R62" i="20"/>
  <c r="V8" i="9" l="1" a="1"/>
  <c r="V8" i="9" s="1"/>
  <c r="AA23" i="10"/>
  <c r="AC143" i="7"/>
  <c r="AD145" i="7"/>
  <c r="AC144" i="7"/>
  <c r="U170" i="21"/>
  <c r="R176" i="20"/>
  <c r="R177" i="20"/>
  <c r="D175" i="20"/>
  <c r="R178" i="20"/>
  <c r="R175" i="20"/>
  <c r="U175" i="21"/>
  <c r="AE144" i="7"/>
  <c r="T89" i="20"/>
  <c r="S80" i="20"/>
  <c r="T80" i="20"/>
  <c r="S71" i="20"/>
  <c r="T71" i="20"/>
  <c r="S62" i="20"/>
  <c r="E17" i="20"/>
  <c r="T98" i="20"/>
  <c r="S89" i="20"/>
  <c r="T107" i="20"/>
  <c r="S98" i="20"/>
  <c r="T44" i="20"/>
  <c r="S35" i="20"/>
  <c r="T26" i="20"/>
  <c r="S17" i="20"/>
  <c r="T62" i="20"/>
  <c r="S53" i="20"/>
  <c r="T53" i="20"/>
  <c r="S44" i="20"/>
  <c r="D35" i="20"/>
  <c r="E26" i="20"/>
  <c r="T35" i="20"/>
  <c r="S26" i="20"/>
  <c r="E35" i="20"/>
  <c r="G53" i="7" l="1"/>
  <c r="AC23" i="10"/>
  <c r="E171" i="20"/>
  <c r="AD144" i="7"/>
  <c r="AD143" i="7"/>
  <c r="AE145" i="7"/>
  <c r="T177" i="20"/>
  <c r="S176" i="20"/>
  <c r="T178" i="20"/>
  <c r="S178" i="20"/>
  <c r="T176" i="20"/>
  <c r="S177" i="20"/>
  <c r="S179" i="20"/>
  <c r="T179" i="20"/>
  <c r="D176" i="20"/>
  <c r="S175" i="20"/>
  <c r="E175" i="20"/>
  <c r="F17" i="20"/>
  <c r="F44" i="20"/>
  <c r="F35" i="20"/>
  <c r="T17" i="20"/>
  <c r="E44" i="20"/>
  <c r="F26" i="20"/>
  <c r="F171" i="20" l="1"/>
  <c r="AE23" i="10"/>
  <c r="AG23" i="10" s="1"/>
  <c r="Z65" i="9"/>
  <c r="T175" i="20"/>
  <c r="F175" i="20"/>
  <c r="E176" i="20"/>
  <c r="F176" i="20"/>
  <c r="G26" i="20"/>
  <c r="G35" i="20"/>
  <c r="G17" i="20"/>
  <c r="F53" i="20"/>
  <c r="G44" i="20"/>
  <c r="G53" i="20"/>
  <c r="AA24" i="10" l="1"/>
  <c r="W94" i="9"/>
  <c r="AG17" i="9"/>
  <c r="AH17" i="9" s="1"/>
  <c r="Y94" i="9"/>
  <c r="Y111" i="9"/>
  <c r="G41" i="7"/>
  <c r="I41" i="7" s="1"/>
  <c r="J41" i="7" s="1"/>
  <c r="Y110" i="9"/>
  <c r="Y38" i="9"/>
  <c r="AG22" i="9"/>
  <c r="AH22" i="9" s="1"/>
  <c r="Y97" i="9"/>
  <c r="AG10" i="9"/>
  <c r="AH10" i="9" s="1"/>
  <c r="G43" i="7"/>
  <c r="I43" i="7" s="1"/>
  <c r="J43" i="7" s="1"/>
  <c r="W104" i="9"/>
  <c r="Y77" i="9"/>
  <c r="Y66" i="9"/>
  <c r="AG14" i="9"/>
  <c r="AH14" i="9" s="1"/>
  <c r="Y98" i="9"/>
  <c r="W68" i="9"/>
  <c r="AL9" i="9"/>
  <c r="Y68" i="9"/>
  <c r="W66" i="9"/>
  <c r="Y95" i="9"/>
  <c r="Y50" i="9"/>
  <c r="Y67" i="9"/>
  <c r="V50" i="9"/>
  <c r="AG9" i="9"/>
  <c r="AH9" i="9" s="1"/>
  <c r="AL22" i="9"/>
  <c r="AN22" i="9" s="1"/>
  <c r="AO22" i="9" s="1"/>
  <c r="AL17" i="9"/>
  <c r="AN17" i="9" s="1"/>
  <c r="AO17" i="9" s="1"/>
  <c r="AG13" i="9"/>
  <c r="AH13" i="9" s="1"/>
  <c r="Y41" i="9"/>
  <c r="AG11" i="9"/>
  <c r="AH11" i="9" s="1"/>
  <c r="Y79" i="9"/>
  <c r="AL19" i="9"/>
  <c r="AN19" i="9" s="1"/>
  <c r="AO19" i="9" s="1"/>
  <c r="Y105" i="9"/>
  <c r="Y70" i="9"/>
  <c r="Y83" i="9"/>
  <c r="AL18" i="9"/>
  <c r="AN18" i="9" s="1"/>
  <c r="AO18" i="9" s="1"/>
  <c r="Z38" i="9"/>
  <c r="V46" i="9"/>
  <c r="Y71" i="9"/>
  <c r="AG23" i="9"/>
  <c r="AH23" i="9" s="1"/>
  <c r="Y54" i="9"/>
  <c r="G49" i="7"/>
  <c r="I49" i="7" s="1"/>
  <c r="J49" i="7" s="1"/>
  <c r="Y48" i="9"/>
  <c r="AG12" i="9"/>
  <c r="AH12" i="9" s="1"/>
  <c r="Y45" i="9"/>
  <c r="AG16" i="9"/>
  <c r="AH16" i="9" s="1"/>
  <c r="W80" i="9"/>
  <c r="W70" i="9"/>
  <c r="AA44" i="9"/>
  <c r="Y46" i="9"/>
  <c r="AG27" i="9"/>
  <c r="AH27" i="9" s="1"/>
  <c r="AK27" i="9" s="1"/>
  <c r="Y96" i="9"/>
  <c r="AL25" i="9"/>
  <c r="AN25" i="9" s="1"/>
  <c r="AO25" i="9" s="1"/>
  <c r="Y76" i="9"/>
  <c r="Y51" i="9"/>
  <c r="AG15" i="9"/>
  <c r="AH15" i="9" s="1"/>
  <c r="Y107" i="9"/>
  <c r="G44" i="7"/>
  <c r="I44" i="7" s="1"/>
  <c r="J44" i="7" s="1"/>
  <c r="W102" i="9"/>
  <c r="W44" i="9"/>
  <c r="AA100" i="9"/>
  <c r="Y53" i="9"/>
  <c r="Z56" i="9"/>
  <c r="G48" i="7"/>
  <c r="I48" i="7" s="1"/>
  <c r="J48" i="7" s="1"/>
  <c r="Y104" i="9"/>
  <c r="AG18" i="9"/>
  <c r="AH18" i="9" s="1"/>
  <c r="AL16" i="9"/>
  <c r="AN16" i="9" s="1"/>
  <c r="AO16" i="9" s="1"/>
  <c r="Y44" i="9"/>
  <c r="G38" i="7"/>
  <c r="I38" i="7" s="1"/>
  <c r="J38" i="7" s="1"/>
  <c r="Y56" i="9"/>
  <c r="AG24" i="9"/>
  <c r="AH24" i="9" s="1"/>
  <c r="W46" i="9"/>
  <c r="W67" i="9"/>
  <c r="AA70" i="9"/>
  <c r="Y103" i="9"/>
  <c r="Y52" i="9"/>
  <c r="Y39" i="9"/>
  <c r="Y42" i="9"/>
  <c r="AL12" i="9"/>
  <c r="AN12" i="9" s="1"/>
  <c r="AO12" i="9" s="1"/>
  <c r="Y81" i="9"/>
  <c r="G45" i="7"/>
  <c r="I45" i="7" s="1"/>
  <c r="J45" i="7" s="1"/>
  <c r="AL23" i="9"/>
  <c r="AN23" i="9" s="1"/>
  <c r="AO23" i="9" s="1"/>
  <c r="Y72" i="9"/>
  <c r="W103" i="9"/>
  <c r="W72" i="9"/>
  <c r="AA73" i="9"/>
  <c r="AL27" i="9"/>
  <c r="AN27" i="9" s="1"/>
  <c r="AO27" i="9" s="1"/>
  <c r="Y49" i="9"/>
  <c r="AL20" i="9"/>
  <c r="AN20" i="9" s="1"/>
  <c r="AO20" i="9" s="1"/>
  <c r="AL14" i="9"/>
  <c r="AN14" i="9" s="1"/>
  <c r="AO14" i="9" s="1"/>
  <c r="Y73" i="9"/>
  <c r="G47" i="7"/>
  <c r="I47" i="7" s="1"/>
  <c r="J47" i="7" s="1"/>
  <c r="Y106" i="9"/>
  <c r="AG20" i="9"/>
  <c r="AH20" i="9" s="1"/>
  <c r="AL15" i="9"/>
  <c r="AN15" i="9" s="1"/>
  <c r="AO15" i="9" s="1"/>
  <c r="I53" i="7"/>
  <c r="J53" i="7" s="1"/>
  <c r="W42" i="9"/>
  <c r="AA75" i="9"/>
  <c r="AL26" i="9"/>
  <c r="AN26" i="9" s="1"/>
  <c r="AO26" i="9" s="1"/>
  <c r="Y78" i="9"/>
  <c r="AG19" i="9"/>
  <c r="AH19" i="9" s="1"/>
  <c r="Y74" i="9"/>
  <c r="G51" i="7"/>
  <c r="I51" i="7" s="1"/>
  <c r="J51" i="7" s="1"/>
  <c r="AL10" i="9"/>
  <c r="AN10" i="9" s="1"/>
  <c r="AO10" i="9" s="1"/>
  <c r="W110" i="9"/>
  <c r="W40" i="9"/>
  <c r="Z66" i="9"/>
  <c r="W71" i="9"/>
  <c r="W47" i="9"/>
  <c r="W101" i="9"/>
  <c r="Z42" i="9"/>
  <c r="V101" i="9"/>
  <c r="AA49" i="9"/>
  <c r="Z54" i="9"/>
  <c r="Y101" i="9"/>
  <c r="AL24" i="9"/>
  <c r="AN24" i="9" s="1"/>
  <c r="AO24" i="9" s="1"/>
  <c r="AL11" i="9"/>
  <c r="AN11" i="9" s="1"/>
  <c r="AO11" i="9" s="1"/>
  <c r="W83" i="9"/>
  <c r="W43" i="9"/>
  <c r="W73" i="9"/>
  <c r="W81" i="9"/>
  <c r="W99" i="9"/>
  <c r="W75" i="9"/>
  <c r="Z83" i="9"/>
  <c r="AA110" i="9"/>
  <c r="V95" i="9"/>
  <c r="X100" i="9"/>
  <c r="G52" i="7"/>
  <c r="I52" i="7" s="1"/>
  <c r="J52" i="7" s="1"/>
  <c r="Y55" i="9"/>
  <c r="G39" i="7"/>
  <c r="I39" i="7" s="1"/>
  <c r="J39" i="7" s="1"/>
  <c r="Y109" i="9"/>
  <c r="Y80" i="9"/>
  <c r="G40" i="7"/>
  <c r="I40" i="7" s="1"/>
  <c r="J40" i="7" s="1"/>
  <c r="W77" i="9"/>
  <c r="G50" i="7"/>
  <c r="I50" i="7" s="1"/>
  <c r="J50" i="7" s="1"/>
  <c r="W97" i="9"/>
  <c r="W98" i="9"/>
  <c r="W107" i="9"/>
  <c r="V67" i="9"/>
  <c r="V55" i="9"/>
  <c r="AA41" i="9"/>
  <c r="AA98" i="9"/>
  <c r="X80" i="9"/>
  <c r="Y47" i="9"/>
  <c r="G46" i="7"/>
  <c r="I46" i="7" s="1"/>
  <c r="J46" i="7" s="1"/>
  <c r="Y100" i="9"/>
  <c r="W38" i="9"/>
  <c r="Y69" i="9"/>
  <c r="Y82" i="9"/>
  <c r="G42" i="7"/>
  <c r="I42" i="7" s="1"/>
  <c r="J42" i="7" s="1"/>
  <c r="W56" i="9"/>
  <c r="W54" i="9"/>
  <c r="W105" i="9"/>
  <c r="W106" i="9"/>
  <c r="W53" i="9"/>
  <c r="AA102" i="9"/>
  <c r="AA38" i="9"/>
  <c r="Z80" i="9"/>
  <c r="Z52" i="9"/>
  <c r="X111" i="9"/>
  <c r="Y99" i="9"/>
  <c r="AL21" i="9"/>
  <c r="AN21" i="9" s="1"/>
  <c r="AO21" i="9" s="1"/>
  <c r="Y108" i="9"/>
  <c r="AL13" i="9"/>
  <c r="AN13" i="9" s="1"/>
  <c r="AO13" i="9" s="1"/>
  <c r="AG21" i="9"/>
  <c r="AH21" i="9" s="1"/>
  <c r="Y102" i="9"/>
  <c r="V66" i="9"/>
  <c r="V94" i="9"/>
  <c r="W96" i="9"/>
  <c r="W79" i="9"/>
  <c r="W39" i="9"/>
  <c r="W100" i="9"/>
  <c r="Z81" i="9"/>
  <c r="AA74" i="9"/>
  <c r="AA68" i="9"/>
  <c r="Z105" i="9"/>
  <c r="AA108" i="9"/>
  <c r="Y75" i="9"/>
  <c r="AG25" i="9"/>
  <c r="AH25" i="9" s="1"/>
  <c r="G37" i="7"/>
  <c r="I37" i="7" s="1"/>
  <c r="J37" i="7" s="1"/>
  <c r="Y43" i="9"/>
  <c r="AG26" i="9"/>
  <c r="AH26" i="9" s="1"/>
  <c r="Y40" i="9"/>
  <c r="W82" i="9"/>
  <c r="W95" i="9"/>
  <c r="W49" i="9"/>
  <c r="AA94" i="9"/>
  <c r="AA66" i="9"/>
  <c r="V38" i="9"/>
  <c r="X94" i="9"/>
  <c r="Z101" i="9"/>
  <c r="Z44" i="9"/>
  <c r="Z51" i="9"/>
  <c r="W108" i="9"/>
  <c r="W109" i="9"/>
  <c r="AA39" i="9"/>
  <c r="AA82" i="9"/>
  <c r="V100" i="9"/>
  <c r="AA67" i="9"/>
  <c r="Z55" i="9"/>
  <c r="V109" i="9"/>
  <c r="AA51" i="9"/>
  <c r="V98" i="9"/>
  <c r="Z108" i="9"/>
  <c r="Z49" i="9"/>
  <c r="AA69" i="9"/>
  <c r="V96" i="9"/>
  <c r="AA71" i="9"/>
  <c r="AA42" i="9"/>
  <c r="X70" i="9"/>
  <c r="X44" i="9"/>
  <c r="V47" i="9"/>
  <c r="AA103" i="9"/>
  <c r="Z109" i="9"/>
  <c r="V108" i="9"/>
  <c r="AA48" i="9"/>
  <c r="Z45" i="9"/>
  <c r="V72" i="9"/>
  <c r="AA43" i="9"/>
  <c r="V106" i="9"/>
  <c r="V102" i="9"/>
  <c r="Z40" i="9"/>
  <c r="AA81" i="9"/>
  <c r="V39" i="9"/>
  <c r="V80" i="9"/>
  <c r="X45" i="9"/>
  <c r="X98" i="9"/>
  <c r="Z93" i="9"/>
  <c r="W52" i="9"/>
  <c r="W48" i="9"/>
  <c r="W50" i="9"/>
  <c r="W69" i="9"/>
  <c r="V99" i="9"/>
  <c r="AA53" i="9"/>
  <c r="Z100" i="9"/>
  <c r="V83" i="9"/>
  <c r="AA99" i="9"/>
  <c r="Z73" i="9"/>
  <c r="V77" i="9"/>
  <c r="Z94" i="9"/>
  <c r="V41" i="9"/>
  <c r="V110" i="9"/>
  <c r="Z43" i="9"/>
  <c r="AA95" i="9"/>
  <c r="V68" i="9"/>
  <c r="V76" i="9"/>
  <c r="X99" i="9"/>
  <c r="X71" i="9"/>
  <c r="Z37" i="9"/>
  <c r="W111" i="9"/>
  <c r="W51" i="9"/>
  <c r="W76" i="9"/>
  <c r="W41" i="9"/>
  <c r="W45" i="9"/>
  <c r="V107" i="9"/>
  <c r="AA54" i="9"/>
  <c r="Z39" i="9"/>
  <c r="V69" i="9"/>
  <c r="AA50" i="9"/>
  <c r="V78" i="9"/>
  <c r="V71" i="9"/>
  <c r="Z102" i="9"/>
  <c r="X66" i="9"/>
  <c r="V40" i="9"/>
  <c r="AA40" i="9"/>
  <c r="Z95" i="9"/>
  <c r="V51" i="9"/>
  <c r="V70" i="9"/>
  <c r="X72" i="9"/>
  <c r="X67" i="9"/>
  <c r="Y93" i="9"/>
  <c r="W78" i="9"/>
  <c r="V75" i="9"/>
  <c r="AA76" i="9"/>
  <c r="Z97" i="9"/>
  <c r="V52" i="9"/>
  <c r="Z70" i="9"/>
  <c r="Z72" i="9"/>
  <c r="AA106" i="9"/>
  <c r="Z74" i="9"/>
  <c r="AA47" i="9"/>
  <c r="V44" i="9"/>
  <c r="V73" i="9"/>
  <c r="Z68" i="9"/>
  <c r="AA79" i="9"/>
  <c r="X38" i="9"/>
  <c r="X55" i="9"/>
  <c r="X41" i="9"/>
  <c r="X37" i="9"/>
  <c r="W55" i="9"/>
  <c r="W74" i="9"/>
  <c r="AA97" i="9"/>
  <c r="V43" i="9"/>
  <c r="Z53" i="9"/>
  <c r="V45" i="9"/>
  <c r="AA111" i="9"/>
  <c r="Z110" i="9"/>
  <c r="V74" i="9"/>
  <c r="AA80" i="9"/>
  <c r="Z107" i="9"/>
  <c r="AA77" i="9"/>
  <c r="AA96" i="9"/>
  <c r="V42" i="9"/>
  <c r="Z41" i="9"/>
  <c r="Z106" i="9"/>
  <c r="Z98" i="9"/>
  <c r="X52" i="9"/>
  <c r="X49" i="9"/>
  <c r="V79" i="9"/>
  <c r="Z103" i="9"/>
  <c r="V103" i="9"/>
  <c r="AA46" i="9"/>
  <c r="AA55" i="9"/>
  <c r="Z96" i="9"/>
  <c r="Z77" i="9"/>
  <c r="AA56" i="9"/>
  <c r="Z79" i="9"/>
  <c r="X107" i="9"/>
  <c r="X108" i="9"/>
  <c r="X74" i="9"/>
  <c r="X46" i="9"/>
  <c r="X78" i="9"/>
  <c r="X81" i="9"/>
  <c r="AA37" i="9"/>
  <c r="AA65" i="9"/>
  <c r="Z82" i="9"/>
  <c r="V111" i="9"/>
  <c r="Z76" i="9"/>
  <c r="AA104" i="9"/>
  <c r="Z46" i="9"/>
  <c r="V53" i="9"/>
  <c r="AA105" i="9"/>
  <c r="Z69" i="9"/>
  <c r="X75" i="9"/>
  <c r="X83" i="9"/>
  <c r="X101" i="9"/>
  <c r="X82" i="9"/>
  <c r="X47" i="9"/>
  <c r="X73" i="9"/>
  <c r="X97" i="9"/>
  <c r="X65" i="9"/>
  <c r="X93" i="9"/>
  <c r="V54" i="9"/>
  <c r="AA109" i="9"/>
  <c r="V49" i="9"/>
  <c r="Z104" i="9"/>
  <c r="V81" i="9"/>
  <c r="AA107" i="9"/>
  <c r="Z71" i="9"/>
  <c r="V97" i="9"/>
  <c r="AA101" i="9"/>
  <c r="Z75" i="9"/>
  <c r="X50" i="9"/>
  <c r="X69" i="9"/>
  <c r="X109" i="9"/>
  <c r="X102" i="9"/>
  <c r="X79" i="9"/>
  <c r="X96" i="9"/>
  <c r="X105" i="9"/>
  <c r="AA93" i="9"/>
  <c r="Y37" i="9"/>
  <c r="Z111" i="9"/>
  <c r="V82" i="9"/>
  <c r="AA52" i="9"/>
  <c r="AA83" i="9"/>
  <c r="Z50" i="9"/>
  <c r="V105" i="9"/>
  <c r="AA78" i="9"/>
  <c r="Z67" i="9"/>
  <c r="X106" i="9"/>
  <c r="X42" i="9"/>
  <c r="X51" i="9"/>
  <c r="X110" i="9"/>
  <c r="X54" i="9"/>
  <c r="X104" i="9"/>
  <c r="X48" i="9"/>
  <c r="Y65" i="9"/>
  <c r="W93" i="9"/>
  <c r="Z78" i="9"/>
  <c r="V56" i="9"/>
  <c r="V104" i="9"/>
  <c r="AA45" i="9"/>
  <c r="Z47" i="9"/>
  <c r="V48" i="9"/>
  <c r="AA72" i="9"/>
  <c r="Z99" i="9"/>
  <c r="X43" i="9"/>
  <c r="Z48" i="9"/>
  <c r="X77" i="9"/>
  <c r="X40" i="9"/>
  <c r="X95" i="9"/>
  <c r="X39" i="9"/>
  <c r="X76" i="9"/>
  <c r="W37" i="9"/>
  <c r="AL8" i="9"/>
  <c r="AN8" i="9" s="1"/>
  <c r="AO8" i="9" s="1"/>
  <c r="G171" i="20"/>
  <c r="X53" i="9"/>
  <c r="X56" i="9"/>
  <c r="X103" i="9"/>
  <c r="X68" i="9"/>
  <c r="W65" i="9"/>
  <c r="G175" i="20"/>
  <c r="F177" i="20"/>
  <c r="G176" i="20"/>
  <c r="AN9" i="9"/>
  <c r="AO9" i="9" s="1"/>
  <c r="G62" i="20"/>
  <c r="H62" i="20"/>
  <c r="H53" i="20"/>
  <c r="H17" i="20"/>
  <c r="I17" i="20"/>
  <c r="H35" i="20"/>
  <c r="H44" i="20"/>
  <c r="H26" i="20"/>
  <c r="AI24" i="9" l="1"/>
  <c r="AK24" i="9"/>
  <c r="AI14" i="9"/>
  <c r="AK14" i="9"/>
  <c r="AI26" i="9"/>
  <c r="AK26" i="9"/>
  <c r="AI20" i="9"/>
  <c r="AK20" i="9"/>
  <c r="AI16" i="9"/>
  <c r="AK16" i="9"/>
  <c r="AI11" i="9"/>
  <c r="AK11" i="9"/>
  <c r="AI21" i="9"/>
  <c r="AK21" i="9"/>
  <c r="AI19" i="9"/>
  <c r="AK19" i="9"/>
  <c r="AI12" i="9"/>
  <c r="AK12" i="9"/>
  <c r="AI13" i="9"/>
  <c r="AK13" i="9"/>
  <c r="AI25" i="9"/>
  <c r="AK25" i="9"/>
  <c r="AI18" i="9"/>
  <c r="AK18" i="9"/>
  <c r="AI10" i="9"/>
  <c r="AK10" i="9"/>
  <c r="AI17" i="9"/>
  <c r="AK17" i="9"/>
  <c r="AI9" i="9"/>
  <c r="AK9" i="9"/>
  <c r="AI15" i="9"/>
  <c r="AK15" i="9"/>
  <c r="AI23" i="9"/>
  <c r="AK23" i="9"/>
  <c r="AI22" i="9"/>
  <c r="AK22" i="9"/>
  <c r="AL40" i="9"/>
  <c r="AN40" i="9" s="1"/>
  <c r="AO40" i="9" s="1"/>
  <c r="AG68" i="9"/>
  <c r="AH68" i="9" s="1"/>
  <c r="AI68" i="9" s="1"/>
  <c r="AC24" i="10"/>
  <c r="V93" i="9"/>
  <c r="AG93" i="9" s="1"/>
  <c r="AH93" i="9" s="1"/>
  <c r="AI93" i="9" s="1"/>
  <c r="AG8" i="9"/>
  <c r="AH8" i="9" s="1"/>
  <c r="G36" i="7"/>
  <c r="I36" i="7" s="1"/>
  <c r="J36" i="7" s="1"/>
  <c r="V37" i="9"/>
  <c r="AG37" i="9" s="1"/>
  <c r="AH37" i="9" s="1"/>
  <c r="AI37" i="9" s="1"/>
  <c r="AL54" i="9"/>
  <c r="AN54" i="9" s="1"/>
  <c r="AO54" i="9" s="1"/>
  <c r="V65" i="9"/>
  <c r="AG65" i="9" s="1"/>
  <c r="AH65" i="9" s="1"/>
  <c r="AI65" i="9" s="1"/>
  <c r="AG70" i="9"/>
  <c r="AH70" i="9" s="1"/>
  <c r="AI70" i="9" s="1"/>
  <c r="AL79" i="9"/>
  <c r="AN79" i="9" s="1"/>
  <c r="AO79" i="9" s="1"/>
  <c r="AL101" i="9"/>
  <c r="AN101" i="9" s="1"/>
  <c r="AO101" i="9" s="1"/>
  <c r="AL80" i="9"/>
  <c r="AN80" i="9" s="1"/>
  <c r="AO80" i="9" s="1"/>
  <c r="AL73" i="9"/>
  <c r="AN73" i="9" s="1"/>
  <c r="AO73" i="9" s="1"/>
  <c r="AL38" i="9"/>
  <c r="AN38" i="9" s="1"/>
  <c r="AO38" i="9" s="1"/>
  <c r="AL43" i="9"/>
  <c r="AN43" i="9" s="1"/>
  <c r="AO43" i="9" s="1"/>
  <c r="AL105" i="9"/>
  <c r="AN105" i="9" s="1"/>
  <c r="AO105" i="9" s="1"/>
  <c r="AL66" i="9"/>
  <c r="AN66" i="9" s="1"/>
  <c r="AO66" i="9" s="1"/>
  <c r="AL94" i="9"/>
  <c r="AN94" i="9" s="1"/>
  <c r="AO94" i="9" s="1"/>
  <c r="AG102" i="9"/>
  <c r="AH102" i="9" s="1"/>
  <c r="AI102" i="9" s="1"/>
  <c r="AL53" i="9"/>
  <c r="AN53" i="9" s="1"/>
  <c r="AO53" i="9" s="1"/>
  <c r="AL68" i="9"/>
  <c r="AN68" i="9" s="1"/>
  <c r="AO68" i="9" s="1"/>
  <c r="AG76" i="9"/>
  <c r="AH76" i="9" s="1"/>
  <c r="AI76" i="9" s="1"/>
  <c r="AG73" i="9"/>
  <c r="AH73" i="9" s="1"/>
  <c r="AI73" i="9" s="1"/>
  <c r="AG56" i="9"/>
  <c r="AH56" i="9" s="1"/>
  <c r="AG54" i="9"/>
  <c r="AH54" i="9" s="1"/>
  <c r="AI54" i="9" s="1"/>
  <c r="AG43" i="9"/>
  <c r="AH43" i="9" s="1"/>
  <c r="AI43" i="9" s="1"/>
  <c r="AG38" i="9"/>
  <c r="AH38" i="9" s="1"/>
  <c r="AI38" i="9" s="1"/>
  <c r="AL83" i="9"/>
  <c r="AN83" i="9" s="1"/>
  <c r="AO83" i="9" s="1"/>
  <c r="AG46" i="9"/>
  <c r="AH46" i="9" s="1"/>
  <c r="AI46" i="9" s="1"/>
  <c r="AL52" i="9"/>
  <c r="AN52" i="9" s="1"/>
  <c r="AO52" i="9" s="1"/>
  <c r="AL103" i="9"/>
  <c r="AN103" i="9" s="1"/>
  <c r="AO103" i="9" s="1"/>
  <c r="AL95" i="9"/>
  <c r="AN95" i="9" s="1"/>
  <c r="AO95" i="9" s="1"/>
  <c r="AG108" i="9"/>
  <c r="AH108" i="9" s="1"/>
  <c r="AI108" i="9" s="1"/>
  <c r="AL96" i="9"/>
  <c r="AN96" i="9" s="1"/>
  <c r="AO96" i="9" s="1"/>
  <c r="AG99" i="9"/>
  <c r="AH99" i="9" s="1"/>
  <c r="AI99" i="9" s="1"/>
  <c r="AL98" i="9"/>
  <c r="AN98" i="9" s="1"/>
  <c r="AO98" i="9" s="1"/>
  <c r="AG81" i="9"/>
  <c r="AH81" i="9" s="1"/>
  <c r="AI81" i="9" s="1"/>
  <c r="AG44" i="9"/>
  <c r="AH44" i="9" s="1"/>
  <c r="AI44" i="9" s="1"/>
  <c r="AL70" i="9"/>
  <c r="AN70" i="9" s="1"/>
  <c r="AO70" i="9" s="1"/>
  <c r="AG101" i="9"/>
  <c r="AH101" i="9" s="1"/>
  <c r="AI101" i="9" s="1"/>
  <c r="AG51" i="9"/>
  <c r="AH51" i="9" s="1"/>
  <c r="AI51" i="9" s="1"/>
  <c r="AL56" i="9"/>
  <c r="AN56" i="9" s="1"/>
  <c r="AO56" i="9" s="1"/>
  <c r="AL76" i="9"/>
  <c r="AN76" i="9" s="1"/>
  <c r="AO76" i="9" s="1"/>
  <c r="AG72" i="9"/>
  <c r="AH72" i="9" s="1"/>
  <c r="AI72" i="9" s="1"/>
  <c r="AG98" i="9"/>
  <c r="AH98" i="9" s="1"/>
  <c r="AI98" i="9" s="1"/>
  <c r="AG52" i="9"/>
  <c r="AH52" i="9" s="1"/>
  <c r="AI52" i="9" s="1"/>
  <c r="AL81" i="9"/>
  <c r="AN81" i="9" s="1"/>
  <c r="AO81" i="9" s="1"/>
  <c r="AL44" i="9"/>
  <c r="AN44" i="9" s="1"/>
  <c r="AO44" i="9" s="1"/>
  <c r="AL67" i="9"/>
  <c r="AN67" i="9" s="1"/>
  <c r="AO67" i="9" s="1"/>
  <c r="AG95" i="9"/>
  <c r="AH95" i="9" s="1"/>
  <c r="AI95" i="9" s="1"/>
  <c r="AG96" i="9"/>
  <c r="AH96" i="9" s="1"/>
  <c r="AI96" i="9" s="1"/>
  <c r="AL97" i="9"/>
  <c r="AN97" i="9" s="1"/>
  <c r="AO97" i="9" s="1"/>
  <c r="AG74" i="9"/>
  <c r="AH74" i="9" s="1"/>
  <c r="AI74" i="9" s="1"/>
  <c r="AL47" i="9"/>
  <c r="AN47" i="9" s="1"/>
  <c r="AO47" i="9" s="1"/>
  <c r="AG75" i="9"/>
  <c r="AH75" i="9" s="1"/>
  <c r="AI75" i="9" s="1"/>
  <c r="AL111" i="9"/>
  <c r="AN111" i="9" s="1"/>
  <c r="AO111" i="9" s="1"/>
  <c r="AL110" i="9"/>
  <c r="AN110" i="9" s="1"/>
  <c r="AO110" i="9" s="1"/>
  <c r="AL69" i="9"/>
  <c r="AN69" i="9" s="1"/>
  <c r="AO69" i="9" s="1"/>
  <c r="AG40" i="9"/>
  <c r="AH40" i="9" s="1"/>
  <c r="AI40" i="9" s="1"/>
  <c r="AL41" i="9"/>
  <c r="AN41" i="9" s="1"/>
  <c r="AO41" i="9" s="1"/>
  <c r="AL99" i="9"/>
  <c r="AN99" i="9" s="1"/>
  <c r="AO99" i="9" s="1"/>
  <c r="AG80" i="9"/>
  <c r="AH80" i="9" s="1"/>
  <c r="AI80" i="9" s="1"/>
  <c r="AL109" i="9"/>
  <c r="AN109" i="9" s="1"/>
  <c r="AO109" i="9" s="1"/>
  <c r="AL108" i="9"/>
  <c r="AN108" i="9" s="1"/>
  <c r="AO108" i="9" s="1"/>
  <c r="AG79" i="9"/>
  <c r="AH79" i="9" s="1"/>
  <c r="AI79" i="9" s="1"/>
  <c r="AL106" i="9"/>
  <c r="AN106" i="9" s="1"/>
  <c r="AO106" i="9" s="1"/>
  <c r="AL100" i="9"/>
  <c r="AN100" i="9" s="1"/>
  <c r="AO100" i="9" s="1"/>
  <c r="AL42" i="9"/>
  <c r="AN42" i="9" s="1"/>
  <c r="AO42" i="9" s="1"/>
  <c r="AL45" i="9"/>
  <c r="AN45" i="9" s="1"/>
  <c r="AO45" i="9" s="1"/>
  <c r="AL55" i="9"/>
  <c r="AN55" i="9" s="1"/>
  <c r="AO55" i="9" s="1"/>
  <c r="AG107" i="9"/>
  <c r="AH107" i="9" s="1"/>
  <c r="AI107" i="9" s="1"/>
  <c r="AG71" i="9"/>
  <c r="AH71" i="9" s="1"/>
  <c r="AI71" i="9" s="1"/>
  <c r="AG69" i="9"/>
  <c r="AH69" i="9" s="1"/>
  <c r="AI69" i="9" s="1"/>
  <c r="AG109" i="9"/>
  <c r="AH109" i="9" s="1"/>
  <c r="AI109" i="9" s="1"/>
  <c r="AG47" i="9"/>
  <c r="AH47" i="9" s="1"/>
  <c r="AI47" i="9" s="1"/>
  <c r="AL51" i="9"/>
  <c r="AN51" i="9" s="1"/>
  <c r="AO51" i="9" s="1"/>
  <c r="AG100" i="9"/>
  <c r="AH100" i="9" s="1"/>
  <c r="AI100" i="9" s="1"/>
  <c r="AG111" i="9"/>
  <c r="AH111" i="9" s="1"/>
  <c r="AL74" i="9"/>
  <c r="AN74" i="9" s="1"/>
  <c r="AO74" i="9" s="1"/>
  <c r="AG110" i="9"/>
  <c r="AH110" i="9" s="1"/>
  <c r="AI110" i="9" s="1"/>
  <c r="AG41" i="9"/>
  <c r="AH41" i="9" s="1"/>
  <c r="AI41" i="9" s="1"/>
  <c r="AG106" i="9"/>
  <c r="AH106" i="9" s="1"/>
  <c r="AI106" i="9" s="1"/>
  <c r="AG83" i="9"/>
  <c r="AH83" i="9" s="1"/>
  <c r="AL75" i="9"/>
  <c r="AN75" i="9" s="1"/>
  <c r="AO75" i="9" s="1"/>
  <c r="AG50" i="9"/>
  <c r="AH50" i="9" s="1"/>
  <c r="AI50" i="9" s="1"/>
  <c r="AG49" i="9"/>
  <c r="AH49" i="9" s="1"/>
  <c r="AI49" i="9" s="1"/>
  <c r="AG104" i="9"/>
  <c r="AH104" i="9" s="1"/>
  <c r="AI104" i="9" s="1"/>
  <c r="AG77" i="9"/>
  <c r="AH77" i="9" s="1"/>
  <c r="AI77" i="9" s="1"/>
  <c r="AL46" i="9"/>
  <c r="AN46" i="9" s="1"/>
  <c r="AO46" i="9" s="1"/>
  <c r="AL72" i="9"/>
  <c r="AN72" i="9" s="1"/>
  <c r="AO72" i="9" s="1"/>
  <c r="AL71" i="9"/>
  <c r="AN71" i="9" s="1"/>
  <c r="AO71" i="9" s="1"/>
  <c r="AL102" i="9"/>
  <c r="AN102" i="9" s="1"/>
  <c r="AO102" i="9" s="1"/>
  <c r="AG94" i="9"/>
  <c r="AH94" i="9" s="1"/>
  <c r="AI94" i="9" s="1"/>
  <c r="AG42" i="9"/>
  <c r="AH42" i="9" s="1"/>
  <c r="AI42" i="9" s="1"/>
  <c r="AG67" i="9"/>
  <c r="AH67" i="9" s="1"/>
  <c r="AI67" i="9" s="1"/>
  <c r="AG55" i="9"/>
  <c r="AH55" i="9" s="1"/>
  <c r="AG39" i="9"/>
  <c r="AH39" i="9" s="1"/>
  <c r="AI39" i="9" s="1"/>
  <c r="AG48" i="9"/>
  <c r="AH48" i="9" s="1"/>
  <c r="AI48" i="9" s="1"/>
  <c r="AG66" i="9"/>
  <c r="AH66" i="9" s="1"/>
  <c r="AI66" i="9" s="1"/>
  <c r="AG105" i="9"/>
  <c r="AH105" i="9" s="1"/>
  <c r="AI105" i="9" s="1"/>
  <c r="AG103" i="9"/>
  <c r="AH103" i="9" s="1"/>
  <c r="AI103" i="9" s="1"/>
  <c r="AL107" i="9"/>
  <c r="AN107" i="9" s="1"/>
  <c r="AO107" i="9" s="1"/>
  <c r="AG45" i="9"/>
  <c r="AH45" i="9" s="1"/>
  <c r="AI45" i="9" s="1"/>
  <c r="AG97" i="9"/>
  <c r="AH97" i="9" s="1"/>
  <c r="AI97" i="9" s="1"/>
  <c r="AL104" i="9"/>
  <c r="AN104" i="9" s="1"/>
  <c r="AO104" i="9" s="1"/>
  <c r="AG78" i="9"/>
  <c r="AH78" i="9" s="1"/>
  <c r="AI78" i="9" s="1"/>
  <c r="AL78" i="9"/>
  <c r="AN78" i="9" s="1"/>
  <c r="AO78" i="9" s="1"/>
  <c r="AG53" i="9"/>
  <c r="AH53" i="9" s="1"/>
  <c r="AI53" i="9" s="1"/>
  <c r="AL39" i="9"/>
  <c r="AN39" i="9" s="1"/>
  <c r="AO39" i="9" s="1"/>
  <c r="AL49" i="9"/>
  <c r="AN49" i="9" s="1"/>
  <c r="AO49" i="9" s="1"/>
  <c r="AL50" i="9"/>
  <c r="AN50" i="9" s="1"/>
  <c r="AO50" i="9" s="1"/>
  <c r="AL77" i="9"/>
  <c r="AN77" i="9" s="1"/>
  <c r="AO77" i="9" s="1"/>
  <c r="AL48" i="9"/>
  <c r="AN48" i="9" s="1"/>
  <c r="AO48" i="9" s="1"/>
  <c r="AG82" i="9"/>
  <c r="AH82" i="9" s="1"/>
  <c r="AI82" i="9" s="1"/>
  <c r="AL82" i="9"/>
  <c r="AN82" i="9" s="1"/>
  <c r="AO82" i="9" s="1"/>
  <c r="H171" i="20"/>
  <c r="H176" i="20"/>
  <c r="H177" i="20"/>
  <c r="H175" i="20"/>
  <c r="G177" i="20"/>
  <c r="I53" i="20"/>
  <c r="I26" i="20"/>
  <c r="I175" i="20" s="1"/>
  <c r="I35" i="20"/>
  <c r="I71" i="20"/>
  <c r="I44" i="20"/>
  <c r="I62" i="20"/>
  <c r="J26" i="20"/>
  <c r="H71" i="20"/>
  <c r="AL93" i="9" l="1"/>
  <c r="AN93" i="9" s="1"/>
  <c r="AO93" i="9" s="1"/>
  <c r="AI8" i="9"/>
  <c r="AK8" i="9"/>
  <c r="AL37" i="9"/>
  <c r="AN37" i="9" s="1"/>
  <c r="AO37" i="9" s="1"/>
  <c r="AL65" i="9"/>
  <c r="AN65" i="9" s="1"/>
  <c r="AO65" i="9" s="1"/>
  <c r="AE24" i="10"/>
  <c r="AG24" i="10" s="1"/>
  <c r="I171" i="20"/>
  <c r="I176" i="20"/>
  <c r="J175" i="20"/>
  <c r="H178" i="20"/>
  <c r="I177" i="20"/>
  <c r="J53" i="20"/>
  <c r="I80" i="20"/>
  <c r="J62" i="20"/>
  <c r="J44" i="20"/>
  <c r="K35" i="20"/>
  <c r="J71" i="20"/>
  <c r="J80" i="20"/>
  <c r="J35" i="20"/>
  <c r="J171" i="20" l="1"/>
  <c r="AA25" i="10"/>
  <c r="J178" i="20"/>
  <c r="J177" i="20"/>
  <c r="J176" i="20"/>
  <c r="I178" i="20"/>
  <c r="K71" i="20"/>
  <c r="K44" i="20"/>
  <c r="K176" i="20" s="1"/>
  <c r="J89" i="20"/>
  <c r="K89" i="20"/>
  <c r="L44" i="20"/>
  <c r="K80" i="20"/>
  <c r="K53" i="20"/>
  <c r="K62" i="20"/>
  <c r="AC25" i="10" l="1"/>
  <c r="K171" i="20"/>
  <c r="L176" i="20"/>
  <c r="K178" i="20"/>
  <c r="K177" i="20"/>
  <c r="J179" i="20"/>
  <c r="L62" i="20"/>
  <c r="L71" i="20"/>
  <c r="M53" i="20"/>
  <c r="L89" i="20"/>
  <c r="L98" i="20"/>
  <c r="L53" i="20"/>
  <c r="K98" i="20"/>
  <c r="L80" i="20"/>
  <c r="AE25" i="10" l="1"/>
  <c r="AG25" i="10" s="1"/>
  <c r="L179" i="20"/>
  <c r="L178" i="20"/>
  <c r="L177" i="20"/>
  <c r="K179" i="20"/>
  <c r="M80" i="20"/>
  <c r="M98" i="20"/>
  <c r="M62" i="20"/>
  <c r="M177" i="20" s="1"/>
  <c r="M71" i="20"/>
  <c r="M107" i="20"/>
  <c r="L107" i="20"/>
  <c r="L171" i="20" s="1"/>
  <c r="M89" i="20"/>
  <c r="N62" i="20"/>
  <c r="AA26" i="10" l="1"/>
  <c r="M179" i="20"/>
  <c r="N177" i="20"/>
  <c r="L180" i="20"/>
  <c r="M178" i="20"/>
  <c r="N98" i="20"/>
  <c r="N80" i="20"/>
  <c r="N107" i="20"/>
  <c r="M116" i="20"/>
  <c r="M171" i="20" s="1"/>
  <c r="O71" i="20"/>
  <c r="N71" i="20"/>
  <c r="N116" i="20"/>
  <c r="N89" i="20"/>
  <c r="N171" i="20" l="1"/>
  <c r="AC26" i="10"/>
  <c r="N178" i="20"/>
  <c r="N180" i="20"/>
  <c r="N179" i="20"/>
  <c r="M180" i="20"/>
  <c r="P80" i="20"/>
  <c r="O89" i="20"/>
  <c r="O98" i="20"/>
  <c r="O116" i="20"/>
  <c r="N125" i="20"/>
  <c r="O80" i="20"/>
  <c r="O178" i="20" s="1"/>
  <c r="O125" i="20"/>
  <c r="O107" i="20"/>
  <c r="AE26" i="10" l="1"/>
  <c r="AG26" i="10" s="1"/>
  <c r="P178" i="20"/>
  <c r="O180" i="20"/>
  <c r="O179" i="20"/>
  <c r="N181" i="20"/>
  <c r="P89" i="20"/>
  <c r="P107" i="20"/>
  <c r="P134" i="20"/>
  <c r="P98" i="20"/>
  <c r="O134" i="20"/>
  <c r="O171" i="20" s="1"/>
  <c r="P116" i="20"/>
  <c r="P125" i="20"/>
  <c r="Q89" i="20"/>
  <c r="P171" i="20" l="1"/>
  <c r="AA27" i="10"/>
  <c r="AC27" i="10" s="1"/>
  <c r="AE27" i="10" s="1"/>
  <c r="AG27" i="10" s="1"/>
  <c r="P180" i="20"/>
  <c r="P181" i="20"/>
  <c r="P179" i="20"/>
  <c r="O181" i="20"/>
  <c r="R98" i="20"/>
  <c r="Q107" i="20"/>
  <c r="Q98" i="20"/>
  <c r="Q179" i="20" s="1"/>
  <c r="Q134" i="20"/>
  <c r="Q116" i="20"/>
  <c r="Q143" i="20"/>
  <c r="Q125" i="20"/>
  <c r="P143" i="20"/>
  <c r="R171" i="20" l="1"/>
  <c r="Q181" i="20"/>
  <c r="Q180" i="20"/>
  <c r="R179" i="20"/>
  <c r="P182" i="20"/>
  <c r="R161" i="20"/>
  <c r="R183" i="20" s="1"/>
  <c r="Q152" i="20"/>
  <c r="Q171" i="20" s="1"/>
  <c r="R134" i="20"/>
  <c r="R107" i="20"/>
  <c r="S161" i="20"/>
  <c r="S183" i="20" s="1"/>
  <c r="R152" i="20"/>
  <c r="R116" i="20"/>
  <c r="R125" i="20"/>
  <c r="R143" i="20"/>
  <c r="S107" i="20"/>
  <c r="S171" i="20" l="1"/>
  <c r="R181" i="20"/>
  <c r="R180" i="20"/>
  <c r="R182" i="20"/>
  <c r="Q182" i="20"/>
  <c r="S116" i="20"/>
  <c r="S180" i="20" s="1"/>
  <c r="T134" i="20"/>
  <c r="S125" i="20"/>
  <c r="T161" i="20"/>
  <c r="T183" i="20" s="1"/>
  <c r="S152" i="20"/>
  <c r="T143" i="20"/>
  <c r="S134" i="20"/>
  <c r="T152" i="20"/>
  <c r="S143" i="20"/>
  <c r="T116" i="20"/>
  <c r="T171" i="20" l="1"/>
  <c r="S181" i="20"/>
  <c r="S182" i="20"/>
  <c r="T180" i="20"/>
  <c r="T182" i="20"/>
  <c r="T125" i="20"/>
  <c r="T181" i="20" l="1"/>
  <c r="D8" i="20" l="1"/>
  <c r="D171" i="20" s="1"/>
  <c r="D174" i="20" l="1"/>
  <c r="A185" i="20" s="1" a="1"/>
  <c r="F9" i="12" s="1"/>
  <c r="F10" i="12" l="1"/>
  <c r="R89" i="10"/>
  <c r="S89" i="10"/>
  <c r="T89" i="10"/>
  <c r="U89" i="10"/>
  <c r="V89" i="10"/>
  <c r="Q90" i="10"/>
  <c r="R90" i="10"/>
  <c r="S90" i="10"/>
  <c r="T90" i="10"/>
  <c r="U90" i="10"/>
  <c r="V90" i="10"/>
  <c r="Q91" i="10"/>
  <c r="R91" i="10"/>
  <c r="S91" i="10"/>
  <c r="T91" i="10"/>
  <c r="U91" i="10"/>
  <c r="V91" i="10"/>
  <c r="Q92" i="10"/>
  <c r="R92" i="10"/>
  <c r="S92" i="10"/>
  <c r="T92" i="10"/>
  <c r="U92" i="10"/>
  <c r="V92" i="10"/>
  <c r="Q93" i="10"/>
  <c r="R93" i="10"/>
  <c r="S93" i="10"/>
  <c r="T93" i="10"/>
  <c r="U93" i="10"/>
  <c r="V93" i="10"/>
  <c r="Q94" i="10"/>
  <c r="R94" i="10"/>
  <c r="S94" i="10"/>
  <c r="T94" i="10"/>
  <c r="U94" i="10"/>
  <c r="V94" i="10"/>
  <c r="Q95" i="10"/>
  <c r="R95" i="10"/>
  <c r="S95" i="10"/>
  <c r="T95" i="10"/>
  <c r="U95" i="10"/>
  <c r="V95" i="10"/>
  <c r="Q96" i="10"/>
  <c r="R96" i="10"/>
  <c r="S96" i="10"/>
  <c r="T96" i="10"/>
  <c r="U96" i="10"/>
  <c r="V96" i="10"/>
  <c r="Q97" i="10"/>
  <c r="R97" i="10"/>
  <c r="S97" i="10"/>
  <c r="T97" i="10"/>
  <c r="U97" i="10"/>
  <c r="V97" i="10"/>
  <c r="Q98" i="10"/>
  <c r="R98" i="10"/>
  <c r="S98" i="10"/>
  <c r="T98" i="10"/>
  <c r="U98" i="10"/>
  <c r="V98" i="10"/>
  <c r="Q99" i="10"/>
  <c r="R99" i="10"/>
  <c r="S99" i="10"/>
  <c r="T99" i="10"/>
  <c r="U99" i="10"/>
  <c r="V99" i="10"/>
  <c r="Q100" i="10"/>
  <c r="R100" i="10"/>
  <c r="S100" i="10"/>
  <c r="T100" i="10"/>
  <c r="U100" i="10"/>
  <c r="V100" i="10"/>
  <c r="Q101" i="10"/>
  <c r="R101" i="10"/>
  <c r="S101" i="10"/>
  <c r="T101" i="10"/>
  <c r="U101" i="10"/>
  <c r="V101" i="10"/>
  <c r="Q102" i="10"/>
  <c r="R102" i="10"/>
  <c r="S102" i="10"/>
  <c r="T102" i="10"/>
  <c r="U102" i="10"/>
  <c r="V102" i="10"/>
  <c r="Q103" i="10"/>
  <c r="R103" i="10"/>
  <c r="S103" i="10"/>
  <c r="T103" i="10"/>
  <c r="U103" i="10"/>
  <c r="V103" i="10"/>
  <c r="Q104" i="10"/>
  <c r="R104" i="10"/>
  <c r="S104" i="10"/>
  <c r="T104" i="10"/>
  <c r="U104" i="10"/>
  <c r="V104" i="10"/>
  <c r="Q105" i="10"/>
  <c r="R105" i="10"/>
  <c r="S105" i="10"/>
  <c r="T105" i="10"/>
  <c r="U105" i="10"/>
  <c r="V105" i="10"/>
  <c r="Q106" i="10"/>
  <c r="R106" i="10"/>
  <c r="S106" i="10"/>
  <c r="T106" i="10"/>
  <c r="U106" i="10"/>
  <c r="V106" i="10"/>
  <c r="Q107" i="10"/>
  <c r="R107" i="10"/>
  <c r="S107" i="10"/>
  <c r="T107" i="10"/>
  <c r="U107" i="10"/>
  <c r="V107" i="10"/>
  <c r="Q108" i="10"/>
  <c r="R108" i="10"/>
  <c r="S108" i="10"/>
  <c r="T108" i="10"/>
  <c r="U108" i="10"/>
  <c r="V108" i="10"/>
  <c r="Q69" i="10"/>
  <c r="Q77" i="10"/>
  <c r="Q53" i="10"/>
  <c r="Q45" i="10"/>
  <c r="Q37" i="10"/>
  <c r="Q48" i="10"/>
  <c r="Q47" i="10"/>
  <c r="Q38" i="10"/>
  <c r="Q70" i="10"/>
  <c r="Q78" i="10"/>
  <c r="Q52" i="10"/>
  <c r="Q44" i="10"/>
  <c r="Q36" i="10"/>
  <c r="Q40" i="10"/>
  <c r="Q68" i="10"/>
  <c r="Q63" i="10"/>
  <c r="Q71" i="10"/>
  <c r="Q79" i="10"/>
  <c r="Q51" i="10"/>
  <c r="Q43" i="10"/>
  <c r="Q74" i="10"/>
  <c r="Q75" i="10"/>
  <c r="Q46" i="10"/>
  <c r="Q64" i="10"/>
  <c r="Q72" i="10"/>
  <c r="Q80" i="10"/>
  <c r="Q50" i="10"/>
  <c r="Q42" i="10"/>
  <c r="Q54" i="10"/>
  <c r="Q65" i="10"/>
  <c r="Q73" i="10"/>
  <c r="Q81" i="10"/>
  <c r="Q49" i="10"/>
  <c r="Q41" i="10"/>
  <c r="Q66" i="10"/>
  <c r="Q67" i="10"/>
  <c r="Q39" i="10"/>
  <c r="Q76" i="10"/>
  <c r="Q89" i="10"/>
  <c r="R62" i="10"/>
  <c r="U35" i="10"/>
  <c r="T35" i="10"/>
  <c r="S35" i="10"/>
  <c r="V35" i="10"/>
  <c r="V62" i="10"/>
  <c r="R35" i="10"/>
  <c r="U62" i="10"/>
  <c r="T62" i="10"/>
  <c r="S62" i="10"/>
  <c r="Q8" i="12"/>
  <c r="K18" i="12"/>
  <c r="K102" i="12" s="1"/>
  <c r="K21" i="12"/>
  <c r="K105" i="12" s="1"/>
  <c r="H25" i="12"/>
  <c r="H109" i="12" s="1"/>
  <c r="G25" i="12"/>
  <c r="G109" i="12" s="1"/>
  <c r="I21" i="12"/>
  <c r="I105" i="12" s="1"/>
  <c r="F20" i="12"/>
  <c r="F104" i="12" s="1"/>
  <c r="L21" i="12"/>
  <c r="L105" i="12" s="1"/>
  <c r="H20" i="12"/>
  <c r="H104" i="12" s="1"/>
  <c r="G21" i="12"/>
  <c r="G105" i="12" s="1"/>
  <c r="I26" i="12"/>
  <c r="I110" i="12" s="1"/>
  <c r="A185" i="20"/>
  <c r="L18" i="12"/>
  <c r="L102" i="12" s="1"/>
  <c r="N17" i="12"/>
  <c r="N101" i="12" s="1"/>
  <c r="J12" i="12"/>
  <c r="J96" i="12" s="1"/>
  <c r="K22" i="12"/>
  <c r="K106" i="12" s="1"/>
  <c r="N21" i="12"/>
  <c r="N105" i="12" s="1"/>
  <c r="J23" i="12"/>
  <c r="J107" i="12" s="1"/>
  <c r="L25" i="12"/>
  <c r="L109" i="12" s="1"/>
  <c r="L14" i="12"/>
  <c r="L98" i="12" s="1"/>
  <c r="H19" i="12"/>
  <c r="H103" i="12" s="1"/>
  <c r="L16" i="12"/>
  <c r="L100" i="12" s="1"/>
  <c r="L24" i="12"/>
  <c r="L108" i="12" s="1"/>
  <c r="K25" i="12"/>
  <c r="K109" i="12" s="1"/>
  <c r="J17" i="12"/>
  <c r="J101" i="12" s="1"/>
  <c r="L23" i="12"/>
  <c r="L107" i="12" s="1"/>
  <c r="M12" i="12"/>
  <c r="M96" i="12" s="1"/>
  <c r="I18" i="12"/>
  <c r="I102" i="12" s="1"/>
  <c r="L13" i="12"/>
  <c r="L97" i="12" s="1"/>
  <c r="F16" i="12"/>
  <c r="F100" i="12" s="1"/>
  <c r="I24" i="12"/>
  <c r="I108" i="12" s="1"/>
  <c r="K12" i="12"/>
  <c r="K96" i="12" s="1"/>
  <c r="N14" i="12"/>
  <c r="N98" i="12" s="1"/>
  <c r="J24" i="12"/>
  <c r="J108" i="12" s="1"/>
  <c r="M14" i="12"/>
  <c r="M98" i="12" s="1"/>
  <c r="I11" i="12"/>
  <c r="I95" i="12" s="1"/>
  <c r="I22" i="12"/>
  <c r="I106" i="12" s="1"/>
  <c r="J18" i="12"/>
  <c r="J102" i="12" s="1"/>
  <c r="J25" i="12"/>
  <c r="J109" i="12" s="1"/>
  <c r="J20" i="12"/>
  <c r="J104" i="12" s="1"/>
  <c r="L12" i="12"/>
  <c r="L96" i="12" s="1"/>
  <c r="K17" i="12"/>
  <c r="K101" i="12" s="1"/>
  <c r="H18" i="12"/>
  <c r="H102" i="12" s="1"/>
  <c r="J11" i="12"/>
  <c r="J95" i="12" s="1"/>
  <c r="N22" i="12"/>
  <c r="N106" i="12" s="1"/>
  <c r="K24" i="12"/>
  <c r="K108" i="12" s="1"/>
  <c r="H15" i="12"/>
  <c r="H99" i="12" s="1"/>
  <c r="F22" i="12"/>
  <c r="F106" i="12" s="1"/>
  <c r="I23" i="12"/>
  <c r="I107" i="12" s="1"/>
  <c r="N26" i="12"/>
  <c r="N110" i="12" s="1"/>
  <c r="L26" i="12"/>
  <c r="L110" i="12" s="1"/>
  <c r="K14" i="12"/>
  <c r="K98" i="12" s="1"/>
  <c r="K19" i="12"/>
  <c r="K103" i="12" s="1"/>
  <c r="M13" i="12"/>
  <c r="M97" i="12" s="1"/>
  <c r="M20" i="12"/>
  <c r="M104" i="12" s="1"/>
  <c r="M18" i="12"/>
  <c r="M102" i="12" s="1"/>
  <c r="N20" i="12"/>
  <c r="N104" i="12" s="1"/>
  <c r="M25" i="12"/>
  <c r="M109" i="12" s="1"/>
  <c r="H21" i="12"/>
  <c r="H105" i="12" s="1"/>
  <c r="N18" i="12"/>
  <c r="N102" i="12" s="1"/>
  <c r="K23" i="12"/>
  <c r="K107" i="12" s="1"/>
  <c r="G24" i="12"/>
  <c r="G108" i="12" s="1"/>
  <c r="H23" i="12"/>
  <c r="H107" i="12" s="1"/>
  <c r="H11" i="12"/>
  <c r="H95" i="12" s="1"/>
  <c r="G18" i="12"/>
  <c r="G102" i="12" s="1"/>
  <c r="G11" i="12"/>
  <c r="G95" i="12" s="1"/>
  <c r="N23" i="12"/>
  <c r="N107" i="12" s="1"/>
  <c r="L19" i="12"/>
  <c r="L103" i="12" s="1"/>
  <c r="H13" i="12"/>
  <c r="H97" i="12" s="1"/>
  <c r="M16" i="12"/>
  <c r="M100" i="12" s="1"/>
  <c r="I16" i="12"/>
  <c r="I100" i="12" s="1"/>
  <c r="J15" i="12"/>
  <c r="J99" i="12" s="1"/>
  <c r="M11" i="12"/>
  <c r="M95" i="12" s="1"/>
  <c r="F12" i="12"/>
  <c r="F96" i="12" s="1"/>
  <c r="F23" i="12"/>
  <c r="F107" i="12" s="1"/>
  <c r="G26" i="12"/>
  <c r="G110" i="12" s="1"/>
  <c r="I19" i="12"/>
  <c r="I103" i="12" s="1"/>
  <c r="I12" i="12"/>
  <c r="I96" i="12" s="1"/>
  <c r="G15" i="12"/>
  <c r="G99" i="12" s="1"/>
  <c r="F24" i="12"/>
  <c r="F108" i="12" s="1"/>
  <c r="I15" i="12"/>
  <c r="I99" i="12" s="1"/>
  <c r="F26" i="12"/>
  <c r="F110" i="12" s="1"/>
  <c r="N11" i="12"/>
  <c r="N95" i="12" s="1"/>
  <c r="M19" i="12"/>
  <c r="M103" i="12" s="1"/>
  <c r="F25" i="12"/>
  <c r="F109" i="12" s="1"/>
  <c r="G20" i="12"/>
  <c r="G104" i="12" s="1"/>
  <c r="F11" i="12"/>
  <c r="F95" i="12" s="1"/>
  <c r="M24" i="12"/>
  <c r="M108" i="12" s="1"/>
  <c r="M22" i="12"/>
  <c r="M106" i="12" s="1"/>
  <c r="N19" i="12"/>
  <c r="N103" i="12" s="1"/>
  <c r="G14" i="12"/>
  <c r="G98" i="12" s="1"/>
  <c r="G22" i="12"/>
  <c r="G106" i="12" s="1"/>
  <c r="F17" i="12"/>
  <c r="F101" i="12" s="1"/>
  <c r="H26" i="12"/>
  <c r="H110" i="12" s="1"/>
  <c r="H12" i="12"/>
  <c r="H96" i="12" s="1"/>
  <c r="F15" i="12"/>
  <c r="F99" i="12" s="1"/>
  <c r="J14" i="12"/>
  <c r="J98" i="12" s="1"/>
  <c r="F93" i="12"/>
  <c r="N25" i="12"/>
  <c r="N109" i="12" s="1"/>
  <c r="L11" i="12"/>
  <c r="L95" i="12" s="1"/>
  <c r="L22" i="12"/>
  <c r="L106" i="12" s="1"/>
  <c r="L17" i="12"/>
  <c r="L101" i="12" s="1"/>
  <c r="M21" i="12"/>
  <c r="M105" i="12" s="1"/>
  <c r="G13" i="12"/>
  <c r="G97" i="12" s="1"/>
  <c r="N13" i="12"/>
  <c r="N97" i="12" s="1"/>
  <c r="H22" i="12"/>
  <c r="H106" i="12" s="1"/>
  <c r="I17" i="12"/>
  <c r="I101" i="12" s="1"/>
  <c r="J13" i="12"/>
  <c r="J97" i="12" s="1"/>
  <c r="F94" i="12"/>
  <c r="F14" i="12"/>
  <c r="F98" i="12" s="1"/>
  <c r="G23" i="12"/>
  <c r="G107" i="12" s="1"/>
  <c r="F18" i="12"/>
  <c r="F102" i="12" s="1"/>
  <c r="J21" i="12"/>
  <c r="J105" i="12" s="1"/>
  <c r="K20" i="12"/>
  <c r="K104" i="12" s="1"/>
  <c r="H14" i="12"/>
  <c r="H98" i="12" s="1"/>
  <c r="K26" i="12"/>
  <c r="K110" i="12" s="1"/>
  <c r="I13" i="12"/>
  <c r="I97" i="12" s="1"/>
  <c r="I25" i="12"/>
  <c r="I109" i="12" s="1"/>
  <c r="J16" i="12"/>
  <c r="J100" i="12" s="1"/>
  <c r="I20" i="12"/>
  <c r="I104" i="12" s="1"/>
  <c r="N15" i="12"/>
  <c r="N99" i="12" s="1"/>
  <c r="G16" i="12"/>
  <c r="G100" i="12" s="1"/>
  <c r="H17" i="12"/>
  <c r="H101" i="12" s="1"/>
  <c r="H16" i="12"/>
  <c r="H100" i="12" s="1"/>
  <c r="G12" i="12"/>
  <c r="G96" i="12" s="1"/>
  <c r="K16" i="12"/>
  <c r="K100" i="12" s="1"/>
  <c r="K11" i="12"/>
  <c r="K95" i="12" s="1"/>
  <c r="K15" i="12"/>
  <c r="K99" i="12" s="1"/>
  <c r="J26" i="12"/>
  <c r="J110" i="12" s="1"/>
  <c r="L20" i="12"/>
  <c r="L104" i="12" s="1"/>
  <c r="F21" i="12"/>
  <c r="F105" i="12" s="1"/>
  <c r="M23" i="12"/>
  <c r="M107" i="12" s="1"/>
  <c r="M26" i="12"/>
  <c r="M110" i="12" s="1"/>
  <c r="K13" i="12"/>
  <c r="K97" i="12" s="1"/>
  <c r="I14" i="12"/>
  <c r="I98" i="12" s="1"/>
  <c r="N24" i="12"/>
  <c r="N108" i="12" s="1"/>
  <c r="G17" i="12"/>
  <c r="G101" i="12" s="1"/>
  <c r="M15" i="12"/>
  <c r="M99" i="12" s="1"/>
  <c r="N16" i="12"/>
  <c r="N100" i="12" s="1"/>
  <c r="M17" i="12"/>
  <c r="M101" i="12" s="1"/>
  <c r="F19" i="12"/>
  <c r="F103" i="12" s="1"/>
  <c r="N12" i="12"/>
  <c r="N96" i="12" s="1"/>
  <c r="H24" i="12"/>
  <c r="H108" i="12" s="1"/>
  <c r="J19" i="12"/>
  <c r="J103" i="12" s="1"/>
  <c r="J22" i="12"/>
  <c r="J106" i="12" s="1"/>
  <c r="F13" i="12"/>
  <c r="F97" i="12" s="1"/>
  <c r="G19" i="12"/>
  <c r="G103" i="12" s="1"/>
  <c r="L15" i="12"/>
  <c r="L99" i="12" s="1"/>
  <c r="V79" i="10"/>
  <c r="V41" i="10"/>
  <c r="R68" i="10"/>
  <c r="S52" i="10"/>
  <c r="S40" i="10"/>
  <c r="V70" i="10"/>
  <c r="V40" i="10"/>
  <c r="R69" i="10"/>
  <c r="T46" i="10"/>
  <c r="R40" i="10"/>
  <c r="R47" i="10"/>
  <c r="R43" i="10"/>
  <c r="R66" i="10"/>
  <c r="V76" i="10"/>
  <c r="V53" i="10"/>
  <c r="V73" i="10"/>
  <c r="T74" i="10"/>
  <c r="V51" i="10"/>
  <c r="U78" i="10"/>
  <c r="R76" i="10"/>
  <c r="T76" i="10"/>
  <c r="R77" i="10"/>
  <c r="T79" i="10"/>
  <c r="U54" i="10"/>
  <c r="S73" i="10"/>
  <c r="S68" i="10"/>
  <c r="U42" i="10"/>
  <c r="U39" i="10"/>
  <c r="S79" i="10"/>
  <c r="T51" i="10"/>
  <c r="R36" i="10"/>
  <c r="S71" i="10"/>
  <c r="R80" i="10"/>
  <c r="T50" i="10"/>
  <c r="U64" i="10"/>
  <c r="V52" i="10"/>
  <c r="V44" i="10"/>
  <c r="U41" i="10"/>
  <c r="V50" i="10"/>
  <c r="R52" i="10"/>
  <c r="U66" i="10"/>
  <c r="V75" i="10"/>
  <c r="U37" i="10"/>
  <c r="S36" i="10"/>
  <c r="R45" i="10"/>
  <c r="T80" i="10"/>
  <c r="R73" i="10"/>
  <c r="S69" i="10"/>
  <c r="T36" i="10"/>
  <c r="T54" i="10"/>
  <c r="R38" i="10"/>
  <c r="S49" i="10"/>
  <c r="U80" i="10"/>
  <c r="U44" i="10"/>
  <c r="T40" i="10"/>
  <c r="S46" i="10"/>
  <c r="V46" i="10"/>
  <c r="R49" i="10"/>
  <c r="T47" i="10"/>
  <c r="T68" i="10"/>
  <c r="V69" i="10"/>
  <c r="U73" i="10"/>
  <c r="V72" i="10"/>
  <c r="R71" i="10"/>
  <c r="U69" i="10"/>
  <c r="T72" i="10"/>
  <c r="R48" i="10"/>
  <c r="T39" i="10"/>
  <c r="T81" i="10"/>
  <c r="V42" i="10"/>
  <c r="T77" i="10"/>
  <c r="V77" i="10"/>
  <c r="U47" i="10"/>
  <c r="V66" i="10"/>
  <c r="V36" i="10"/>
  <c r="V49" i="10"/>
  <c r="R81" i="10"/>
  <c r="R42" i="10"/>
  <c r="T53" i="10"/>
  <c r="V47" i="10"/>
  <c r="T37" i="10"/>
  <c r="U49" i="10"/>
  <c r="V54" i="10"/>
  <c r="R64" i="10"/>
  <c r="U72" i="10"/>
  <c r="T66" i="10"/>
  <c r="U70" i="10"/>
  <c r="U40" i="10"/>
  <c r="S75" i="10"/>
  <c r="R67" i="10"/>
  <c r="S41" i="10"/>
  <c r="U79" i="10"/>
  <c r="T69" i="10"/>
  <c r="U63" i="10"/>
  <c r="R39" i="10"/>
  <c r="U46" i="10"/>
  <c r="V43" i="10"/>
  <c r="U52" i="10"/>
  <c r="U53" i="10"/>
  <c r="S72" i="10"/>
  <c r="T43" i="10"/>
  <c r="S67" i="10"/>
  <c r="U77" i="10"/>
  <c r="R46" i="10"/>
  <c r="S42" i="10"/>
  <c r="V71" i="10"/>
  <c r="S65" i="10"/>
  <c r="T67" i="10"/>
  <c r="V48" i="10"/>
  <c r="V67" i="10"/>
  <c r="S48" i="10"/>
  <c r="R65" i="10"/>
  <c r="U76" i="10"/>
  <c r="V68" i="10"/>
  <c r="V80" i="10"/>
  <c r="R54" i="10"/>
  <c r="S77" i="10"/>
  <c r="S50" i="10"/>
  <c r="U36" i="10"/>
  <c r="R78" i="10"/>
  <c r="S47" i="10"/>
  <c r="R51" i="10"/>
  <c r="T73" i="10"/>
  <c r="T75" i="10"/>
  <c r="T63" i="10"/>
  <c r="T71" i="10"/>
  <c r="S63" i="10"/>
  <c r="V74" i="10"/>
  <c r="R70" i="10"/>
  <c r="S51" i="10"/>
  <c r="R63" i="10"/>
  <c r="S78" i="10"/>
  <c r="T64" i="10"/>
  <c r="V37" i="10"/>
  <c r="R53" i="10"/>
  <c r="U50" i="10"/>
  <c r="T78" i="10"/>
  <c r="V78" i="10"/>
  <c r="U65" i="10"/>
  <c r="U67" i="10"/>
  <c r="S39" i="10"/>
  <c r="U68" i="10"/>
  <c r="S80" i="10"/>
  <c r="S74" i="10"/>
  <c r="U71" i="10"/>
  <c r="R50" i="10"/>
  <c r="T70" i="10"/>
  <c r="T65" i="10"/>
  <c r="T41" i="10"/>
  <c r="S66" i="10"/>
  <c r="U51" i="10"/>
  <c r="T45" i="10"/>
  <c r="U81" i="10"/>
  <c r="U75" i="10"/>
  <c r="R74" i="10"/>
  <c r="S70" i="10"/>
  <c r="V64" i="10"/>
  <c r="T38" i="10"/>
  <c r="R79" i="10"/>
  <c r="T42" i="10"/>
  <c r="R41" i="10"/>
  <c r="S54" i="10"/>
  <c r="S37" i="10"/>
  <c r="R37" i="10"/>
  <c r="S38" i="10"/>
  <c r="U38" i="10"/>
  <c r="V39" i="10"/>
  <c r="S43" i="10"/>
  <c r="U45" i="10"/>
  <c r="S44" i="10"/>
  <c r="S45" i="10"/>
  <c r="R72" i="10"/>
  <c r="V45" i="10"/>
  <c r="T44" i="10"/>
  <c r="V63" i="10"/>
  <c r="V38" i="10"/>
  <c r="R75" i="10"/>
  <c r="S53" i="10"/>
  <c r="U48" i="10"/>
  <c r="U43" i="10"/>
  <c r="T52" i="10"/>
  <c r="R44" i="10"/>
  <c r="T49" i="10"/>
  <c r="S81" i="10"/>
  <c r="V81" i="10"/>
  <c r="T48" i="10"/>
  <c r="S64" i="10"/>
  <c r="S76" i="10"/>
  <c r="U74" i="10"/>
  <c r="V65" i="10"/>
  <c r="G215" i="7" l="1"/>
  <c r="M138" i="12"/>
  <c r="G220" i="7"/>
  <c r="M143" i="12"/>
  <c r="G211" i="7"/>
  <c r="M134" i="12"/>
  <c r="G208" i="7"/>
  <c r="M131" i="12"/>
  <c r="G213" i="7"/>
  <c r="M136" i="12"/>
  <c r="G216" i="7"/>
  <c r="M139" i="12"/>
  <c r="G214" i="7"/>
  <c r="M137" i="12"/>
  <c r="G206" i="7"/>
  <c r="M129" i="12"/>
  <c r="G222" i="7"/>
  <c r="M145" i="12"/>
  <c r="G221" i="7"/>
  <c r="M144" i="12"/>
  <c r="G210" i="7"/>
  <c r="M133" i="12"/>
  <c r="G218" i="7"/>
  <c r="M141" i="12"/>
  <c r="G217" i="7"/>
  <c r="M140" i="12"/>
  <c r="G212" i="7"/>
  <c r="M135" i="12"/>
  <c r="G209" i="7"/>
  <c r="M132" i="12"/>
  <c r="G219" i="7"/>
  <c r="M142" i="12"/>
  <c r="G207" i="7"/>
  <c r="M130" i="12"/>
  <c r="Z107" i="10"/>
  <c r="AD107" i="10" s="1"/>
  <c r="Z103" i="10"/>
  <c r="AD103" i="10" s="1"/>
  <c r="Z99" i="10"/>
  <c r="AD99" i="10" s="1"/>
  <c r="Z95" i="10"/>
  <c r="AD95" i="10" s="1"/>
  <c r="Z91" i="10"/>
  <c r="AD91" i="10" s="1"/>
  <c r="X94" i="12"/>
  <c r="Q94" i="12"/>
  <c r="Z108" i="10"/>
  <c r="AD108" i="10" s="1"/>
  <c r="Z104" i="10"/>
  <c r="AD104" i="10" s="1"/>
  <c r="Z100" i="10"/>
  <c r="AD100" i="10" s="1"/>
  <c r="Z96" i="10"/>
  <c r="AD96" i="10" s="1"/>
  <c r="Z92" i="10"/>
  <c r="AD92" i="10" s="1"/>
  <c r="X93" i="12"/>
  <c r="Q93" i="12"/>
  <c r="Z105" i="10"/>
  <c r="AD105" i="10" s="1"/>
  <c r="Z101" i="10"/>
  <c r="AD101" i="10" s="1"/>
  <c r="Z97" i="10"/>
  <c r="AD97" i="10" s="1"/>
  <c r="Z93" i="10"/>
  <c r="AD93" i="10" s="1"/>
  <c r="Z106" i="10"/>
  <c r="AD106" i="10" s="1"/>
  <c r="Z102" i="10"/>
  <c r="AD102" i="10" s="1"/>
  <c r="Z98" i="10"/>
  <c r="AD98" i="10" s="1"/>
  <c r="Z94" i="10"/>
  <c r="AD94" i="10" s="1"/>
  <c r="Z90" i="10"/>
  <c r="AD90" i="10" s="1"/>
  <c r="Y103" i="12"/>
  <c r="Y104" i="12"/>
  <c r="Y108" i="12"/>
  <c r="X98" i="12"/>
  <c r="Q98" i="12"/>
  <c r="X103" i="12"/>
  <c r="Q103" i="12"/>
  <c r="Y96" i="12"/>
  <c r="X101" i="12"/>
  <c r="Q101" i="12"/>
  <c r="X109" i="12"/>
  <c r="Q109" i="12"/>
  <c r="Y109" i="12"/>
  <c r="Y106" i="12"/>
  <c r="Y110" i="12"/>
  <c r="X105" i="12"/>
  <c r="Q105" i="12"/>
  <c r="Y98" i="12"/>
  <c r="X107" i="12"/>
  <c r="Q107" i="12"/>
  <c r="X97" i="12"/>
  <c r="Q97" i="12"/>
  <c r="Y100" i="12"/>
  <c r="X110" i="12"/>
  <c r="Q110" i="12"/>
  <c r="X96" i="12"/>
  <c r="Q96" i="12"/>
  <c r="Y95" i="12"/>
  <c r="Y105" i="12"/>
  <c r="X100" i="12"/>
  <c r="Q100" i="12"/>
  <c r="Y101" i="12"/>
  <c r="Y102" i="12"/>
  <c r="X102" i="12"/>
  <c r="Q102" i="12"/>
  <c r="Y97" i="12"/>
  <c r="X99" i="12"/>
  <c r="Q99" i="12"/>
  <c r="X108" i="12"/>
  <c r="Q108" i="12"/>
  <c r="X106" i="12"/>
  <c r="Q106" i="12"/>
  <c r="Y107" i="12"/>
  <c r="X95" i="12"/>
  <c r="Q95" i="12"/>
  <c r="Y99" i="12"/>
  <c r="X104" i="12"/>
  <c r="Q104" i="12"/>
  <c r="Z89" i="10"/>
  <c r="AD89" i="10" s="1"/>
  <c r="AE89" i="10" s="1"/>
  <c r="Q62" i="10"/>
  <c r="Z62" i="10" s="1"/>
  <c r="AD62" i="10" s="1"/>
  <c r="AE62" i="10" s="1"/>
  <c r="Q35" i="10"/>
  <c r="O20" i="12"/>
  <c r="Q20" i="12" s="1"/>
  <c r="O24" i="12"/>
  <c r="Q24" i="12" s="1"/>
  <c r="O19" i="12"/>
  <c r="Q19" i="12" s="1"/>
  <c r="Q10" i="12"/>
  <c r="Q9" i="12"/>
  <c r="O12" i="12"/>
  <c r="Q12" i="12" s="1"/>
  <c r="O25" i="12"/>
  <c r="Q25" i="12" s="1"/>
  <c r="O22" i="12"/>
  <c r="Q22" i="12" s="1"/>
  <c r="O26" i="12"/>
  <c r="Q26" i="12" s="1"/>
  <c r="O14" i="12"/>
  <c r="Q14" i="12" s="1"/>
  <c r="O16" i="12"/>
  <c r="Q16" i="12" s="1"/>
  <c r="O11" i="12"/>
  <c r="Q11" i="12" s="1"/>
  <c r="O21" i="12"/>
  <c r="Q21" i="12" s="1"/>
  <c r="O17" i="12"/>
  <c r="Q17" i="12" s="1"/>
  <c r="O18" i="12"/>
  <c r="Q18" i="12" s="1"/>
  <c r="O13" i="12"/>
  <c r="Q13" i="12" s="1"/>
  <c r="O23" i="12"/>
  <c r="Q23" i="12" s="1"/>
  <c r="O15" i="12"/>
  <c r="Q15" i="12" s="1"/>
  <c r="Z73" i="10"/>
  <c r="AD73" i="10" s="1"/>
  <c r="W22" i="12"/>
  <c r="W19" i="12"/>
  <c r="W16" i="12"/>
  <c r="W24" i="12"/>
  <c r="W26" i="12"/>
  <c r="W21" i="12"/>
  <c r="W15" i="12"/>
  <c r="W14" i="12"/>
  <c r="W13" i="12"/>
  <c r="W18" i="12"/>
  <c r="W12" i="12"/>
  <c r="W23" i="12"/>
  <c r="W8" i="12"/>
  <c r="W11" i="12"/>
  <c r="W20" i="12"/>
  <c r="W10" i="12"/>
  <c r="W25" i="12"/>
  <c r="W17" i="12"/>
  <c r="W9" i="12"/>
  <c r="Z43" i="10"/>
  <c r="AD43" i="10" s="1"/>
  <c r="Z41" i="10"/>
  <c r="AD41" i="10" s="1"/>
  <c r="Z70" i="10"/>
  <c r="AD70" i="10" s="1"/>
  <c r="N43" i="12"/>
  <c r="N71" i="12"/>
  <c r="G74" i="12"/>
  <c r="G46" i="12"/>
  <c r="Y18" i="12"/>
  <c r="H48" i="12"/>
  <c r="H76" i="12"/>
  <c r="Z48" i="10"/>
  <c r="AD48" i="10" s="1"/>
  <c r="Z37" i="10"/>
  <c r="AD37" i="10" s="1"/>
  <c r="Z71" i="10"/>
  <c r="AD71" i="10" s="1"/>
  <c r="J47" i="12"/>
  <c r="J75" i="12"/>
  <c r="N80" i="12"/>
  <c r="N52" i="12"/>
  <c r="K43" i="12"/>
  <c r="K71" i="12"/>
  <c r="I48" i="12"/>
  <c r="I76" i="12"/>
  <c r="F74" i="12"/>
  <c r="F46" i="12"/>
  <c r="X18" i="12"/>
  <c r="G41" i="12"/>
  <c r="G69" i="12"/>
  <c r="Y13" i="12"/>
  <c r="F71" i="12"/>
  <c r="F43" i="12"/>
  <c r="X15" i="12"/>
  <c r="M52" i="12"/>
  <c r="M80" i="12"/>
  <c r="F80" i="12"/>
  <c r="F52" i="12"/>
  <c r="X24" i="12"/>
  <c r="J43" i="12"/>
  <c r="J71" i="12"/>
  <c r="H67" i="12"/>
  <c r="H39" i="12"/>
  <c r="M46" i="12"/>
  <c r="M74" i="12"/>
  <c r="F78" i="12"/>
  <c r="F50" i="12"/>
  <c r="X22" i="12"/>
  <c r="J48" i="12"/>
  <c r="J76" i="12"/>
  <c r="K40" i="12"/>
  <c r="K68" i="12"/>
  <c r="K81" i="12"/>
  <c r="K53" i="12"/>
  <c r="K78" i="12"/>
  <c r="K50" i="12"/>
  <c r="L49" i="12"/>
  <c r="L77" i="12"/>
  <c r="Z51" i="10"/>
  <c r="AD51" i="10" s="1"/>
  <c r="G45" i="12"/>
  <c r="G73" i="12"/>
  <c r="Y17" i="12"/>
  <c r="J42" i="12"/>
  <c r="J70" i="12"/>
  <c r="L40" i="12"/>
  <c r="L68" i="12"/>
  <c r="Z63" i="10"/>
  <c r="AD63" i="10" s="1"/>
  <c r="M128" i="12"/>
  <c r="Z36" i="10"/>
  <c r="AD36" i="10" s="1"/>
  <c r="AE36" i="10" s="1"/>
  <c r="Z69" i="10"/>
  <c r="AD69" i="10" s="1"/>
  <c r="Z47" i="10"/>
  <c r="AD47" i="10" s="1"/>
  <c r="Z54" i="10"/>
  <c r="AD54" i="10" s="1"/>
  <c r="Z50" i="10"/>
  <c r="AD50" i="10" s="1"/>
  <c r="Z64" i="10"/>
  <c r="AD64" i="10" s="1"/>
  <c r="H80" i="12"/>
  <c r="H52" i="12"/>
  <c r="I42" i="12"/>
  <c r="I70" i="12"/>
  <c r="K39" i="12"/>
  <c r="K67" i="12"/>
  <c r="J44" i="12"/>
  <c r="J72" i="12"/>
  <c r="G51" i="12"/>
  <c r="G79" i="12"/>
  <c r="Y23" i="12"/>
  <c r="M49" i="12"/>
  <c r="M77" i="12"/>
  <c r="H40" i="12"/>
  <c r="H68" i="12"/>
  <c r="F39" i="12"/>
  <c r="F67" i="12"/>
  <c r="X11" i="12"/>
  <c r="Y15" i="12"/>
  <c r="G43" i="12"/>
  <c r="G71" i="12"/>
  <c r="I44" i="12"/>
  <c r="I72" i="12"/>
  <c r="H51" i="12"/>
  <c r="H79" i="12"/>
  <c r="M48" i="12"/>
  <c r="M76" i="12"/>
  <c r="H71" i="12"/>
  <c r="H43" i="12"/>
  <c r="J53" i="12"/>
  <c r="J81" i="12"/>
  <c r="I52" i="12"/>
  <c r="I80" i="12"/>
  <c r="L52" i="12"/>
  <c r="L80" i="12"/>
  <c r="J40" i="12"/>
  <c r="J68" i="12"/>
  <c r="X20" i="12"/>
  <c r="F76" i="12"/>
  <c r="F48" i="12"/>
  <c r="J54" i="12"/>
  <c r="J82" i="12"/>
  <c r="M67" i="12"/>
  <c r="M39" i="12"/>
  <c r="J45" i="12"/>
  <c r="J73" i="12"/>
  <c r="Z74" i="10"/>
  <c r="AD74" i="10" s="1"/>
  <c r="Z44" i="10"/>
  <c r="AD44" i="10" s="1"/>
  <c r="Z68" i="10"/>
  <c r="AD68" i="10" s="1"/>
  <c r="Z79" i="10"/>
  <c r="AD79" i="10" s="1"/>
  <c r="Z77" i="10"/>
  <c r="AD77" i="10" s="1"/>
  <c r="N40" i="12"/>
  <c r="N68" i="12"/>
  <c r="K69" i="12"/>
  <c r="K41" i="12"/>
  <c r="K44" i="12"/>
  <c r="K72" i="12"/>
  <c r="I53" i="12"/>
  <c r="I81" i="12"/>
  <c r="F42" i="12"/>
  <c r="F70" i="12"/>
  <c r="X14" i="12"/>
  <c r="L45" i="12"/>
  <c r="L73" i="12"/>
  <c r="H54" i="12"/>
  <c r="H82" i="12"/>
  <c r="G48" i="12"/>
  <c r="G76" i="12"/>
  <c r="Y20" i="12"/>
  <c r="I68" i="12"/>
  <c r="I40" i="12"/>
  <c r="M44" i="12"/>
  <c r="M72" i="12"/>
  <c r="G80" i="12"/>
  <c r="G52" i="12"/>
  <c r="Y24" i="12"/>
  <c r="M41" i="12"/>
  <c r="M69" i="12"/>
  <c r="K80" i="12"/>
  <c r="K52" i="12"/>
  <c r="J46" i="12"/>
  <c r="J74" i="12"/>
  <c r="F72" i="12"/>
  <c r="F44" i="12"/>
  <c r="X16" i="12"/>
  <c r="L72" i="12"/>
  <c r="L44" i="12"/>
  <c r="N45" i="12"/>
  <c r="N73" i="12"/>
  <c r="I77" i="12"/>
  <c r="I49" i="12"/>
  <c r="J49" i="12"/>
  <c r="J77" i="12"/>
  <c r="I51" i="12"/>
  <c r="I79" i="12"/>
  <c r="Z39" i="10"/>
  <c r="AD39" i="10" s="1"/>
  <c r="Z42" i="10"/>
  <c r="AD42" i="10" s="1"/>
  <c r="Z49" i="10"/>
  <c r="AD49" i="10" s="1"/>
  <c r="F47" i="12"/>
  <c r="F75" i="12"/>
  <c r="X19" i="12"/>
  <c r="M54" i="12"/>
  <c r="M82" i="12"/>
  <c r="G40" i="12"/>
  <c r="G68" i="12"/>
  <c r="Y12" i="12"/>
  <c r="I41" i="12"/>
  <c r="I69" i="12"/>
  <c r="F66" i="12"/>
  <c r="F38" i="12"/>
  <c r="X10" i="12"/>
  <c r="L50" i="12"/>
  <c r="L78" i="12"/>
  <c r="F73" i="12"/>
  <c r="F45" i="12"/>
  <c r="X17" i="12"/>
  <c r="F81" i="12"/>
  <c r="F53" i="12"/>
  <c r="X25" i="12"/>
  <c r="I47" i="12"/>
  <c r="I75" i="12"/>
  <c r="H69" i="12"/>
  <c r="H41" i="12"/>
  <c r="K79" i="12"/>
  <c r="K51" i="12"/>
  <c r="K47" i="12"/>
  <c r="K75" i="12"/>
  <c r="N78" i="12"/>
  <c r="N50" i="12"/>
  <c r="I50" i="12"/>
  <c r="I78" i="12"/>
  <c r="L41" i="12"/>
  <c r="L69" i="12"/>
  <c r="H75" i="12"/>
  <c r="H47" i="12"/>
  <c r="L46" i="12"/>
  <c r="L74" i="12"/>
  <c r="G81" i="12"/>
  <c r="G53" i="12"/>
  <c r="Y25" i="12"/>
  <c r="Z53" i="10"/>
  <c r="AD53" i="10" s="1"/>
  <c r="M50" i="12"/>
  <c r="M78" i="12"/>
  <c r="N70" i="12"/>
  <c r="N42" i="12"/>
  <c r="Z66" i="10"/>
  <c r="AD66" i="10" s="1"/>
  <c r="Z46" i="10"/>
  <c r="AD46" i="10" s="1"/>
  <c r="Z81" i="10"/>
  <c r="AD81" i="10" s="1"/>
  <c r="Z76" i="10"/>
  <c r="AD76" i="10" s="1"/>
  <c r="Z52" i="10"/>
  <c r="AD52" i="10" s="1"/>
  <c r="L43" i="12"/>
  <c r="L71" i="12"/>
  <c r="M45" i="12"/>
  <c r="M73" i="12"/>
  <c r="M51" i="12"/>
  <c r="M79" i="12"/>
  <c r="H44" i="12"/>
  <c r="H72" i="12"/>
  <c r="K54" i="12"/>
  <c r="K82" i="12"/>
  <c r="J41" i="12"/>
  <c r="J69" i="12"/>
  <c r="L67" i="12"/>
  <c r="L39" i="12"/>
  <c r="G78" i="12"/>
  <c r="G50" i="12"/>
  <c r="Y22" i="12"/>
  <c r="M47" i="12"/>
  <c r="M75" i="12"/>
  <c r="G54" i="12"/>
  <c r="Y26" i="12"/>
  <c r="G82" i="12"/>
  <c r="L75" i="12"/>
  <c r="L47" i="12"/>
  <c r="N74" i="12"/>
  <c r="N46" i="12"/>
  <c r="K42" i="12"/>
  <c r="K70" i="12"/>
  <c r="J39" i="12"/>
  <c r="J67" i="12"/>
  <c r="I39" i="12"/>
  <c r="I67" i="12"/>
  <c r="I46" i="12"/>
  <c r="I74" i="12"/>
  <c r="L70" i="12"/>
  <c r="L42" i="12"/>
  <c r="H81" i="12"/>
  <c r="H53" i="12"/>
  <c r="J50" i="12"/>
  <c r="J78" i="12"/>
  <c r="I43" i="12"/>
  <c r="I71" i="12"/>
  <c r="N77" i="12"/>
  <c r="N49" i="12"/>
  <c r="Z65" i="10"/>
  <c r="AD65" i="10" s="1"/>
  <c r="Z75" i="10"/>
  <c r="AD75" i="10" s="1"/>
  <c r="Z40" i="10"/>
  <c r="AD40" i="10" s="1"/>
  <c r="Z38" i="10"/>
  <c r="AD38" i="10" s="1"/>
  <c r="Z67" i="10"/>
  <c r="AD67" i="10" s="1"/>
  <c r="G75" i="12"/>
  <c r="G47" i="12"/>
  <c r="Y19" i="12"/>
  <c r="N44" i="12"/>
  <c r="N72" i="12"/>
  <c r="F77" i="12"/>
  <c r="F49" i="12"/>
  <c r="X21" i="12"/>
  <c r="H73" i="12"/>
  <c r="H45" i="12"/>
  <c r="H42" i="12"/>
  <c r="H70" i="12"/>
  <c r="I45" i="12"/>
  <c r="I73" i="12"/>
  <c r="N53" i="12"/>
  <c r="N81" i="12"/>
  <c r="G42" i="12"/>
  <c r="G70" i="12"/>
  <c r="Y14" i="12"/>
  <c r="N39" i="12"/>
  <c r="N67" i="12"/>
  <c r="F79" i="12"/>
  <c r="F51" i="12"/>
  <c r="X23" i="12"/>
  <c r="N51" i="12"/>
  <c r="N79" i="12"/>
  <c r="H77" i="12"/>
  <c r="H49" i="12"/>
  <c r="L54" i="12"/>
  <c r="L82" i="12"/>
  <c r="H46" i="12"/>
  <c r="H74" i="12"/>
  <c r="M70" i="12"/>
  <c r="M42" i="12"/>
  <c r="M68" i="12"/>
  <c r="M40" i="12"/>
  <c r="L81" i="12"/>
  <c r="L53" i="12"/>
  <c r="I82" i="12"/>
  <c r="I54" i="12"/>
  <c r="K77" i="12"/>
  <c r="K49" i="12"/>
  <c r="N41" i="12"/>
  <c r="N69" i="12"/>
  <c r="N48" i="12"/>
  <c r="N76" i="12"/>
  <c r="Z72" i="10"/>
  <c r="AD72" i="10" s="1"/>
  <c r="Z78" i="10"/>
  <c r="AD78" i="10" s="1"/>
  <c r="Z45" i="10"/>
  <c r="AD45" i="10" s="1"/>
  <c r="Z80" i="10"/>
  <c r="AD80" i="10" s="1"/>
  <c r="F69" i="12"/>
  <c r="F41" i="12"/>
  <c r="X13" i="12"/>
  <c r="M43" i="12"/>
  <c r="M71" i="12"/>
  <c r="L48" i="12"/>
  <c r="L76" i="12"/>
  <c r="G44" i="12"/>
  <c r="G72" i="12"/>
  <c r="Y16" i="12"/>
  <c r="K48" i="12"/>
  <c r="K76" i="12"/>
  <c r="H50" i="12"/>
  <c r="H78" i="12"/>
  <c r="F37" i="12"/>
  <c r="F65" i="12"/>
  <c r="X9" i="12"/>
  <c r="N75" i="12"/>
  <c r="N47" i="12"/>
  <c r="F82" i="12"/>
  <c r="F54" i="12"/>
  <c r="X26" i="12"/>
  <c r="F68" i="12"/>
  <c r="F40" i="12"/>
  <c r="X12" i="12"/>
  <c r="G39" i="12"/>
  <c r="G67" i="12"/>
  <c r="Y11" i="12"/>
  <c r="M53" i="12"/>
  <c r="M81" i="12"/>
  <c r="N54" i="12"/>
  <c r="N82" i="12"/>
  <c r="K45" i="12"/>
  <c r="K73" i="12"/>
  <c r="J52" i="12"/>
  <c r="J80" i="12"/>
  <c r="L51" i="12"/>
  <c r="L79" i="12"/>
  <c r="J79" i="12"/>
  <c r="J51" i="12"/>
  <c r="G77" i="12"/>
  <c r="Y21" i="12"/>
  <c r="G49" i="12"/>
  <c r="K74" i="12"/>
  <c r="K46" i="12"/>
  <c r="AA90" i="10" l="1"/>
  <c r="AC90" i="10" s="1"/>
  <c r="R93" i="12" s="1"/>
  <c r="AA93" i="12" s="1"/>
  <c r="S92" i="12"/>
  <c r="S64" i="12"/>
  <c r="AA63" i="10"/>
  <c r="N128" i="12"/>
  <c r="M158" i="12" s="1"/>
  <c r="G205" i="7"/>
  <c r="Y77" i="12"/>
  <c r="Y73" i="12"/>
  <c r="Q47" i="12"/>
  <c r="X47" i="12"/>
  <c r="Y51" i="12"/>
  <c r="X54" i="12"/>
  <c r="Q54" i="12"/>
  <c r="X65" i="12"/>
  <c r="Q65" i="12"/>
  <c r="Q38" i="12"/>
  <c r="X38" i="12"/>
  <c r="Y52" i="12"/>
  <c r="Y45" i="12"/>
  <c r="Q78" i="12"/>
  <c r="X78" i="12"/>
  <c r="Y69" i="12"/>
  <c r="Y40" i="12"/>
  <c r="Q82" i="12"/>
  <c r="X82" i="12"/>
  <c r="X37" i="12"/>
  <c r="Q37" i="12"/>
  <c r="Y72" i="12"/>
  <c r="Y53" i="12"/>
  <c r="Q73" i="12"/>
  <c r="X73" i="12"/>
  <c r="X66" i="12"/>
  <c r="Q66" i="12"/>
  <c r="Y80" i="12"/>
  <c r="Y76" i="12"/>
  <c r="Y41" i="12"/>
  <c r="Y46" i="12"/>
  <c r="Q45" i="12"/>
  <c r="X45" i="12"/>
  <c r="Y44" i="12"/>
  <c r="Y81" i="12"/>
  <c r="Y48" i="12"/>
  <c r="Y74" i="12"/>
  <c r="X79" i="12"/>
  <c r="Q79" i="12"/>
  <c r="Y43" i="12"/>
  <c r="X50" i="12"/>
  <c r="Q50" i="12"/>
  <c r="X40" i="12"/>
  <c r="Q40" i="12"/>
  <c r="Y82" i="12"/>
  <c r="X70" i="12"/>
  <c r="Q70" i="12"/>
  <c r="Q76" i="12"/>
  <c r="X76" i="12"/>
  <c r="X41" i="12"/>
  <c r="Q41" i="12"/>
  <c r="Q68" i="12"/>
  <c r="X68" i="12"/>
  <c r="Q69" i="12"/>
  <c r="X69" i="12"/>
  <c r="Y47" i="12"/>
  <c r="Y50" i="12"/>
  <c r="Q53" i="12"/>
  <c r="X53" i="12"/>
  <c r="Q42" i="12"/>
  <c r="X42" i="12"/>
  <c r="X67" i="12"/>
  <c r="Q67" i="12"/>
  <c r="AA37" i="10"/>
  <c r="S37" i="12"/>
  <c r="Q52" i="12"/>
  <c r="X52" i="12"/>
  <c r="Q43" i="12"/>
  <c r="X43" i="12"/>
  <c r="Q46" i="12"/>
  <c r="X46" i="12"/>
  <c r="Y39" i="12"/>
  <c r="Y70" i="12"/>
  <c r="Q49" i="12"/>
  <c r="X49" i="12"/>
  <c r="Y75" i="12"/>
  <c r="Y78" i="12"/>
  <c r="Q81" i="12"/>
  <c r="X81" i="12"/>
  <c r="X44" i="12"/>
  <c r="Q44" i="12"/>
  <c r="X48" i="12"/>
  <c r="Q48" i="12"/>
  <c r="Y71" i="12"/>
  <c r="X39" i="12"/>
  <c r="Q39" i="12"/>
  <c r="Q80" i="12"/>
  <c r="X80" i="12"/>
  <c r="Q71" i="12"/>
  <c r="X71" i="12"/>
  <c r="Y49" i="12"/>
  <c r="Y67" i="12"/>
  <c r="X51" i="12"/>
  <c r="Q51" i="12"/>
  <c r="Y42" i="12"/>
  <c r="Q77" i="12"/>
  <c r="X77" i="12"/>
  <c r="Y54" i="12"/>
  <c r="Y68" i="12"/>
  <c r="X75" i="12"/>
  <c r="Q75" i="12"/>
  <c r="Q72" i="12"/>
  <c r="X72" i="12"/>
  <c r="Y79" i="12"/>
  <c r="Q74" i="12"/>
  <c r="X74" i="12"/>
  <c r="AE90" i="10" l="1"/>
  <c r="AA91" i="10" s="1"/>
  <c r="AC91" i="10" s="1"/>
  <c r="H205" i="7"/>
  <c r="S9" i="12"/>
  <c r="D206" i="7"/>
  <c r="AC63" i="10"/>
  <c r="AE63" i="10" s="1"/>
  <c r="R66" i="12"/>
  <c r="AA66" i="12" s="1"/>
  <c r="R38" i="12"/>
  <c r="AA38" i="12" s="1"/>
  <c r="AC37" i="10"/>
  <c r="AE37" i="10" s="1"/>
  <c r="S93" i="12" l="1"/>
  <c r="AE91" i="10"/>
  <c r="R94" i="12"/>
  <c r="R10" i="12"/>
  <c r="AA10" i="12" s="1"/>
  <c r="AA64" i="10"/>
  <c r="S65" i="12"/>
  <c r="AA38" i="10"/>
  <c r="S38" i="12"/>
  <c r="AA92" i="10" l="1"/>
  <c r="AC92" i="10" s="1"/>
  <c r="S94" i="12"/>
  <c r="AA94" i="12"/>
  <c r="L129" i="12"/>
  <c r="L159" i="12" s="1"/>
  <c r="F206" i="7"/>
  <c r="AC64" i="10"/>
  <c r="AE64" i="10" s="1"/>
  <c r="R67" i="12"/>
  <c r="AA67" i="12" s="1"/>
  <c r="R39" i="12"/>
  <c r="AA39" i="12" s="1"/>
  <c r="AC38" i="10"/>
  <c r="AE38" i="10" s="1"/>
  <c r="AE92" i="10" l="1"/>
  <c r="R95" i="12"/>
  <c r="H206" i="7"/>
  <c r="N129" i="12"/>
  <c r="M159" i="12" s="1"/>
  <c r="S10" i="12"/>
  <c r="D207" i="7"/>
  <c r="R11" i="12"/>
  <c r="AA11" i="12" s="1"/>
  <c r="AA65" i="10"/>
  <c r="S66" i="12"/>
  <c r="AA39" i="10"/>
  <c r="S39" i="12"/>
  <c r="AA93" i="10" l="1"/>
  <c r="AC93" i="10" s="1"/>
  <c r="S95" i="12"/>
  <c r="AA95" i="12"/>
  <c r="L130" i="12"/>
  <c r="L160" i="12" s="1"/>
  <c r="N130" i="12"/>
  <c r="M160" i="12" s="1"/>
  <c r="F207" i="7"/>
  <c r="S11" i="12"/>
  <c r="AC65" i="10"/>
  <c r="AE65" i="10" s="1"/>
  <c r="R68" i="12"/>
  <c r="AA68" i="12" s="1"/>
  <c r="R40" i="12"/>
  <c r="AA40" i="12" s="1"/>
  <c r="AC39" i="10"/>
  <c r="AE39" i="10" s="1"/>
  <c r="AE93" i="10" l="1"/>
  <c r="R96" i="12"/>
  <c r="H207" i="7"/>
  <c r="D208" i="7"/>
  <c r="R12" i="12"/>
  <c r="AA12" i="12" s="1"/>
  <c r="AA66" i="10"/>
  <c r="S67" i="12"/>
  <c r="AA40" i="10"/>
  <c r="S40" i="12"/>
  <c r="AA94" i="10" l="1"/>
  <c r="AC94" i="10" s="1"/>
  <c r="S96" i="12"/>
  <c r="L131" i="12"/>
  <c r="L161" i="12" s="1"/>
  <c r="AA96" i="12"/>
  <c r="R69" i="12"/>
  <c r="AA69" i="12" s="1"/>
  <c r="AC66" i="10"/>
  <c r="AE66" i="10" s="1"/>
  <c r="AC40" i="10"/>
  <c r="AE40" i="10" s="1"/>
  <c r="R41" i="12"/>
  <c r="AA41" i="12" s="1"/>
  <c r="AE94" i="10" l="1"/>
  <c r="R97" i="12"/>
  <c r="F208" i="7"/>
  <c r="N131" i="12"/>
  <c r="M161" i="12" s="1"/>
  <c r="S12" i="12"/>
  <c r="D209" i="7"/>
  <c r="H208" i="7"/>
  <c r="AA67" i="10"/>
  <c r="S68" i="12"/>
  <c r="S41" i="12"/>
  <c r="AA41" i="10"/>
  <c r="AA95" i="10" l="1"/>
  <c r="AC95" i="10" s="1"/>
  <c r="S97" i="12"/>
  <c r="R13" i="12"/>
  <c r="AA13" i="12" s="1"/>
  <c r="AA97" i="12"/>
  <c r="L132" i="12"/>
  <c r="L162" i="12" s="1"/>
  <c r="F209" i="7"/>
  <c r="AC67" i="10"/>
  <c r="AE67" i="10" s="1"/>
  <c r="R70" i="12"/>
  <c r="AA70" i="12" s="1"/>
  <c r="AC41" i="10"/>
  <c r="AE41" i="10" s="1"/>
  <c r="R42" i="12"/>
  <c r="AA42" i="12" s="1"/>
  <c r="AE95" i="10" l="1"/>
  <c r="R98" i="12"/>
  <c r="H209" i="7"/>
  <c r="N132" i="12"/>
  <c r="M162" i="12" s="1"/>
  <c r="S13" i="12"/>
  <c r="D210" i="7"/>
  <c r="R14" i="12"/>
  <c r="AA14" i="12" s="1"/>
  <c r="AA68" i="10"/>
  <c r="S69" i="12"/>
  <c r="AA42" i="10"/>
  <c r="S42" i="12"/>
  <c r="AA96" i="10" l="1"/>
  <c r="AC96" i="10" s="1"/>
  <c r="S98" i="12"/>
  <c r="F210" i="7"/>
  <c r="L133" i="12"/>
  <c r="L163" i="12" s="1"/>
  <c r="AA98" i="12"/>
  <c r="AC68" i="10"/>
  <c r="AE68" i="10" s="1"/>
  <c r="R71" i="12"/>
  <c r="AA71" i="12" s="1"/>
  <c r="R43" i="12"/>
  <c r="AA43" i="12" s="1"/>
  <c r="AC42" i="10"/>
  <c r="AE42" i="10" s="1"/>
  <c r="AE96" i="10" l="1"/>
  <c r="R99" i="12"/>
  <c r="N133" i="12"/>
  <c r="M163" i="12" s="1"/>
  <c r="S14" i="12"/>
  <c r="D211" i="7"/>
  <c r="H210" i="7"/>
  <c r="R15" i="12"/>
  <c r="AA15" i="12" s="1"/>
  <c r="S70" i="12"/>
  <c r="AA69" i="10"/>
  <c r="S43" i="12"/>
  <c r="AA43" i="10"/>
  <c r="AA97" i="10" l="1"/>
  <c r="AC97" i="10" s="1"/>
  <c r="S99" i="12"/>
  <c r="AA99" i="12"/>
  <c r="L134" i="12"/>
  <c r="L164" i="12" s="1"/>
  <c r="F211" i="7"/>
  <c r="R72" i="12"/>
  <c r="AA72" i="12" s="1"/>
  <c r="AC69" i="10"/>
  <c r="AE69" i="10" s="1"/>
  <c r="AC43" i="10"/>
  <c r="AE43" i="10" s="1"/>
  <c r="R44" i="12"/>
  <c r="AA44" i="12" s="1"/>
  <c r="AE97" i="10" l="1"/>
  <c r="R100" i="12"/>
  <c r="S15" i="12"/>
  <c r="N134" i="12"/>
  <c r="M164" i="12" s="1"/>
  <c r="D212" i="7"/>
  <c r="H211" i="7"/>
  <c r="R16" i="12"/>
  <c r="AA16" i="12" s="1"/>
  <c r="AA70" i="10"/>
  <c r="S71" i="12"/>
  <c r="AA44" i="10"/>
  <c r="S44" i="12"/>
  <c r="AA98" i="10" l="1"/>
  <c r="AC98" i="10" s="1"/>
  <c r="S100" i="12"/>
  <c r="AA100" i="12"/>
  <c r="L135" i="12"/>
  <c r="L165" i="12" s="1"/>
  <c r="F212" i="7"/>
  <c r="R73" i="12"/>
  <c r="AA73" i="12" s="1"/>
  <c r="AC70" i="10"/>
  <c r="AE70" i="10" s="1"/>
  <c r="AC44" i="10"/>
  <c r="AE44" i="10" s="1"/>
  <c r="R45" i="12"/>
  <c r="AA45" i="12" s="1"/>
  <c r="AE98" i="10" l="1"/>
  <c r="R101" i="12"/>
  <c r="S16" i="12"/>
  <c r="N135" i="12"/>
  <c r="M165" i="12" s="1"/>
  <c r="D213" i="7"/>
  <c r="H212" i="7"/>
  <c r="AA71" i="10"/>
  <c r="S72" i="12"/>
  <c r="AA45" i="10"/>
  <c r="S45" i="12"/>
  <c r="AA99" i="10" l="1"/>
  <c r="AC99" i="10" s="1"/>
  <c r="S101" i="12"/>
  <c r="L136" i="12"/>
  <c r="L166" i="12" s="1"/>
  <c r="R17" i="12"/>
  <c r="AA17" i="12" s="1"/>
  <c r="AC71" i="10"/>
  <c r="AE71" i="10" s="1"/>
  <c r="R74" i="12"/>
  <c r="AA74" i="12" s="1"/>
  <c r="R46" i="12"/>
  <c r="AA46" i="12" s="1"/>
  <c r="AC45" i="10"/>
  <c r="AE45" i="10" s="1"/>
  <c r="AE99" i="10" l="1"/>
  <c r="R102" i="12"/>
  <c r="AA101" i="12"/>
  <c r="F213" i="7"/>
  <c r="H213" i="7"/>
  <c r="S73" i="12"/>
  <c r="AA72" i="10"/>
  <c r="S46" i="12"/>
  <c r="AA46" i="10"/>
  <c r="AA100" i="10" l="1"/>
  <c r="AC100" i="10" s="1"/>
  <c r="S102" i="12"/>
  <c r="S17" i="12"/>
  <c r="D214" i="7"/>
  <c r="N136" i="12"/>
  <c r="M166" i="12" s="1"/>
  <c r="R18" i="12"/>
  <c r="AA18" i="12" s="1"/>
  <c r="L137" i="12"/>
  <c r="L167" i="12" s="1"/>
  <c r="AC72" i="10"/>
  <c r="AE72" i="10" s="1"/>
  <c r="R75" i="12"/>
  <c r="AA75" i="12" s="1"/>
  <c r="AC46" i="10"/>
  <c r="AE46" i="10" s="1"/>
  <c r="R47" i="12"/>
  <c r="AA47" i="12" s="1"/>
  <c r="AE100" i="10" l="1"/>
  <c r="R103" i="12"/>
  <c r="F214" i="7"/>
  <c r="AA102" i="12"/>
  <c r="S74" i="12"/>
  <c r="AA73" i="10"/>
  <c r="S47" i="12"/>
  <c r="AA47" i="10"/>
  <c r="AA101" i="10" l="1"/>
  <c r="AC101" i="10" s="1"/>
  <c r="S103" i="12"/>
  <c r="H214" i="7"/>
  <c r="N137" i="12"/>
  <c r="M167" i="12" s="1"/>
  <c r="D215" i="7"/>
  <c r="S18" i="12"/>
  <c r="R76" i="12"/>
  <c r="AA76" i="12" s="1"/>
  <c r="AC73" i="10"/>
  <c r="AE73" i="10" s="1"/>
  <c r="AC47" i="10"/>
  <c r="AE47" i="10" s="1"/>
  <c r="R48" i="12"/>
  <c r="AA48" i="12" s="1"/>
  <c r="AE101" i="10" l="1"/>
  <c r="R104" i="12"/>
  <c r="AA103" i="12"/>
  <c r="R19" i="12"/>
  <c r="AA19" i="12" s="1"/>
  <c r="AA74" i="10"/>
  <c r="S75" i="12"/>
  <c r="S48" i="12"/>
  <c r="AA48" i="10"/>
  <c r="AA102" i="10" l="1"/>
  <c r="AC102" i="10" s="1"/>
  <c r="S104" i="12"/>
  <c r="D216" i="7"/>
  <c r="F215" i="7"/>
  <c r="L138" i="12"/>
  <c r="L168" i="12" s="1"/>
  <c r="AC74" i="10"/>
  <c r="AE74" i="10" s="1"/>
  <c r="R77" i="12"/>
  <c r="AA77" i="12" s="1"/>
  <c r="R49" i="12"/>
  <c r="AA49" i="12" s="1"/>
  <c r="AC48" i="10"/>
  <c r="AE48" i="10" s="1"/>
  <c r="AE102" i="10" l="1"/>
  <c r="R105" i="12"/>
  <c r="H215" i="7"/>
  <c r="R20" i="12"/>
  <c r="AA20" i="12" s="1"/>
  <c r="H216" i="7"/>
  <c r="N138" i="12"/>
  <c r="M168" i="12" s="1"/>
  <c r="S19" i="12"/>
  <c r="F216" i="7"/>
  <c r="AA75" i="10"/>
  <c r="S76" i="12"/>
  <c r="AA49" i="10"/>
  <c r="S49" i="12"/>
  <c r="AA103" i="10" l="1"/>
  <c r="AC103" i="10" s="1"/>
  <c r="S105" i="12"/>
  <c r="S20" i="12"/>
  <c r="D217" i="7"/>
  <c r="L139" i="12"/>
  <c r="L169" i="12" s="1"/>
  <c r="AA104" i="12"/>
  <c r="N139" i="12"/>
  <c r="M169" i="12" s="1"/>
  <c r="F217" i="7"/>
  <c r="AC75" i="10"/>
  <c r="AE75" i="10" s="1"/>
  <c r="R78" i="12"/>
  <c r="AA78" i="12" s="1"/>
  <c r="R50" i="12"/>
  <c r="AA50" i="12" s="1"/>
  <c r="AC49" i="10"/>
  <c r="AE49" i="10" s="1"/>
  <c r="AE103" i="10" l="1"/>
  <c r="R106" i="12"/>
  <c r="R21" i="12"/>
  <c r="AA21" i="12" s="1"/>
  <c r="N140" i="12"/>
  <c r="M170" i="12" s="1"/>
  <c r="AA105" i="12"/>
  <c r="L140" i="12"/>
  <c r="L170" i="12" s="1"/>
  <c r="D218" i="7"/>
  <c r="H217" i="7"/>
  <c r="S21" i="12"/>
  <c r="S77" i="12"/>
  <c r="AA76" i="10"/>
  <c r="AA50" i="10"/>
  <c r="S50" i="12"/>
  <c r="AA104" i="10" l="1"/>
  <c r="AC104" i="10" s="1"/>
  <c r="S106" i="12"/>
  <c r="F218" i="7"/>
  <c r="R22" i="12"/>
  <c r="AA22" i="12" s="1"/>
  <c r="AC76" i="10"/>
  <c r="AE76" i="10" s="1"/>
  <c r="R79" i="12"/>
  <c r="AA79" i="12" s="1"/>
  <c r="R51" i="12"/>
  <c r="AA51" i="12" s="1"/>
  <c r="AC50" i="10"/>
  <c r="AE50" i="10" s="1"/>
  <c r="AE104" i="10" l="1"/>
  <c r="R107" i="12"/>
  <c r="AA106" i="12"/>
  <c r="L141" i="12"/>
  <c r="L171" i="12" s="1"/>
  <c r="H218" i="7"/>
  <c r="S78" i="12"/>
  <c r="AA77" i="10"/>
  <c r="AA51" i="10"/>
  <c r="S51" i="12"/>
  <c r="AA105" i="10" l="1"/>
  <c r="AC105" i="10" s="1"/>
  <c r="S107" i="12"/>
  <c r="S22" i="12"/>
  <c r="D219" i="7"/>
  <c r="N141" i="12"/>
  <c r="M171" i="12" s="1"/>
  <c r="R23" i="12"/>
  <c r="AA23" i="12" s="1"/>
  <c r="R80" i="12"/>
  <c r="AA80" i="12" s="1"/>
  <c r="AC77" i="10"/>
  <c r="AE77" i="10" s="1"/>
  <c r="AC51" i="10"/>
  <c r="AE51" i="10" s="1"/>
  <c r="R52" i="12"/>
  <c r="AA52" i="12" s="1"/>
  <c r="R108" i="12" l="1"/>
  <c r="AE105" i="10"/>
  <c r="F219" i="7"/>
  <c r="N142" i="12"/>
  <c r="M172" i="12" s="1"/>
  <c r="AA107" i="12"/>
  <c r="L142" i="12"/>
  <c r="L172" i="12" s="1"/>
  <c r="S23" i="12"/>
  <c r="H219" i="7"/>
  <c r="AA78" i="10"/>
  <c r="S79" i="12"/>
  <c r="AA52" i="10"/>
  <c r="S52" i="12"/>
  <c r="AA106" i="10" l="1"/>
  <c r="AC106" i="10" s="1"/>
  <c r="S108" i="12"/>
  <c r="AA108" i="12"/>
  <c r="L143" i="12"/>
  <c r="L173" i="12" s="1"/>
  <c r="N143" i="12"/>
  <c r="M173" i="12" s="1"/>
  <c r="F220" i="7"/>
  <c r="D220" i="7"/>
  <c r="R24" i="12"/>
  <c r="AA24" i="12" s="1"/>
  <c r="H220" i="7"/>
  <c r="R81" i="12"/>
  <c r="AA81" i="12" s="1"/>
  <c r="AC78" i="10"/>
  <c r="AE78" i="10" s="1"/>
  <c r="R54" i="12"/>
  <c r="AA54" i="12" s="1"/>
  <c r="AC52" i="10"/>
  <c r="AE52" i="10" s="1"/>
  <c r="R53" i="12"/>
  <c r="AA53" i="12" s="1"/>
  <c r="AE106" i="10" l="1"/>
  <c r="R109" i="12"/>
  <c r="S24" i="12"/>
  <c r="D221" i="7"/>
  <c r="R25" i="12"/>
  <c r="AA25" i="12" s="1"/>
  <c r="AA79" i="10"/>
  <c r="S80" i="12"/>
  <c r="AA53" i="10"/>
  <c r="AC53" i="10" s="1"/>
  <c r="AE53" i="10" s="1"/>
  <c r="S53" i="12"/>
  <c r="AA107" i="10" l="1"/>
  <c r="AC107" i="10" s="1"/>
  <c r="S109" i="12"/>
  <c r="F221" i="7"/>
  <c r="L144" i="12"/>
  <c r="L174" i="12" s="1"/>
  <c r="AA109" i="12"/>
  <c r="AC79" i="10"/>
  <c r="AE79" i="10" s="1"/>
  <c r="R82" i="12"/>
  <c r="AA82" i="12" s="1"/>
  <c r="AA54" i="10"/>
  <c r="AC54" i="10" s="1"/>
  <c r="AE54" i="10" s="1"/>
  <c r="AG54" i="10" s="1"/>
  <c r="S54" i="12"/>
  <c r="AE107" i="10" l="1"/>
  <c r="S110" i="12" s="1"/>
  <c r="R110" i="12"/>
  <c r="N144" i="12"/>
  <c r="M174" i="12" s="1"/>
  <c r="D222" i="7"/>
  <c r="S25" i="12"/>
  <c r="H221" i="7"/>
  <c r="AA80" i="10"/>
  <c r="AC80" i="10" s="1"/>
  <c r="AE80" i="10" s="1"/>
  <c r="S81" i="12"/>
  <c r="R26" i="12" l="1"/>
  <c r="AA26" i="12" s="1"/>
  <c r="S82" i="12"/>
  <c r="AA81" i="10"/>
  <c r="AC81" i="10" s="1"/>
  <c r="AE81" i="10" s="1"/>
  <c r="AG81" i="10" s="1"/>
  <c r="F222" i="7" l="1"/>
  <c r="L145" i="12"/>
  <c r="L175" i="12" s="1"/>
  <c r="AA110" i="12"/>
  <c r="N145" i="12"/>
  <c r="M175" i="12" s="1"/>
  <c r="H222" i="7" l="1"/>
  <c r="S26" i="12"/>
  <c r="AA108" i="10" l="1"/>
  <c r="AC108" i="10" s="1"/>
  <c r="AE108" i="10" s="1"/>
  <c r="AG108"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<sst xmlns="http://schemas.openxmlformats.org/spreadsheetml/2006/main" count="2750" uniqueCount="346">
  <si>
    <t>Statewide</t>
  </si>
  <si>
    <t>Delivery Year</t>
  </si>
  <si>
    <t>Reference Year</t>
  </si>
  <si>
    <t>Utility</t>
  </si>
  <si>
    <t>Delivery Year
RPS Goal (%)</t>
  </si>
  <si>
    <t>Total Applicable Reference Year Delivered Volume (MWh)</t>
  </si>
  <si>
    <t>Overall
RPS Target
(RECs)</t>
  </si>
  <si>
    <t>RPS Rate Cap [$/MWh]</t>
  </si>
  <si>
    <t>Self Direct Rate Cap [$/MWh]</t>
  </si>
  <si>
    <t>Self Direct Delivered Volume (MWh)</t>
  </si>
  <si>
    <t>Self Direct Payment</t>
  </si>
  <si>
    <t>Delivery Year
RPS Budget ($)</t>
  </si>
  <si>
    <t>2017-2018</t>
  </si>
  <si>
    <t>2016-2017</t>
  </si>
  <si>
    <t>ALL</t>
  </si>
  <si>
    <t>2018-2019</t>
  </si>
  <si>
    <t>2019-2020</t>
  </si>
  <si>
    <t>2020-2021</t>
  </si>
  <si>
    <t>2021-2022</t>
  </si>
  <si>
    <t>2022-2023</t>
  </si>
  <si>
    <t>2023-2024</t>
  </si>
  <si>
    <t>*lowered by self-direct quantity</t>
  </si>
  <si>
    <t>2024-2025</t>
  </si>
  <si>
    <t>2025-2026</t>
  </si>
  <si>
    <t>2026-2027</t>
  </si>
  <si>
    <t>2027-2028</t>
  </si>
  <si>
    <t>2028-2029</t>
  </si>
  <si>
    <t>2029-2030</t>
  </si>
  <si>
    <t>2030-2031</t>
  </si>
  <si>
    <t>2031-2032</t>
  </si>
  <si>
    <t>2032-2033</t>
  </si>
  <si>
    <t>2033-2034</t>
  </si>
  <si>
    <t>2034-2035</t>
  </si>
  <si>
    <t>2035-2036</t>
  </si>
  <si>
    <t>2036-2037</t>
  </si>
  <si>
    <t>2037-2038</t>
  </si>
  <si>
    <t>2038-2039</t>
  </si>
  <si>
    <t>2039-2040</t>
  </si>
  <si>
    <t>2040-2041</t>
  </si>
  <si>
    <t>2041-2042</t>
  </si>
  <si>
    <t>2042-2043</t>
  </si>
  <si>
    <t>Ameren</t>
  </si>
  <si>
    <t>Total Applicable Reference Year Delivered Volume (MWh) Source: Utilities</t>
  </si>
  <si>
    <t>ComEd</t>
  </si>
  <si>
    <t>MidAmerican</t>
  </si>
  <si>
    <t>PROXY Applicable Reference Year Delivered Volume (MWh) = MWh volume times 26.0253830755776%</t>
  </si>
  <si>
    <t>MidAm Load Forecast</t>
  </si>
  <si>
    <t>Net Available ACPs ($) as of Aug 2023</t>
  </si>
  <si>
    <t>All Utilities</t>
  </si>
  <si>
    <t>ARES ACP balance</t>
  </si>
  <si>
    <t>Hourly ACPs</t>
  </si>
  <si>
    <t>committed HACP</t>
  </si>
  <si>
    <t>Uncommitted HACPs</t>
  </si>
  <si>
    <t>Total available</t>
  </si>
  <si>
    <t>Available Funds at start of DY (Collections + ACP)</t>
  </si>
  <si>
    <t>Sensitivity Adjustment</t>
  </si>
  <si>
    <t>Utility Scale Wind</t>
  </si>
  <si>
    <t>forward price</t>
  </si>
  <si>
    <t>2022 Procurement</t>
  </si>
  <si>
    <t>2023 procurement</t>
  </si>
  <si>
    <t>2024 procurement</t>
  </si>
  <si>
    <t>Procurement Results</t>
  </si>
  <si>
    <t>2025 procurement</t>
  </si>
  <si>
    <t>2026 procurement</t>
  </si>
  <si>
    <t>2022 strike price</t>
  </si>
  <si>
    <t>2023 strike price</t>
  </si>
  <si>
    <t>2027 procurement</t>
  </si>
  <si>
    <t>2028 procurement</t>
  </si>
  <si>
    <t>2029 procurement</t>
  </si>
  <si>
    <t>Annual strike price increase</t>
  </si>
  <si>
    <t>2030 procurement</t>
  </si>
  <si>
    <t>2031 procurement</t>
  </si>
  <si>
    <t>2032 procurement</t>
  </si>
  <si>
    <t>2033 procurement</t>
  </si>
  <si>
    <t>2034 procurement</t>
  </si>
  <si>
    <t>2035 procurement</t>
  </si>
  <si>
    <t>2036 procurement</t>
  </si>
  <si>
    <t>2037 procurement</t>
  </si>
  <si>
    <t>2038 procurement</t>
  </si>
  <si>
    <t>2039 procurement</t>
  </si>
  <si>
    <t>2040 procurement</t>
  </si>
  <si>
    <t>Utility Scale Solar</t>
  </si>
  <si>
    <t>Brownfield</t>
  </si>
  <si>
    <t>REC Degredation Rate</t>
  </si>
  <si>
    <t>Catergory</t>
  </si>
  <si>
    <t>Year</t>
  </si>
  <si>
    <t>Utility Wind</t>
  </si>
  <si>
    <t>Utility Solar</t>
  </si>
  <si>
    <t>Total</t>
  </si>
  <si>
    <t>RECs Delivered</t>
  </si>
  <si>
    <t>Under Contract through 2023</t>
  </si>
  <si>
    <t>Projected</t>
  </si>
  <si>
    <t>23 TBD</t>
  </si>
  <si>
    <t>24-25 Plan</t>
  </si>
  <si>
    <t>26-27 Plan</t>
  </si>
  <si>
    <t>28-29 Plan</t>
  </si>
  <si>
    <t>30-31 Plan</t>
  </si>
  <si>
    <t>32-33 Plan</t>
  </si>
  <si>
    <t>34-35 Plan</t>
  </si>
  <si>
    <t>36-37 Plan</t>
  </si>
  <si>
    <t>38-39 Plan</t>
  </si>
  <si>
    <t>40-41 Plan</t>
  </si>
  <si>
    <t>Combined Spend</t>
  </si>
  <si>
    <t>REC Spend</t>
  </si>
  <si>
    <t xml:space="preserve">2024-2025 DY kW Capacity Size Distribution </t>
  </si>
  <si>
    <t>2024-2025 DY Block Size (kW)</t>
  </si>
  <si>
    <t>2025-2026 DY kW Capacity Size Distribution</t>
  </si>
  <si>
    <t>2025-2026 DY Block Size (kW)</t>
  </si>
  <si>
    <t>Capacity Factor</t>
  </si>
  <si>
    <t>2023-2024 REC Price</t>
  </si>
  <si>
    <t>2023-2024 Contract Values</t>
  </si>
  <si>
    <t>2025 REC Price</t>
  </si>
  <si>
    <t>2026 REC Price</t>
  </si>
  <si>
    <t>2027 REC Price</t>
  </si>
  <si>
    <t>2028 REC Price</t>
  </si>
  <si>
    <t>2029 REC Price</t>
  </si>
  <si>
    <t>2030 REC Price</t>
  </si>
  <si>
    <t>2031 REC Price</t>
  </si>
  <si>
    <t>2032 REC Price</t>
  </si>
  <si>
    <t>2033 REC Price</t>
  </si>
  <si>
    <t>2034 REC Price</t>
  </si>
  <si>
    <t>2035 REC Price</t>
  </si>
  <si>
    <t>2036 REC Price</t>
  </si>
  <si>
    <t>2037 REC Price</t>
  </si>
  <si>
    <t>2038 REC Price</t>
  </si>
  <si>
    <t>2039 REC Price</t>
  </si>
  <si>
    <t>2040 REC Price</t>
  </si>
  <si>
    <t>Activity Size kW / Total</t>
  </si>
  <si>
    <t>ABP Total</t>
  </si>
  <si>
    <t xml:space="preserve">SDG &lt; 25 kW </t>
  </si>
  <si>
    <t>SDG A</t>
  </si>
  <si>
    <t xml:space="preserve"> &lt; 10</t>
  </si>
  <si>
    <t xml:space="preserve"> &gt;10-25</t>
  </si>
  <si>
    <t xml:space="preserve">SDG B </t>
  </si>
  <si>
    <t>&lt; 10</t>
  </si>
  <si>
    <t>LDG &gt; 25 - 5000kW</t>
  </si>
  <si>
    <t xml:space="preserve">LDG A </t>
  </si>
  <si>
    <t>&gt;25-100</t>
  </si>
  <si>
    <t>&gt;100-200</t>
  </si>
  <si>
    <t>&gt;200-500</t>
  </si>
  <si>
    <t>&gt;500-2000</t>
  </si>
  <si>
    <t>&gt; 2000-5000</t>
  </si>
  <si>
    <t>LDG B</t>
  </si>
  <si>
    <t xml:space="preserve"> &gt;25-100</t>
  </si>
  <si>
    <t>Traditional Community Solar</t>
  </si>
  <si>
    <t>CS A</t>
  </si>
  <si>
    <t xml:space="preserve"> &gt;500-2000</t>
  </si>
  <si>
    <t>&gt;2000-5000</t>
  </si>
  <si>
    <t>CS B</t>
  </si>
  <si>
    <t>Public Schools</t>
  </si>
  <si>
    <t>Public Schools A</t>
  </si>
  <si>
    <t xml:space="preserve"> &gt; 25</t>
  </si>
  <si>
    <t>Public Schools B</t>
  </si>
  <si>
    <t>Community Driven Community Solar</t>
  </si>
  <si>
    <t>CD Community Solar A</t>
  </si>
  <si>
    <t>CD Community Solar B</t>
  </si>
  <si>
    <t>Equity Eligible Contractor</t>
  </si>
  <si>
    <t>EEC A</t>
  </si>
  <si>
    <t>EEC B</t>
  </si>
  <si>
    <t xml:space="preserve"> </t>
  </si>
  <si>
    <t>DY</t>
  </si>
  <si>
    <t>REC Price Annual Decrease</t>
  </si>
  <si>
    <t>REC Delivery Schedule</t>
  </si>
  <si>
    <t>2043-2044</t>
  </si>
  <si>
    <t>kW</t>
  </si>
  <si>
    <t>CF</t>
  </si>
  <si>
    <t>Total RECs</t>
  </si>
  <si>
    <t>Combined Total</t>
  </si>
  <si>
    <t>REC Payment Schedule</t>
  </si>
  <si>
    <t>REC $</t>
  </si>
  <si>
    <t>Total Spend</t>
  </si>
  <si>
    <t>Traditonal Community Solar</t>
  </si>
  <si>
    <t>2023 TBD</t>
  </si>
  <si>
    <t>Combined Delivery</t>
  </si>
  <si>
    <t>State</t>
  </si>
  <si>
    <t> </t>
  </si>
  <si>
    <t>*Only include data for projects ICC approved</t>
  </si>
  <si>
    <t xml:space="preserve"> SDG </t>
  </si>
  <si>
    <t xml:space="preserve"> LDG </t>
  </si>
  <si>
    <t xml:space="preserve"> TCS </t>
  </si>
  <si>
    <t xml:space="preserve"> Public Schools </t>
  </si>
  <si>
    <t xml:space="preserve"> CDCS </t>
  </si>
  <si>
    <t xml:space="preserve"> EEC </t>
  </si>
  <si>
    <t>2043-2045</t>
  </si>
  <si>
    <t>REC Deliveries</t>
  </si>
  <si>
    <t>Spending</t>
  </si>
  <si>
    <t>Under Contract</t>
  </si>
  <si>
    <t>Small DG</t>
  </si>
  <si>
    <t>Large DG</t>
  </si>
  <si>
    <t>Traditional CS</t>
  </si>
  <si>
    <t xml:space="preserve">ABP RECs under contract </t>
  </si>
  <si>
    <t>Legacy DG</t>
  </si>
  <si>
    <t>Wind Forward Procurement 2017-2019</t>
  </si>
  <si>
    <t>Solar Forward Procurement 2017-2019</t>
  </si>
  <si>
    <t>Indexed RECs Wind</t>
  </si>
  <si>
    <t>Indexed RECs Solar</t>
  </si>
  <si>
    <t>Indexed RECs Brownfield</t>
  </si>
  <si>
    <t>Illinois Solar for All</t>
  </si>
  <si>
    <t>Non -ABP RECs under contract</t>
  </si>
  <si>
    <t>Total Solar Under Contract</t>
  </si>
  <si>
    <t>Total Wind Under Contract</t>
  </si>
  <si>
    <t>Total Under Contract</t>
  </si>
  <si>
    <t>Coal to Solar</t>
  </si>
  <si>
    <t>ILSFA</t>
  </si>
  <si>
    <t>Projected REC</t>
  </si>
  <si>
    <t>Total Recs</t>
  </si>
  <si>
    <t>RPS %</t>
  </si>
  <si>
    <t>Solar</t>
  </si>
  <si>
    <t>Wind</t>
  </si>
  <si>
    <t>% Solar</t>
  </si>
  <si>
    <t>% Wind</t>
  </si>
  <si>
    <t xml:space="preserve">Wind Forward Procurement </t>
  </si>
  <si>
    <t>Solar Forward Procurement</t>
  </si>
  <si>
    <t>MidAm</t>
  </si>
  <si>
    <t>TCS</t>
  </si>
  <si>
    <t>CDCS</t>
  </si>
  <si>
    <t>EEC</t>
  </si>
  <si>
    <t>2010 LTTPAs</t>
  </si>
  <si>
    <t>Forward Procurements (2017-2019)</t>
  </si>
  <si>
    <t>Indexed REC Wind</t>
  </si>
  <si>
    <t>Indexed REC Solar</t>
  </si>
  <si>
    <t>Indexed REC Brownfield</t>
  </si>
  <si>
    <t>Admin (3%)</t>
  </si>
  <si>
    <t>Job Training</t>
  </si>
  <si>
    <t>Total Projected Spend</t>
  </si>
  <si>
    <t xml:space="preserve">Available Funds at start of DY (including ACP)
</t>
  </si>
  <si>
    <t>DY Collections (Source: Utilities)</t>
  </si>
  <si>
    <t xml:space="preserve">Available Funds at start of DY + Collections
</t>
  </si>
  <si>
    <t>EOY Balance</t>
  </si>
  <si>
    <t>Analysis Results</t>
  </si>
  <si>
    <t>Original Base Case</t>
  </si>
  <si>
    <t>ABP Under Contract</t>
  </si>
  <si>
    <t>Utility Scale Under Contract</t>
  </si>
  <si>
    <t>Total Future Plans</t>
  </si>
  <si>
    <t>Setasides and ILSFA</t>
  </si>
  <si>
    <t>Total Expenses</t>
  </si>
  <si>
    <t>Available Funds at start of DY + Collections</t>
  </si>
  <si>
    <t>23 In Progress</t>
  </si>
  <si>
    <t>Future Plans</t>
  </si>
  <si>
    <t>Set Asides</t>
  </si>
  <si>
    <t>Total Available Funds</t>
  </si>
  <si>
    <t>22-23 Plan To Be Filled</t>
  </si>
  <si>
    <t>In Progress</t>
  </si>
  <si>
    <t>Total Double Check</t>
  </si>
  <si>
    <t>Legacy Programs</t>
  </si>
  <si>
    <t>Potential Future Activities</t>
  </si>
  <si>
    <t>LTPPAs</t>
  </si>
  <si>
    <t>FIJA ABP</t>
  </si>
  <si>
    <t>2017-2019 Foreword Procurements</t>
  </si>
  <si>
    <t>CEJA ABP New Categories</t>
  </si>
  <si>
    <t>Subsequent Forward Procurement (Wind, Solar, and Brownfield)</t>
  </si>
  <si>
    <t>2024-2030 ABP</t>
  </si>
  <si>
    <t>2024-2030 Wind, Solar, and Brownfield</t>
  </si>
  <si>
    <t>Solar for All &amp; Admin and Job Training</t>
  </si>
  <si>
    <t>TEST Expenses</t>
  </si>
  <si>
    <t>Total Statewide REC Portfolio under contract</t>
  </si>
  <si>
    <t>Total Wind</t>
  </si>
  <si>
    <t>Total Solar</t>
  </si>
  <si>
    <t>Total All RECs</t>
  </si>
  <si>
    <t>W</t>
  </si>
  <si>
    <t>S</t>
  </si>
  <si>
    <t>B</t>
  </si>
  <si>
    <t>2020-21</t>
  </si>
  <si>
    <t>2021-22</t>
  </si>
  <si>
    <t>2022-23</t>
  </si>
  <si>
    <t>2023-24</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</si>
  <si>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</si>
  <si>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</si>
  <si>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</si>
  <si>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</si>
  <si>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</si>
  <si>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</si>
  <si>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</si>
  <si>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</si>
  <si>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</si>
  <si>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</si>
  <si>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</si>
  <si>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</si>
  <si>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</si>
  <si>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</si>
  <si>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</si>
  <si>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</si>
  <si>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</si>
  <si>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</si>
  <si>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</si>
  <si>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Figure 3.1</t>
  </si>
  <si>
    <t>Total Statewide  REC Portfolio</t>
  </si>
  <si>
    <t>Contracted Wind</t>
  </si>
  <si>
    <t>Contracted Solar</t>
  </si>
  <si>
    <t>Projected Wind</t>
  </si>
  <si>
    <t>Projected Solar</t>
  </si>
  <si>
    <t xml:space="preserve">Table 3.1 </t>
  </si>
  <si>
    <t xml:space="preserve">Delivery Year </t>
  </si>
  <si>
    <t>ComED</t>
  </si>
  <si>
    <t>Total Wind RECs</t>
  </si>
  <si>
    <t>Total Solar RECs</t>
  </si>
  <si>
    <t>Table 3.5</t>
  </si>
  <si>
    <t>FEJA Forward Procurements</t>
  </si>
  <si>
    <t>CEJA Indexed REC Procurements</t>
  </si>
  <si>
    <t>Overall RPS Target</t>
  </si>
  <si>
    <t>REC Shortfall</t>
  </si>
  <si>
    <t>Figure 3.2</t>
  </si>
  <si>
    <t>LTPPA RECs</t>
  </si>
  <si>
    <t>FEJA Wind and Solar Procurements</t>
  </si>
  <si>
    <t>ABP</t>
  </si>
  <si>
    <t>RPS REC Goal %</t>
  </si>
  <si>
    <t>Table 3-10</t>
  </si>
  <si>
    <t>Job Training (DCEO Budget)</t>
  </si>
  <si>
    <t>Administrative Expenses (3% of Annual RPS Budget)</t>
  </si>
  <si>
    <t>Total Set Asides</t>
  </si>
  <si>
    <t>2041-43</t>
  </si>
  <si>
    <t>2042-44</t>
  </si>
  <si>
    <t>Table 3-7</t>
  </si>
  <si>
    <t xml:space="preserve">Solar RECs  </t>
  </si>
  <si>
    <t>Wind RECs</t>
  </si>
  <si>
    <t>Combined Wind and Solar RECs</t>
  </si>
  <si>
    <t>Table 3-9</t>
  </si>
  <si>
    <t>Reference Year Forecasted Delivered Volume [MWh][1]</t>
  </si>
  <si>
    <t>Cost Cap Rate[2] [$/MWh]</t>
  </si>
  <si>
    <t>RPS Budget for 2024-2025 Delivery Year [$][3]</t>
  </si>
  <si>
    <t>Allocation Based on RPS Budget for 2024-2025 Delivery Year [%]</t>
  </si>
  <si>
    <t>Ameren Illinois</t>
  </si>
  <si>
    <t>MidAmerican[4]</t>
  </si>
  <si>
    <t>Delivery Year Starting Balance</t>
  </si>
  <si>
    <t>RPS Collections</t>
  </si>
  <si>
    <t>Total Funds Available</t>
  </si>
  <si>
    <t>Total Expenditures</t>
  </si>
  <si>
    <t>Delivery Year Ending Balance</t>
  </si>
  <si>
    <t>Table 3-13</t>
  </si>
  <si>
    <t>Base Case</t>
  </si>
  <si>
    <t>High Price Curve Scenario</t>
  </si>
  <si>
    <t>Low Price Curve Scenario</t>
  </si>
  <si>
    <t>[Note modeling +/- 13%</t>
  </si>
  <si>
    <t>high and low pasted value, won't update automatically</t>
  </si>
  <si>
    <t>Table 3-12</t>
  </si>
  <si>
    <t>Analysis</t>
  </si>
  <si>
    <t>2023-2024 Remaining Capacity to Contract</t>
  </si>
  <si>
    <t>October EOY Balance</t>
  </si>
  <si>
    <t>LTPPA Wind</t>
  </si>
  <si>
    <t>LTPPA Solar</t>
  </si>
  <si>
    <t>2010 LTPPAs</t>
  </si>
  <si>
    <t>2044-2045</t>
  </si>
  <si>
    <t>Forward Price Curve (3/1/24)</t>
  </si>
  <si>
    <t>2024 REC Price</t>
  </si>
  <si>
    <t>*</t>
  </si>
  <si>
    <t>RPS Target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</si>
</sst>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quot;$&quot;#,##0"/>
    <numFmt numFmtId="167" formatCode="0.0%"/>
    <numFmt numFmtId="168" formatCode="0.0000"/>
    <numFmt numFmtId="169" formatCode="0.0"/>
    <numFmt numFmtId="170" formatCode="0.0000000000"/>
    <numFmt numFmtId="171" formatCode="_(* #,##0.000_);_(* \(#,##0.000\);_(* &quot;-&quot;??_);_(@_)"/>
    <numFmt numFmtId="172" formatCode="_(&quot;$&quot;* #,##0_);_(&quot;$&quot;* \(#,##0\);_(&quot;$&quot;* &quot;-&quot;??_);_(@_)"/>
    <numFmt numFmtId="173" formatCode="_(&quot;$&quot;* #,##0.00000000_);_(&quot;$&quot;* \(#,##0.00000000\);_(&quot;$&quot;* &quot;-&quot;??_);_(@_)"/>
  </numFmts>
  <fonts count="32"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b/>
      <sz val="11"/>
      <color rgb="FF000000"/>
      <name val="Calibri"/>
      <family val="2"/>
      <scheme val="minor"/>
    </font>
    <font>
      <b/>
      <sz val="9"/>
      <color rgb="FF000000"/>
      <name val="Calibri"/>
      <family val="2"/>
      <scheme val="minor"/>
    </font>
    <font>
      <sz val="11"/>
      <color theme="9"/>
      <name val="Calibri"/>
      <family val="2"/>
      <scheme val="minor"/>
    </font>
    <font>
      <sz val="11"/>
      <name val="Calibri"/>
      <family val="2"/>
      <scheme val="minor"/>
    </font>
    <font>
      <sz val="11"/>
      <color theme="8"/>
      <name val="Calibri"/>
      <family val="2"/>
      <scheme val="minor"/>
    </font>
    <font>
      <sz val="11"/>
      <color theme="8" tint="-0.499984740745262"/>
      <name val="Calibri"/>
      <family val="2"/>
      <scheme val="minor"/>
    </font>
    <font>
      <sz val="11"/>
      <color rgb="FFC00000"/>
      <name val="Calibri"/>
      <family val="2"/>
      <scheme val="minor"/>
    </font>
    <font>
      <sz val="8"/>
      <name val="Calibri"/>
      <family val="2"/>
      <scheme val="minor"/>
    </font>
    <font>
      <b/>
      <sz val="8"/>
      <color rgb="FF000000"/>
      <name val="Calibri"/>
      <family val="2"/>
    </font>
    <font>
      <sz val="8"/>
      <color rgb="FF000000"/>
      <name val="Calibri"/>
      <family val="2"/>
    </font>
    <font>
      <sz val="11"/>
      <color rgb="FF000000"/>
      <name val="Calibri"/>
      <family val="2"/>
    </font>
    <font>
      <sz val="11"/>
      <color rgb="FFFF0000"/>
      <name val="Calibri"/>
      <family val="2"/>
      <scheme val="minor"/>
    </font>
    <font>
      <sz val="14"/>
      <color theme="1"/>
      <name val="Calibri"/>
      <family val="2"/>
      <scheme val="minor"/>
    </font>
    <font>
      <sz val="14"/>
      <color rgb="FFFF0000"/>
      <name val="Calibri"/>
      <family val="2"/>
      <scheme val="minor"/>
    </font>
    <font>
      <b/>
      <sz val="11"/>
      <color rgb="FFFF0000"/>
      <name val="Calibri"/>
      <family val="2"/>
      <scheme val="minor"/>
    </font>
    <font>
      <u/>
      <sz val="11"/>
      <color theme="10"/>
      <name val="Calibri"/>
      <family val="2"/>
      <scheme val="minor"/>
    </font>
    <font>
      <sz val="11"/>
      <color theme="1"/>
      <name val="Cambria"/>
      <family val="1"/>
    </font>
    <font>
      <b/>
      <sz val="9"/>
      <color rgb="FF000000"/>
      <name val="Cambria"/>
      <family val="1"/>
    </font>
    <font>
      <sz val="11"/>
      <color rgb="FF000000"/>
      <name val="Cambria"/>
      <family val="1"/>
    </font>
    <font>
      <b/>
      <sz val="10"/>
      <color rgb="FF000000"/>
      <name val="Cambria"/>
      <family val="1"/>
    </font>
    <font>
      <sz val="10"/>
      <color theme="1"/>
      <name val="Arial"/>
      <family val="2"/>
    </font>
    <font>
      <sz val="11"/>
      <color rgb="FF000000"/>
      <name val="Calibri"/>
      <family val="2"/>
    </font>
    <font>
      <b/>
      <sz val="11"/>
      <color rgb="FF000000"/>
      <name val="Calibri"/>
      <family val="2"/>
    </font>
    <font>
      <sz val="14"/>
      <name val="Calibri"/>
      <family val="2"/>
      <scheme val="minor"/>
    </font>
    <font>
      <b/>
      <sz val="14"/>
      <name val="Calibri"/>
      <family val="2"/>
      <scheme val="minor"/>
    </font>
    <font>
      <b/>
      <sz val="11"/>
      <name val="Calibri"/>
      <family val="2"/>
      <scheme val="minor"/>
    </font>
  </fonts>
  <fills count="1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D9D9D9"/>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D9D9D9"/>
        <bgColor rgb="FF000000"/>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bottom/>
      <diagonal/>
    </border>
    <border>
      <left style="thin">
        <color indexed="64"/>
      </left>
      <right/>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cellStyleXfs>
  <cellXfs count="325">
    <xf numFmtId="0" fontId="0" fillId="0" borderId="0" xfId="0"/>
    <xf numFmtId="0" fontId="2" fillId="0" borderId="0" xfId="0" applyFont="1"/>
    <xf numFmtId="0" fontId="3" fillId="2" borderId="1" xfId="0" applyFont="1" applyFill="1" applyBorder="1" applyAlignment="1">
      <alignment vertical="center" wrapText="1"/>
    </xf>
    <xf numFmtId="44" fontId="0" fillId="0" borderId="0" xfId="2" applyFont="1"/>
    <xf numFmtId="44" fontId="0" fillId="0" borderId="0" xfId="0" applyNumberFormat="1"/>
    <xf numFmtId="0" fontId="0" fillId="0" borderId="3" xfId="0" applyBorder="1"/>
    <xf numFmtId="0" fontId="0" fillId="0" borderId="4" xfId="0" applyBorder="1"/>
    <xf numFmtId="0" fontId="0" fillId="3" borderId="4" xfId="0" applyFill="1" applyBorder="1"/>
    <xf numFmtId="0" fontId="0" fillId="3" borderId="5" xfId="0" applyFill="1" applyBorder="1"/>
    <xf numFmtId="164" fontId="1" fillId="4" borderId="1" xfId="1" applyNumberFormat="1" applyFont="1" applyFill="1" applyBorder="1"/>
    <xf numFmtId="0" fontId="0" fillId="0" borderId="1" xfId="0" applyBorder="1" applyAlignment="1">
      <alignment horizontal="center"/>
    </xf>
    <xf numFmtId="0" fontId="5" fillId="2" borderId="1" xfId="0" applyFont="1" applyFill="1" applyBorder="1" applyAlignment="1">
      <alignment horizontal="center"/>
    </xf>
    <xf numFmtId="9" fontId="2" fillId="2" borderId="1" xfId="0" applyNumberFormat="1" applyFont="1" applyFill="1" applyBorder="1"/>
    <xf numFmtId="164" fontId="0" fillId="0" borderId="1" xfId="1" applyNumberFormat="1" applyFont="1" applyBorder="1"/>
    <xf numFmtId="0" fontId="2" fillId="5" borderId="1" xfId="0" applyFont="1" applyFill="1" applyBorder="1"/>
    <xf numFmtId="0" fontId="2" fillId="2" borderId="1" xfId="0" applyFont="1" applyFill="1" applyBorder="1" applyAlignment="1">
      <alignment horizontal="center" vertical="center" wrapText="1"/>
    </xf>
    <xf numFmtId="165" fontId="0" fillId="3" borderId="1" xfId="1" applyNumberFormat="1" applyFont="1" applyFill="1" applyBorder="1"/>
    <xf numFmtId="166" fontId="0" fillId="3" borderId="1" xfId="1" applyNumberFormat="1" applyFont="1" applyFill="1" applyBorder="1"/>
    <xf numFmtId="166" fontId="0" fillId="5" borderId="1" xfId="0" applyNumberFormat="1" applyFill="1" applyBorder="1"/>
    <xf numFmtId="166" fontId="0" fillId="0" borderId="0" xfId="0" applyNumberFormat="1"/>
    <xf numFmtId="0" fontId="0" fillId="3" borderId="1" xfId="0" applyFill="1" applyBorder="1"/>
    <xf numFmtId="3" fontId="0" fillId="0" borderId="0" xfId="0" applyNumberFormat="1"/>
    <xf numFmtId="10" fontId="2" fillId="0" borderId="1" xfId="0" applyNumberFormat="1" applyFont="1" applyBorder="1"/>
    <xf numFmtId="166" fontId="0" fillId="0" borderId="1" xfId="1" applyNumberFormat="1" applyFont="1" applyBorder="1"/>
    <xf numFmtId="0" fontId="2" fillId="6" borderId="1" xfId="0" applyFont="1" applyFill="1" applyBorder="1"/>
    <xf numFmtId="0" fontId="2" fillId="2" borderId="1" xfId="0" applyFont="1" applyFill="1" applyBorder="1" applyAlignment="1">
      <alignment wrapText="1"/>
    </xf>
    <xf numFmtId="43" fontId="0" fillId="2" borderId="1" xfId="1" applyFont="1" applyFill="1" applyBorder="1"/>
    <xf numFmtId="164" fontId="0" fillId="2" borderId="6" xfId="1" applyNumberFormat="1" applyFont="1" applyFill="1" applyBorder="1"/>
    <xf numFmtId="164" fontId="0" fillId="0" borderId="1" xfId="0" applyNumberFormat="1" applyBorder="1"/>
    <xf numFmtId="164" fontId="0" fillId="0" borderId="6" xfId="1" applyNumberFormat="1" applyFont="1" applyBorder="1"/>
    <xf numFmtId="43" fontId="0" fillId="3" borderId="1" xfId="1" applyFont="1" applyFill="1" applyBorder="1"/>
    <xf numFmtId="43" fontId="0" fillId="0" borderId="0" xfId="0" applyNumberFormat="1"/>
    <xf numFmtId="0" fontId="0" fillId="2" borderId="7" xfId="0" applyFill="1" applyBorder="1" applyAlignment="1">
      <alignment horizontal="center"/>
    </xf>
    <xf numFmtId="0" fontId="0" fillId="7" borderId="0" xfId="0" applyFill="1"/>
    <xf numFmtId="164" fontId="0" fillId="0" borderId="0" xfId="1" applyNumberFormat="1" applyFont="1" applyBorder="1"/>
    <xf numFmtId="0" fontId="0" fillId="2" borderId="0" xfId="0" applyFill="1" applyAlignment="1">
      <alignment horizontal="center" wrapText="1"/>
    </xf>
    <xf numFmtId="164" fontId="0" fillId="0" borderId="0" xfId="0" quotePrefix="1" applyNumberFormat="1"/>
    <xf numFmtId="37" fontId="0" fillId="0" borderId="1" xfId="0" applyNumberFormat="1" applyBorder="1"/>
    <xf numFmtId="164" fontId="0" fillId="0" borderId="1" xfId="3" applyNumberFormat="1" applyFont="1" applyBorder="1"/>
    <xf numFmtId="37" fontId="0" fillId="0" borderId="0" xfId="0" applyNumberFormat="1"/>
    <xf numFmtId="9" fontId="0" fillId="0" borderId="0" xfId="3" applyFont="1" applyBorder="1"/>
    <xf numFmtId="167" fontId="0" fillId="0" borderId="1" xfId="3" applyNumberFormat="1" applyFont="1" applyBorder="1"/>
    <xf numFmtId="166" fontId="0" fillId="0" borderId="1" xfId="2" applyNumberFormat="1" applyFont="1" applyBorder="1"/>
    <xf numFmtId="0" fontId="0" fillId="0" borderId="1" xfId="0" applyBorder="1" applyAlignment="1">
      <alignment horizontal="center" wrapText="1"/>
    </xf>
    <xf numFmtId="0" fontId="7" fillId="2" borderId="8" xfId="0" applyFont="1" applyFill="1" applyBorder="1" applyAlignment="1">
      <alignment horizontal="center" vertical="center" wrapText="1"/>
    </xf>
    <xf numFmtId="166" fontId="0" fillId="3" borderId="1" xfId="0" applyNumberFormat="1" applyFill="1" applyBorder="1"/>
    <xf numFmtId="37" fontId="8" fillId="0" borderId="1" xfId="0" applyNumberFormat="1" applyFont="1" applyBorder="1" applyAlignment="1">
      <alignment horizontal="center"/>
    </xf>
    <xf numFmtId="2" fontId="8" fillId="0" borderId="1" xfId="1" applyNumberFormat="1" applyFont="1" applyFill="1" applyBorder="1" applyAlignment="1">
      <alignment horizontal="center"/>
    </xf>
    <xf numFmtId="37" fontId="9" fillId="0" borderId="1" xfId="0" applyNumberFormat="1" applyFont="1" applyBorder="1" applyAlignment="1">
      <alignment horizontal="center"/>
    </xf>
    <xf numFmtId="37" fontId="9" fillId="4" borderId="1" xfId="0" applyNumberFormat="1" applyFont="1" applyFill="1" applyBorder="1"/>
    <xf numFmtId="167" fontId="10" fillId="0" borderId="1" xfId="0" applyNumberFormat="1" applyFont="1" applyBorder="1" applyAlignment="1">
      <alignment horizontal="center"/>
    </xf>
    <xf numFmtId="0" fontId="0" fillId="0" borderId="1" xfId="0" applyBorder="1" applyAlignment="1">
      <alignment horizontal="center" vertical="center" wrapText="1"/>
    </xf>
    <xf numFmtId="0" fontId="0" fillId="0" borderId="0" xfId="0" applyAlignment="1">
      <alignment horizontal="center"/>
    </xf>
    <xf numFmtId="0" fontId="11" fillId="0" borderId="0" xfId="0" applyFont="1" applyAlignment="1">
      <alignment horizontal="left" vertical="center"/>
    </xf>
    <xf numFmtId="0" fontId="8" fillId="0" borderId="1" xfId="2" applyNumberFormat="1" applyFont="1" applyFill="1" applyBorder="1" applyAlignment="1">
      <alignment horizontal="center"/>
    </xf>
    <xf numFmtId="3" fontId="9" fillId="3" borderId="1" xfId="0" applyNumberFormat="1" applyFont="1" applyFill="1" applyBorder="1" applyAlignment="1">
      <alignment horizontal="right"/>
    </xf>
    <xf numFmtId="37" fontId="8" fillId="0" borderId="0" xfId="0" applyNumberFormat="1" applyFont="1" applyAlignment="1">
      <alignment horizontal="center"/>
    </xf>
    <xf numFmtId="37" fontId="8" fillId="0" borderId="10" xfId="0" applyNumberFormat="1" applyFont="1" applyBorder="1" applyAlignment="1">
      <alignment horizontal="center"/>
    </xf>
    <xf numFmtId="37" fontId="8" fillId="0" borderId="7" xfId="0" applyNumberFormat="1" applyFont="1" applyBorder="1" applyAlignment="1">
      <alignment horizontal="center"/>
    </xf>
    <xf numFmtId="37" fontId="9" fillId="3" borderId="1" xfId="0" applyNumberFormat="1" applyFont="1" applyFill="1" applyBorder="1" applyAlignment="1">
      <alignment horizontal="right"/>
    </xf>
    <xf numFmtId="37" fontId="8" fillId="7" borderId="7" xfId="0" applyNumberFormat="1" applyFont="1" applyFill="1" applyBorder="1" applyAlignment="1">
      <alignment horizontal="center"/>
    </xf>
    <xf numFmtId="168" fontId="8" fillId="0" borderId="1" xfId="2" applyNumberFormat="1" applyFont="1" applyFill="1" applyBorder="1" applyAlignment="1">
      <alignment horizontal="center"/>
    </xf>
    <xf numFmtId="37" fontId="8" fillId="0" borderId="8" xfId="0" applyNumberFormat="1" applyFont="1" applyBorder="1" applyAlignment="1">
      <alignment horizontal="center"/>
    </xf>
    <xf numFmtId="14" fontId="0" fillId="7" borderId="0" xfId="0" applyNumberFormat="1" applyFill="1" applyAlignment="1">
      <alignment horizontal="center"/>
    </xf>
    <xf numFmtId="10" fontId="0" fillId="0" borderId="1" xfId="0" applyNumberFormat="1" applyBorder="1" applyAlignment="1">
      <alignment horizontal="center" vertical="center" wrapText="1"/>
    </xf>
    <xf numFmtId="169" fontId="0" fillId="0" borderId="0" xfId="0" applyNumberFormat="1"/>
    <xf numFmtId="0" fontId="8" fillId="0" borderId="0" xfId="2" applyNumberFormat="1" applyFont="1" applyFill="1" applyBorder="1" applyAlignment="1">
      <alignment horizontal="center"/>
    </xf>
    <xf numFmtId="37" fontId="9" fillId="0" borderId="0" xfId="0" applyNumberFormat="1" applyFont="1" applyAlignment="1">
      <alignment horizontal="center"/>
    </xf>
    <xf numFmtId="167" fontId="10" fillId="0" borderId="0" xfId="0" applyNumberFormat="1" applyFont="1" applyAlignment="1">
      <alignment horizontal="center"/>
    </xf>
    <xf numFmtId="37" fontId="9" fillId="3" borderId="1" xfId="0" applyNumberFormat="1" applyFont="1" applyFill="1" applyBorder="1"/>
    <xf numFmtId="164" fontId="9" fillId="3" borderId="1" xfId="1" applyNumberFormat="1" applyFont="1" applyFill="1" applyBorder="1"/>
    <xf numFmtId="37" fontId="12" fillId="0" borderId="0" xfId="0" applyNumberFormat="1" applyFont="1"/>
    <xf numFmtId="170" fontId="0" fillId="0" borderId="0" xfId="0" applyNumberFormat="1"/>
    <xf numFmtId="166" fontId="0" fillId="9" borderId="1" xfId="1" applyNumberFormat="1" applyFont="1" applyFill="1" applyBorder="1"/>
    <xf numFmtId="44" fontId="0" fillId="0" borderId="1" xfId="0" applyNumberFormat="1" applyBorder="1"/>
    <xf numFmtId="166" fontId="0" fillId="8" borderId="1" xfId="0" applyNumberFormat="1" applyFill="1" applyBorder="1"/>
    <xf numFmtId="0" fontId="2" fillId="7" borderId="1" xfId="0" applyFont="1" applyFill="1" applyBorder="1" applyAlignment="1">
      <alignment horizontal="center" vertical="center"/>
    </xf>
    <xf numFmtId="0" fontId="2" fillId="0" borderId="1" xfId="0" applyFont="1" applyBorder="1" applyAlignment="1">
      <alignment horizontal="center"/>
    </xf>
    <xf numFmtId="164" fontId="0" fillId="4" borderId="1" xfId="1" applyNumberFormat="1" applyFont="1" applyFill="1" applyBorder="1"/>
    <xf numFmtId="164" fontId="0" fillId="5" borderId="1" xfId="1" applyNumberFormat="1" applyFont="1" applyFill="1" applyBorder="1"/>
    <xf numFmtId="165" fontId="0" fillId="4" borderId="1" xfId="2" applyNumberFormat="1" applyFont="1" applyFill="1" applyBorder="1"/>
    <xf numFmtId="0" fontId="14" fillId="10" borderId="16" xfId="0" applyFont="1" applyFill="1" applyBorder="1" applyAlignment="1">
      <alignment vertical="center"/>
    </xf>
    <xf numFmtId="0" fontId="14" fillId="10" borderId="2" xfId="0" applyFont="1" applyFill="1" applyBorder="1" applyAlignment="1">
      <alignment horizontal="center" vertical="center" wrapText="1"/>
    </xf>
    <xf numFmtId="0" fontId="14" fillId="10" borderId="17" xfId="0" applyFont="1" applyFill="1" applyBorder="1" applyAlignment="1">
      <alignment horizontal="center" vertical="center" wrapText="1"/>
    </xf>
    <xf numFmtId="0" fontId="14" fillId="10" borderId="18" xfId="0" applyFont="1" applyFill="1" applyBorder="1" applyAlignment="1">
      <alignment horizontal="center" vertical="center" wrapText="1"/>
    </xf>
    <xf numFmtId="0" fontId="14" fillId="10" borderId="1" xfId="0" applyFont="1" applyFill="1" applyBorder="1" applyAlignment="1">
      <alignment vertical="center" wrapText="1"/>
    </xf>
    <xf numFmtId="0" fontId="14" fillId="10" borderId="1" xfId="0" applyFont="1" applyFill="1" applyBorder="1" applyAlignment="1">
      <alignment horizontal="center" vertical="center" wrapText="1"/>
    </xf>
    <xf numFmtId="0" fontId="15" fillId="0" borderId="2" xfId="0" applyFont="1" applyBorder="1" applyAlignment="1">
      <alignment vertical="center"/>
    </xf>
    <xf numFmtId="6" fontId="16" fillId="11" borderId="17" xfId="0" applyNumberFormat="1" applyFont="1" applyFill="1" applyBorder="1" applyAlignment="1">
      <alignment horizontal="right" vertical="center"/>
    </xf>
    <xf numFmtId="6" fontId="16" fillId="0" borderId="17" xfId="0" applyNumberFormat="1" applyFont="1" applyBorder="1" applyAlignment="1">
      <alignment horizontal="right" vertical="center"/>
    </xf>
    <xf numFmtId="0" fontId="15" fillId="0" borderId="16" xfId="0" applyFont="1" applyBorder="1" applyAlignment="1">
      <alignment vertical="center"/>
    </xf>
    <xf numFmtId="6" fontId="0" fillId="0" borderId="0" xfId="0" applyNumberFormat="1"/>
    <xf numFmtId="0" fontId="2" fillId="0" borderId="0" xfId="0" applyFont="1" applyAlignment="1">
      <alignment wrapText="1"/>
    </xf>
    <xf numFmtId="8" fontId="16" fillId="11" borderId="17" xfId="0" applyNumberFormat="1" applyFont="1" applyFill="1" applyBorder="1" applyAlignment="1">
      <alignment horizontal="right" vertical="center"/>
    </xf>
    <xf numFmtId="6" fontId="16" fillId="11" borderId="17" xfId="0" quotePrefix="1" applyNumberFormat="1" applyFont="1" applyFill="1" applyBorder="1" applyAlignment="1">
      <alignment horizontal="right" vertical="center"/>
    </xf>
    <xf numFmtId="0" fontId="0" fillId="0" borderId="0" xfId="2" applyNumberFormat="1" applyFont="1"/>
    <xf numFmtId="8" fontId="0" fillId="0" borderId="0" xfId="2" applyNumberFormat="1" applyFont="1"/>
    <xf numFmtId="43" fontId="0" fillId="0" borderId="0" xfId="1" applyFont="1"/>
    <xf numFmtId="0" fontId="2" fillId="8" borderId="1" xfId="0" applyFont="1" applyFill="1" applyBorder="1"/>
    <xf numFmtId="9" fontId="2" fillId="5" borderId="1" xfId="0" applyNumberFormat="1" applyFont="1" applyFill="1" applyBorder="1"/>
    <xf numFmtId="3" fontId="0" fillId="2" borderId="1" xfId="0" applyNumberFormat="1" applyFill="1" applyBorder="1"/>
    <xf numFmtId="3" fontId="0" fillId="5" borderId="1" xfId="0" applyNumberFormat="1" applyFill="1" applyBorder="1"/>
    <xf numFmtId="165" fontId="0" fillId="5" borderId="1" xfId="2" applyNumberFormat="1" applyFont="1" applyFill="1" applyBorder="1"/>
    <xf numFmtId="165" fontId="0" fillId="2" borderId="1" xfId="2" applyNumberFormat="1" applyFont="1" applyFill="1" applyBorder="1"/>
    <xf numFmtId="171" fontId="0" fillId="2" borderId="1" xfId="1" applyNumberFormat="1" applyFont="1" applyFill="1" applyBorder="1"/>
    <xf numFmtId="9" fontId="0" fillId="0" borderId="0" xfId="3" applyFont="1"/>
    <xf numFmtId="0" fontId="18" fillId="0" borderId="0" xfId="0" applyFont="1"/>
    <xf numFmtId="0" fontId="18" fillId="0" borderId="1" xfId="0" applyFont="1" applyBorder="1"/>
    <xf numFmtId="0" fontId="3" fillId="8" borderId="1" xfId="0" applyFont="1" applyFill="1" applyBorder="1"/>
    <xf numFmtId="164" fontId="18" fillId="3" borderId="1" xfId="1" applyNumberFormat="1" applyFont="1" applyFill="1" applyBorder="1" applyAlignment="1">
      <alignment horizontal="right"/>
    </xf>
    <xf numFmtId="3" fontId="18" fillId="2" borderId="1" xfId="0" applyNumberFormat="1" applyFont="1" applyFill="1" applyBorder="1"/>
    <xf numFmtId="0" fontId="3" fillId="5" borderId="1" xfId="0" applyFont="1" applyFill="1" applyBorder="1"/>
    <xf numFmtId="3" fontId="18" fillId="5" borderId="1" xfId="0" applyNumberFormat="1" applyFont="1" applyFill="1" applyBorder="1"/>
    <xf numFmtId="9" fontId="3" fillId="3" borderId="1" xfId="3" applyFont="1" applyFill="1" applyBorder="1"/>
    <xf numFmtId="164" fontId="18" fillId="5" borderId="1" xfId="1" applyNumberFormat="1" applyFont="1" applyFill="1" applyBorder="1"/>
    <xf numFmtId="165" fontId="18" fillId="5" borderId="1" xfId="2" applyNumberFormat="1" applyFont="1" applyFill="1" applyBorder="1"/>
    <xf numFmtId="0" fontId="18" fillId="2" borderId="1" xfId="0" applyFont="1" applyFill="1" applyBorder="1"/>
    <xf numFmtId="9" fontId="18" fillId="2" borderId="1" xfId="3" applyFont="1" applyFill="1" applyBorder="1" applyAlignment="1">
      <alignment horizontal="right" vertical="center"/>
    </xf>
    <xf numFmtId="164" fontId="18" fillId="2" borderId="1" xfId="1" applyNumberFormat="1" applyFont="1" applyFill="1" applyBorder="1"/>
    <xf numFmtId="166" fontId="18" fillId="2" borderId="1" xfId="0" applyNumberFormat="1" applyFont="1" applyFill="1" applyBorder="1"/>
    <xf numFmtId="9" fontId="18" fillId="3" borderId="1" xfId="3" applyFont="1" applyFill="1" applyBorder="1" applyAlignment="1">
      <alignment horizontal="right" vertical="center"/>
    </xf>
    <xf numFmtId="171" fontId="18" fillId="3" borderId="1" xfId="1" applyNumberFormat="1" applyFont="1" applyFill="1" applyBorder="1"/>
    <xf numFmtId="165" fontId="18" fillId="3" borderId="1" xfId="2" applyNumberFormat="1" applyFont="1" applyFill="1" applyBorder="1"/>
    <xf numFmtId="165" fontId="18" fillId="2" borderId="1" xfId="2" applyNumberFormat="1" applyFont="1" applyFill="1" applyBorder="1"/>
    <xf numFmtId="171" fontId="18" fillId="2" borderId="1" xfId="1" applyNumberFormat="1" applyFont="1" applyFill="1" applyBorder="1"/>
    <xf numFmtId="9" fontId="3" fillId="2" borderId="1" xfId="3" applyFont="1" applyFill="1" applyBorder="1"/>
    <xf numFmtId="0" fontId="3" fillId="2" borderId="1" xfId="0" applyFont="1" applyFill="1" applyBorder="1"/>
    <xf numFmtId="9" fontId="3" fillId="5" borderId="1" xfId="0" applyNumberFormat="1" applyFont="1" applyFill="1" applyBorder="1"/>
    <xf numFmtId="8" fontId="18" fillId="0" borderId="0" xfId="0" applyNumberFormat="1" applyFont="1"/>
    <xf numFmtId="0" fontId="19" fillId="0" borderId="0" xfId="0" applyFont="1"/>
    <xf numFmtId="3" fontId="19" fillId="2" borderId="1" xfId="0" applyNumberFormat="1" applyFont="1" applyFill="1" applyBorder="1"/>
    <xf numFmtId="165" fontId="19" fillId="5" borderId="1" xfId="2" applyNumberFormat="1" applyFont="1" applyFill="1" applyBorder="1"/>
    <xf numFmtId="165" fontId="19" fillId="2" borderId="1" xfId="2" applyNumberFormat="1" applyFont="1" applyFill="1" applyBorder="1"/>
    <xf numFmtId="8" fontId="19" fillId="0" borderId="0" xfId="0" applyNumberFormat="1" applyFont="1"/>
    <xf numFmtId="0" fontId="17" fillId="0" borderId="0" xfId="0" applyFont="1"/>
    <xf numFmtId="166" fontId="0" fillId="5" borderId="1" xfId="2" applyNumberFormat="1" applyFont="1" applyFill="1" applyBorder="1"/>
    <xf numFmtId="166" fontId="0" fillId="5" borderId="1" xfId="1" applyNumberFormat="1" applyFont="1" applyFill="1" applyBorder="1"/>
    <xf numFmtId="165" fontId="0" fillId="4" borderId="6" xfId="2" applyNumberFormat="1" applyFont="1" applyFill="1" applyBorder="1"/>
    <xf numFmtId="165" fontId="0" fillId="5" borderId="6" xfId="2" applyNumberFormat="1" applyFont="1" applyFill="1" applyBorder="1"/>
    <xf numFmtId="166" fontId="0" fillId="0" borderId="6" xfId="2" applyNumberFormat="1" applyFont="1" applyBorder="1"/>
    <xf numFmtId="166" fontId="0" fillId="2" borderId="1" xfId="2" applyNumberFormat="1" applyFont="1" applyFill="1" applyBorder="1"/>
    <xf numFmtId="166" fontId="0" fillId="4" borderId="6" xfId="2" applyNumberFormat="1" applyFont="1" applyFill="1" applyBorder="1"/>
    <xf numFmtId="166" fontId="0" fillId="2" borderId="6" xfId="2" applyNumberFormat="1" applyFont="1" applyFill="1" applyBorder="1"/>
    <xf numFmtId="166" fontId="0" fillId="2" borderId="6" xfId="0" applyNumberFormat="1" applyFill="1" applyBorder="1"/>
    <xf numFmtId="166" fontId="0" fillId="5" borderId="6" xfId="2" applyNumberFormat="1" applyFont="1" applyFill="1" applyBorder="1"/>
    <xf numFmtId="3" fontId="0" fillId="8" borderId="1" xfId="0" applyNumberFormat="1" applyFill="1" applyBorder="1"/>
    <xf numFmtId="166" fontId="0" fillId="12" borderId="1" xfId="0" applyNumberFormat="1" applyFill="1" applyBorder="1"/>
    <xf numFmtId="3" fontId="0" fillId="12" borderId="1" xfId="0" applyNumberFormat="1" applyFill="1" applyBorder="1"/>
    <xf numFmtId="43" fontId="2" fillId="0" borderId="1" xfId="0" applyNumberFormat="1" applyFont="1" applyBorder="1"/>
    <xf numFmtId="43" fontId="0" fillId="0" borderId="1" xfId="1" applyFont="1" applyBorder="1"/>
    <xf numFmtId="3" fontId="0" fillId="13" borderId="1" xfId="0" applyNumberFormat="1" applyFill="1" applyBorder="1"/>
    <xf numFmtId="171" fontId="0" fillId="4" borderId="1" xfId="1" applyNumberFormat="1" applyFont="1" applyFill="1" applyBorder="1"/>
    <xf numFmtId="43" fontId="0" fillId="13" borderId="1" xfId="1" applyFont="1" applyFill="1" applyBorder="1"/>
    <xf numFmtId="164" fontId="0" fillId="2" borderId="1" xfId="0" applyNumberFormat="1" applyFill="1" applyBorder="1"/>
    <xf numFmtId="164" fontId="0" fillId="13" borderId="1" xfId="0" applyNumberFormat="1" applyFill="1" applyBorder="1"/>
    <xf numFmtId="164" fontId="0" fillId="13" borderId="1" xfId="1" applyNumberFormat="1" applyFont="1" applyFill="1" applyBorder="1"/>
    <xf numFmtId="164" fontId="0" fillId="5" borderId="1" xfId="0" applyNumberFormat="1" applyFill="1" applyBorder="1"/>
    <xf numFmtId="171" fontId="0" fillId="5" borderId="1" xfId="1" applyNumberFormat="1" applyFont="1" applyFill="1" applyBorder="1"/>
    <xf numFmtId="171" fontId="0" fillId="0" borderId="1" xfId="1" applyNumberFormat="1" applyFont="1" applyBorder="1"/>
    <xf numFmtId="43" fontId="0" fillId="2" borderId="1" xfId="0" applyNumberFormat="1" applyFill="1" applyBorder="1"/>
    <xf numFmtId="164" fontId="0" fillId="12" borderId="1" xfId="1" applyNumberFormat="1" applyFont="1" applyFill="1" applyBorder="1"/>
    <xf numFmtId="0" fontId="2" fillId="12" borderId="1" xfId="0" applyFont="1" applyFill="1" applyBorder="1"/>
    <xf numFmtId="3" fontId="2" fillId="12" borderId="1" xfId="0" applyNumberFormat="1" applyFont="1" applyFill="1" applyBorder="1"/>
    <xf numFmtId="166" fontId="2" fillId="5" borderId="1" xfId="0" applyNumberFormat="1" applyFont="1" applyFill="1" applyBorder="1"/>
    <xf numFmtId="166" fontId="2" fillId="2" borderId="1" xfId="0" applyNumberFormat="1" applyFont="1" applyFill="1" applyBorder="1"/>
    <xf numFmtId="166" fontId="2" fillId="3" borderId="1" xfId="0" applyNumberFormat="1" applyFont="1" applyFill="1" applyBorder="1" applyAlignment="1">
      <alignment horizontal="center"/>
    </xf>
    <xf numFmtId="166" fontId="0" fillId="4" borderId="1" xfId="2" applyNumberFormat="1" applyFont="1" applyFill="1" applyBorder="1"/>
    <xf numFmtId="17" fontId="0" fillId="2" borderId="1" xfId="0" applyNumberFormat="1" applyFill="1" applyBorder="1"/>
    <xf numFmtId="164" fontId="0" fillId="4" borderId="1" xfId="0" applyNumberFormat="1" applyFill="1" applyBorder="1"/>
    <xf numFmtId="0" fontId="3" fillId="2" borderId="0" xfId="0" applyFont="1" applyFill="1" applyAlignment="1">
      <alignment vertical="center" wrapText="1"/>
    </xf>
    <xf numFmtId="0" fontId="0" fillId="3" borderId="0" xfId="0" applyFill="1"/>
    <xf numFmtId="43" fontId="0" fillId="3" borderId="0" xfId="1" applyFont="1" applyFill="1" applyBorder="1"/>
    <xf numFmtId="164" fontId="0" fillId="0" borderId="0" xfId="0" applyNumberFormat="1"/>
    <xf numFmtId="0" fontId="2" fillId="2" borderId="1" xfId="0" applyFont="1" applyFill="1" applyBorder="1" applyAlignment="1">
      <alignment horizontal="center" vertical="center"/>
    </xf>
    <xf numFmtId="164" fontId="0" fillId="2" borderId="1" xfId="1" applyNumberFormat="1" applyFont="1" applyFill="1" applyBorder="1"/>
    <xf numFmtId="166" fontId="0" fillId="2" borderId="1" xfId="1" applyNumberFormat="1" applyFont="1" applyFill="1" applyBorder="1"/>
    <xf numFmtId="166" fontId="0" fillId="2" borderId="1" xfId="0" applyNumberFormat="1" applyFill="1" applyBorder="1"/>
    <xf numFmtId="0" fontId="2" fillId="0" borderId="1" xfId="0" applyFont="1" applyBorder="1"/>
    <xf numFmtId="164" fontId="0" fillId="3" borderId="1" xfId="1" applyNumberFormat="1" applyFont="1" applyFill="1" applyBorder="1"/>
    <xf numFmtId="0" fontId="0" fillId="2" borderId="1" xfId="0" applyFill="1" applyBorder="1"/>
    <xf numFmtId="0" fontId="0" fillId="2" borderId="1" xfId="0" applyFill="1" applyBorder="1" applyAlignment="1">
      <alignment horizontal="center"/>
    </xf>
    <xf numFmtId="166" fontId="0" fillId="0" borderId="1" xfId="0" applyNumberFormat="1" applyBorder="1"/>
    <xf numFmtId="172" fontId="0" fillId="0" borderId="1" xfId="2" applyNumberFormat="1" applyFont="1" applyBorder="1"/>
    <xf numFmtId="0" fontId="9" fillId="0" borderId="0" xfId="0" applyFont="1"/>
    <xf numFmtId="0" fontId="2" fillId="2" borderId="1" xfId="0" applyFont="1" applyFill="1" applyBorder="1"/>
    <xf numFmtId="164" fontId="0" fillId="0" borderId="0" xfId="1" applyNumberFormat="1" applyFont="1"/>
    <xf numFmtId="164" fontId="0" fillId="2" borderId="0" xfId="1" applyNumberFormat="1" applyFont="1" applyFill="1" applyBorder="1"/>
    <xf numFmtId="164" fontId="0" fillId="3" borderId="0" xfId="1" applyNumberFormat="1" applyFont="1" applyFill="1" applyBorder="1"/>
    <xf numFmtId="172" fontId="0" fillId="0" borderId="0" xfId="2" applyNumberFormat="1" applyFont="1"/>
    <xf numFmtId="8" fontId="17" fillId="0" borderId="0" xfId="2" applyNumberFormat="1" applyFont="1"/>
    <xf numFmtId="0" fontId="2" fillId="0" borderId="7" xfId="0" applyFont="1" applyBorder="1"/>
    <xf numFmtId="0" fontId="0" fillId="14" borderId="0" xfId="0" applyFill="1"/>
    <xf numFmtId="9" fontId="0" fillId="2" borderId="1" xfId="3" applyFont="1" applyFill="1" applyBorder="1"/>
    <xf numFmtId="0" fontId="2" fillId="14" borderId="1" xfId="0" applyFont="1" applyFill="1" applyBorder="1"/>
    <xf numFmtId="172" fontId="0" fillId="2" borderId="1" xfId="2" applyNumberFormat="1" applyFont="1" applyFill="1" applyBorder="1"/>
    <xf numFmtId="166" fontId="0" fillId="14" borderId="1" xfId="1" applyNumberFormat="1" applyFont="1" applyFill="1" applyBorder="1"/>
    <xf numFmtId="166" fontId="0" fillId="14" borderId="1" xfId="0" applyNumberFormat="1" applyFill="1" applyBorder="1"/>
    <xf numFmtId="172" fontId="0" fillId="14" borderId="1" xfId="2" applyNumberFormat="1" applyFont="1" applyFill="1" applyBorder="1"/>
    <xf numFmtId="0" fontId="2" fillId="14" borderId="1" xfId="0" applyFont="1" applyFill="1" applyBorder="1" applyAlignment="1">
      <alignment horizontal="center" vertical="center" wrapText="1"/>
    </xf>
    <xf numFmtId="164" fontId="2" fillId="0" borderId="0" xfId="0" applyNumberFormat="1" applyFont="1"/>
    <xf numFmtId="164" fontId="17" fillId="0" borderId="0" xfId="1" applyNumberFormat="1" applyFont="1"/>
    <xf numFmtId="172" fontId="2" fillId="0" borderId="0" xfId="2" applyNumberFormat="1" applyFont="1"/>
    <xf numFmtId="0" fontId="14" fillId="10" borderId="19" xfId="0" applyFont="1" applyFill="1" applyBorder="1" applyAlignment="1">
      <alignment horizontal="center" vertical="center" wrapText="1"/>
    </xf>
    <xf numFmtId="0" fontId="14" fillId="10" borderId="6" xfId="0" applyFont="1" applyFill="1" applyBorder="1" applyAlignment="1">
      <alignment horizontal="center" vertical="center" wrapText="1"/>
    </xf>
    <xf numFmtId="0" fontId="15" fillId="0" borderId="17" xfId="0" applyFont="1" applyBorder="1" applyAlignment="1">
      <alignment vertical="center"/>
    </xf>
    <xf numFmtId="0" fontId="15" fillId="0" borderId="15" xfId="0" applyFont="1" applyBorder="1" applyAlignment="1">
      <alignment vertical="center"/>
    </xf>
    <xf numFmtId="172" fontId="0" fillId="3" borderId="1" xfId="2" applyNumberFormat="1" applyFont="1" applyFill="1" applyBorder="1"/>
    <xf numFmtId="172" fontId="0" fillId="5" borderId="1" xfId="2" applyNumberFormat="1" applyFont="1" applyFill="1" applyBorder="1"/>
    <xf numFmtId="172" fontId="0" fillId="8" borderId="1" xfId="2" applyNumberFormat="1" applyFont="1" applyFill="1" applyBorder="1"/>
    <xf numFmtId="0" fontId="20" fillId="2" borderId="1" xfId="0" applyFont="1" applyFill="1" applyBorder="1" applyAlignment="1">
      <alignment horizontal="center" vertical="center" wrapText="1"/>
    </xf>
    <xf numFmtId="172" fontId="18" fillId="0" borderId="0" xfId="2" applyNumberFormat="1" applyFont="1"/>
    <xf numFmtId="172" fontId="3" fillId="2" borderId="1" xfId="2" applyNumberFormat="1" applyFont="1" applyFill="1" applyBorder="1" applyAlignment="1">
      <alignment vertical="center" wrapText="1"/>
    </xf>
    <xf numFmtId="172" fontId="18" fillId="2" borderId="1" xfId="2" applyNumberFormat="1" applyFont="1" applyFill="1" applyBorder="1"/>
    <xf numFmtId="172" fontId="18" fillId="5" borderId="1" xfId="2" applyNumberFormat="1" applyFont="1" applyFill="1" applyBorder="1"/>
    <xf numFmtId="172" fontId="18" fillId="3" borderId="1" xfId="2" applyNumberFormat="1" applyFont="1" applyFill="1" applyBorder="1"/>
    <xf numFmtId="172" fontId="3" fillId="2" borderId="1" xfId="2" applyNumberFormat="1" applyFont="1" applyFill="1" applyBorder="1"/>
    <xf numFmtId="172" fontId="3" fillId="5" borderId="1" xfId="2" applyNumberFormat="1" applyFont="1" applyFill="1" applyBorder="1"/>
    <xf numFmtId="172" fontId="17" fillId="0" borderId="0" xfId="2" applyNumberFormat="1" applyFont="1"/>
    <xf numFmtId="167" fontId="0" fillId="0" borderId="0" xfId="0" applyNumberFormat="1"/>
    <xf numFmtId="9" fontId="0" fillId="7" borderId="0" xfId="3" applyFont="1" applyFill="1"/>
    <xf numFmtId="0" fontId="4" fillId="2" borderId="1" xfId="0" applyFont="1" applyFill="1" applyBorder="1" applyAlignment="1">
      <alignment horizontal="center"/>
    </xf>
    <xf numFmtId="0" fontId="0" fillId="0" borderId="1" xfId="0" applyBorder="1"/>
    <xf numFmtId="6" fontId="0" fillId="0" borderId="1" xfId="0" applyNumberFormat="1" applyBorder="1"/>
    <xf numFmtId="3" fontId="0" fillId="0" borderId="1" xfId="0" applyNumberFormat="1" applyBorder="1"/>
    <xf numFmtId="0" fontId="23" fillId="10" borderId="16" xfId="0" applyFont="1" applyFill="1" applyBorder="1" applyAlignment="1">
      <alignment horizontal="center" vertical="center" wrapText="1"/>
    </xf>
    <xf numFmtId="0" fontId="23" fillId="10" borderId="15" xfId="0" applyFont="1" applyFill="1" applyBorder="1" applyAlignment="1">
      <alignment horizontal="center" vertical="center" wrapText="1"/>
    </xf>
    <xf numFmtId="0" fontId="21" fillId="10" borderId="15" xfId="4" applyFill="1" applyBorder="1" applyAlignment="1">
      <alignment horizontal="center" vertical="center" wrapText="1"/>
    </xf>
    <xf numFmtId="0" fontId="24" fillId="10" borderId="2" xfId="0" applyFont="1" applyFill="1" applyBorder="1" applyAlignment="1">
      <alignment horizontal="right" vertical="center" wrapText="1"/>
    </xf>
    <xf numFmtId="3" fontId="22" fillId="0" borderId="17" xfId="0" applyNumberFormat="1" applyFont="1" applyBorder="1" applyAlignment="1">
      <alignment horizontal="right" vertical="center" wrapText="1"/>
    </xf>
    <xf numFmtId="8" fontId="22" fillId="0" borderId="17" xfId="0" applyNumberFormat="1" applyFont="1" applyBorder="1" applyAlignment="1">
      <alignment horizontal="right" vertical="center" wrapText="1"/>
    </xf>
    <xf numFmtId="6" fontId="22" fillId="0" borderId="17" xfId="0" applyNumberFormat="1" applyFont="1" applyBorder="1" applyAlignment="1">
      <alignment horizontal="right" vertical="center" wrapText="1"/>
    </xf>
    <xf numFmtId="10" fontId="22" fillId="0" borderId="17" xfId="0" applyNumberFormat="1" applyFont="1" applyBorder="1" applyAlignment="1">
      <alignment horizontal="right" vertical="center" wrapText="1"/>
    </xf>
    <xf numFmtId="0" fontId="21" fillId="10" borderId="2" xfId="4" applyFill="1" applyBorder="1" applyAlignment="1">
      <alignment horizontal="right" vertical="center" wrapText="1"/>
    </xf>
    <xf numFmtId="0" fontId="14" fillId="10" borderId="0" xfId="0" applyFont="1" applyFill="1" applyAlignment="1">
      <alignment horizontal="center" vertical="center" wrapText="1"/>
    </xf>
    <xf numFmtId="0" fontId="25" fillId="10" borderId="16" xfId="0" applyFont="1" applyFill="1" applyBorder="1" applyAlignment="1">
      <alignment horizontal="center" vertical="center" wrapText="1"/>
    </xf>
    <xf numFmtId="0" fontId="25" fillId="10" borderId="20" xfId="0" applyFont="1" applyFill="1" applyBorder="1" applyAlignment="1">
      <alignment horizontal="center" vertical="center" wrapText="1"/>
    </xf>
    <xf numFmtId="0" fontId="25" fillId="10" borderId="1" xfId="0" applyFont="1" applyFill="1" applyBorder="1" applyAlignment="1">
      <alignment horizontal="center" vertical="center" wrapText="1"/>
    </xf>
    <xf numFmtId="166" fontId="0" fillId="9" borderId="0" xfId="1" applyNumberFormat="1" applyFont="1" applyFill="1" applyBorder="1"/>
    <xf numFmtId="166" fontId="0" fillId="3" borderId="0" xfId="0" applyNumberFormat="1" applyFill="1"/>
    <xf numFmtId="172" fontId="26" fillId="0" borderId="8" xfId="2" applyNumberFormat="1" applyFont="1" applyFill="1" applyBorder="1"/>
    <xf numFmtId="0" fontId="2" fillId="2" borderId="1" xfId="0" applyFont="1" applyFill="1" applyBorder="1" applyAlignment="1">
      <alignment horizontal="center"/>
    </xf>
    <xf numFmtId="0" fontId="14" fillId="10" borderId="15" xfId="0" applyFont="1" applyFill="1" applyBorder="1" applyAlignment="1">
      <alignment horizontal="center" vertical="center"/>
    </xf>
    <xf numFmtId="0" fontId="14" fillId="10" borderId="12" xfId="0" applyFont="1" applyFill="1" applyBorder="1" applyAlignment="1">
      <alignment horizontal="center" vertical="center"/>
    </xf>
    <xf numFmtId="165" fontId="0" fillId="0" borderId="0" xfId="0" applyNumberFormat="1"/>
    <xf numFmtId="165" fontId="0" fillId="0" borderId="0" xfId="2" applyNumberFormat="1" applyFont="1"/>
    <xf numFmtId="0" fontId="9" fillId="0" borderId="1" xfId="2" applyNumberFormat="1" applyFont="1" applyFill="1" applyBorder="1" applyAlignment="1">
      <alignment horizontal="center"/>
    </xf>
    <xf numFmtId="6" fontId="27" fillId="11" borderId="17" xfId="0" applyNumberFormat="1" applyFont="1" applyFill="1" applyBorder="1" applyAlignment="1">
      <alignment horizontal="right" vertical="center"/>
    </xf>
    <xf numFmtId="8" fontId="0" fillId="0" borderId="0" xfId="0" applyNumberFormat="1"/>
    <xf numFmtId="164" fontId="0" fillId="0" borderId="1" xfId="1" applyNumberFormat="1" applyFont="1" applyFill="1" applyBorder="1"/>
    <xf numFmtId="164" fontId="1" fillId="0" borderId="1" xfId="1" applyNumberFormat="1" applyFont="1" applyFill="1" applyBorder="1"/>
    <xf numFmtId="0" fontId="14" fillId="10" borderId="6" xfId="0" applyFont="1" applyFill="1" applyBorder="1" applyAlignment="1">
      <alignment vertical="center" wrapText="1"/>
    </xf>
    <xf numFmtId="0" fontId="0" fillId="14" borderId="1" xfId="0" applyFill="1" applyBorder="1"/>
    <xf numFmtId="165" fontId="0" fillId="14" borderId="1" xfId="0" applyNumberFormat="1" applyFill="1" applyBorder="1"/>
    <xf numFmtId="0" fontId="0" fillId="0" borderId="21" xfId="0" applyBorder="1"/>
    <xf numFmtId="0" fontId="6" fillId="8" borderId="7" xfId="0" applyFont="1" applyFill="1" applyBorder="1" applyAlignment="1">
      <alignment horizontal="center" vertical="center" wrapText="1"/>
    </xf>
    <xf numFmtId="166" fontId="0" fillId="0" borderId="21" xfId="0" applyNumberFormat="1" applyBorder="1"/>
    <xf numFmtId="166" fontId="2" fillId="0" borderId="1" xfId="0" applyNumberFormat="1" applyFont="1" applyBorder="1"/>
    <xf numFmtId="172" fontId="2" fillId="0" borderId="1" xfId="2" applyNumberFormat="1" applyFont="1" applyBorder="1"/>
    <xf numFmtId="0" fontId="2" fillId="0" borderId="0" xfId="0" applyFont="1" applyAlignment="1">
      <alignment horizontal="center" vertical="center" wrapText="1"/>
    </xf>
    <xf numFmtId="0" fontId="28" fillId="15" borderId="1" xfId="0" applyFont="1" applyFill="1" applyBorder="1" applyAlignment="1"/>
    <xf numFmtId="0" fontId="28" fillId="15" borderId="6" xfId="0" applyFont="1" applyFill="1" applyBorder="1" applyAlignment="1"/>
    <xf numFmtId="0" fontId="16" fillId="0" borderId="0" xfId="0" applyFont="1" applyFill="1" applyBorder="1" applyAlignment="1"/>
    <xf numFmtId="0" fontId="28" fillId="15" borderId="0" xfId="0" applyFont="1" applyFill="1" applyBorder="1" applyAlignment="1"/>
    <xf numFmtId="0" fontId="28" fillId="15" borderId="10" xfId="0" applyFont="1" applyFill="1" applyBorder="1" applyAlignment="1"/>
    <xf numFmtId="0" fontId="28" fillId="15" borderId="22" xfId="0" applyFont="1" applyFill="1" applyBorder="1" applyAlignment="1"/>
    <xf numFmtId="0" fontId="16" fillId="0" borderId="10" xfId="0" applyFont="1" applyFill="1" applyBorder="1" applyAlignment="1"/>
    <xf numFmtId="0" fontId="16" fillId="0" borderId="22" xfId="0" applyFont="1" applyFill="1" applyBorder="1" applyAlignment="1"/>
    <xf numFmtId="0" fontId="16" fillId="0" borderId="6" xfId="0" applyFont="1" applyFill="1" applyBorder="1" applyAlignment="1"/>
    <xf numFmtId="0" fontId="28" fillId="0" borderId="0" xfId="0" applyFont="1" applyFill="1" applyBorder="1" applyAlignment="1"/>
    <xf numFmtId="0" fontId="28" fillId="15" borderId="23" xfId="0" applyFont="1" applyFill="1" applyBorder="1" applyAlignment="1"/>
    <xf numFmtId="0" fontId="16" fillId="0" borderId="23" xfId="0" applyFont="1" applyFill="1" applyBorder="1" applyAlignment="1"/>
    <xf numFmtId="0" fontId="28" fillId="15" borderId="24" xfId="0" applyFont="1" applyFill="1" applyBorder="1" applyAlignment="1"/>
    <xf numFmtId="0" fontId="16" fillId="0" borderId="24" xfId="0" applyFont="1" applyFill="1" applyBorder="1" applyAlignment="1"/>
    <xf numFmtId="0" fontId="28" fillId="15" borderId="25" xfId="0" applyFont="1" applyFill="1" applyBorder="1" applyAlignment="1"/>
    <xf numFmtId="0" fontId="16" fillId="0" borderId="26" xfId="0" applyFont="1" applyFill="1" applyBorder="1" applyAlignment="1"/>
    <xf numFmtId="164" fontId="29" fillId="0" borderId="0" xfId="1" applyNumberFormat="1" applyFont="1"/>
    <xf numFmtId="164" fontId="30" fillId="2" borderId="1" xfId="1" applyNumberFormat="1" applyFont="1" applyFill="1" applyBorder="1" applyAlignment="1">
      <alignment vertical="center" wrapText="1"/>
    </xf>
    <xf numFmtId="164" fontId="29" fillId="2" borderId="1" xfId="1" applyNumberFormat="1" applyFont="1" applyFill="1" applyBorder="1"/>
    <xf numFmtId="164" fontId="29" fillId="5" borderId="1" xfId="1" applyNumberFormat="1" applyFont="1" applyFill="1" applyBorder="1"/>
    <xf numFmtId="164" fontId="30" fillId="3" borderId="1" xfId="1" applyNumberFormat="1" applyFont="1" applyFill="1" applyBorder="1"/>
    <xf numFmtId="164" fontId="29" fillId="3" borderId="1" xfId="1" applyNumberFormat="1" applyFont="1" applyFill="1" applyBorder="1"/>
    <xf numFmtId="164" fontId="30" fillId="2" borderId="1" xfId="1" applyNumberFormat="1" applyFont="1" applyFill="1" applyBorder="1"/>
    <xf numFmtId="164" fontId="30" fillId="5" borderId="1" xfId="1" applyNumberFormat="1" applyFont="1" applyFill="1" applyBorder="1"/>
    <xf numFmtId="164" fontId="9" fillId="0" borderId="0" xfId="1" applyNumberFormat="1" applyFont="1"/>
    <xf numFmtId="165" fontId="29" fillId="5" borderId="1" xfId="2" applyNumberFormat="1" applyFont="1" applyFill="1" applyBorder="1"/>
    <xf numFmtId="166" fontId="29" fillId="2" borderId="1" xfId="0" applyNumberFormat="1" applyFont="1" applyFill="1" applyBorder="1"/>
    <xf numFmtId="165" fontId="29" fillId="3" borderId="1" xfId="2" applyNumberFormat="1" applyFont="1" applyFill="1" applyBorder="1"/>
    <xf numFmtId="165" fontId="29" fillId="2" borderId="1" xfId="2" applyNumberFormat="1" applyFont="1" applyFill="1" applyBorder="1"/>
    <xf numFmtId="0" fontId="29" fillId="0" borderId="0" xfId="0" applyFont="1"/>
    <xf numFmtId="0" fontId="30" fillId="2" borderId="1" xfId="0" applyFont="1" applyFill="1" applyBorder="1" applyAlignment="1">
      <alignment vertical="center" wrapText="1"/>
    </xf>
    <xf numFmtId="3" fontId="9" fillId="0" borderId="1" xfId="1" applyNumberFormat="1" applyFont="1" applyFill="1" applyBorder="1" applyAlignment="1">
      <alignment horizontal="center"/>
    </xf>
    <xf numFmtId="172" fontId="9" fillId="0" borderId="1" xfId="2" applyNumberFormat="1" applyFont="1" applyFill="1" applyBorder="1" applyAlignment="1">
      <alignment horizontal="center"/>
    </xf>
    <xf numFmtId="0" fontId="9" fillId="0" borderId="1" xfId="1" applyNumberFormat="1" applyFont="1" applyFill="1" applyBorder="1" applyAlignment="1">
      <alignment horizontal="center"/>
    </xf>
    <xf numFmtId="173" fontId="9" fillId="0" borderId="1" xfId="2" applyNumberFormat="1" applyFont="1" applyFill="1" applyBorder="1" applyAlignment="1">
      <alignment horizontal="center"/>
    </xf>
    <xf numFmtId="37" fontId="8" fillId="7" borderId="1" xfId="0" applyNumberFormat="1" applyFont="1" applyFill="1" applyBorder="1" applyAlignment="1">
      <alignment horizontal="center"/>
    </xf>
    <xf numFmtId="164" fontId="0" fillId="0" borderId="1" xfId="0" applyNumberFormat="1" applyFont="1" applyBorder="1"/>
    <xf numFmtId="164" fontId="16" fillId="0" borderId="22" xfId="1" applyNumberFormat="1" applyFont="1" applyBorder="1"/>
    <xf numFmtId="164" fontId="16" fillId="0" borderId="21" xfId="1" applyNumberFormat="1" applyFont="1" applyBorder="1"/>
    <xf numFmtId="164" fontId="16" fillId="0" borderId="23" xfId="1" applyNumberFormat="1" applyFont="1" applyBorder="1"/>
    <xf numFmtId="0" fontId="16" fillId="0" borderId="10" xfId="0" applyFont="1" applyBorder="1"/>
    <xf numFmtId="164" fontId="16" fillId="0" borderId="6" xfId="1" applyNumberFormat="1" applyFont="1" applyBorder="1"/>
    <xf numFmtId="164" fontId="16" fillId="0" borderId="1" xfId="1" applyNumberFormat="1" applyFont="1" applyBorder="1"/>
    <xf numFmtId="44" fontId="16" fillId="0" borderId="22" xfId="2" applyFont="1" applyBorder="1"/>
    <xf numFmtId="44" fontId="0" fillId="0" borderId="1" xfId="2" applyFont="1" applyBorder="1"/>
    <xf numFmtId="9" fontId="31" fillId="2" borderId="1" xfId="0" applyNumberFormat="1" applyFont="1" applyFill="1" applyBorder="1"/>
    <xf numFmtId="164" fontId="9" fillId="0" borderId="1" xfId="1" applyNumberFormat="1" applyFont="1" applyBorder="1"/>
    <xf numFmtId="164" fontId="9" fillId="0" borderId="0" xfId="0" applyNumberFormat="1" applyFont="1"/>
    <xf numFmtId="0" fontId="2" fillId="0" borderId="0" xfId="0" applyFont="1" applyAlignment="1">
      <alignment horizontal="center"/>
    </xf>
    <xf numFmtId="0" fontId="2" fillId="2" borderId="1" xfId="0" applyFont="1" applyFill="1" applyBorder="1" applyAlignment="1">
      <alignment horizontal="center"/>
    </xf>
    <xf numFmtId="0" fontId="0" fillId="0" borderId="9" xfId="0" applyBorder="1" applyAlignment="1">
      <alignment horizontal="center"/>
    </xf>
    <xf numFmtId="0" fontId="0" fillId="0" borderId="6" xfId="0" applyBorder="1" applyAlignment="1">
      <alignment horizontal="center"/>
    </xf>
    <xf numFmtId="0" fontId="0" fillId="0" borderId="27" xfId="0" applyBorder="1" applyAlignment="1">
      <alignment horizontal="center"/>
    </xf>
    <xf numFmtId="0" fontId="0" fillId="0" borderId="26" xfId="0" applyBorder="1" applyAlignment="1">
      <alignment horizontal="center"/>
    </xf>
    <xf numFmtId="0" fontId="2" fillId="2" borderId="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9" xfId="0" applyFont="1" applyFill="1" applyBorder="1" applyAlignment="1">
      <alignment horizontal="center"/>
    </xf>
    <xf numFmtId="0" fontId="2" fillId="2" borderId="6" xfId="0" applyFont="1" applyFill="1" applyBorder="1" applyAlignment="1">
      <alignment horizontal="center"/>
    </xf>
    <xf numFmtId="0" fontId="14" fillId="10" borderId="11" xfId="0" applyFont="1" applyFill="1" applyBorder="1" applyAlignment="1">
      <alignment horizontal="center" vertical="center" wrapText="1"/>
    </xf>
    <xf numFmtId="0" fontId="14" fillId="10" borderId="12" xfId="0" applyFont="1" applyFill="1" applyBorder="1" applyAlignment="1">
      <alignment horizontal="center" vertical="center" wrapText="1"/>
    </xf>
    <xf numFmtId="0" fontId="14" fillId="10" borderId="13" xfId="0" applyFont="1" applyFill="1" applyBorder="1" applyAlignment="1">
      <alignment horizontal="center" vertical="center" wrapText="1"/>
    </xf>
    <xf numFmtId="0" fontId="14" fillId="10" borderId="14" xfId="0" applyFont="1" applyFill="1" applyBorder="1" applyAlignment="1">
      <alignment horizontal="center" vertical="center" wrapText="1"/>
    </xf>
    <xf numFmtId="0" fontId="14" fillId="10" borderId="11" xfId="0" applyFont="1" applyFill="1" applyBorder="1" applyAlignment="1">
      <alignment horizontal="center" vertical="center"/>
    </xf>
    <xf numFmtId="0" fontId="14" fillId="10" borderId="15" xfId="0" applyFont="1" applyFill="1" applyBorder="1" applyAlignment="1">
      <alignment horizontal="center" vertical="center"/>
    </xf>
    <xf numFmtId="0" fontId="14" fillId="10" borderId="12" xfId="0" applyFont="1" applyFill="1" applyBorder="1" applyAlignment="1">
      <alignment horizontal="center" vertical="center"/>
    </xf>
    <xf numFmtId="0" fontId="14" fillId="10" borderId="15" xfId="0" applyFont="1" applyFill="1" applyBorder="1" applyAlignment="1">
      <alignment horizontal="center" vertical="center" wrapText="1"/>
    </xf>
  </cellXfs>
  <cellStyles count="5">
    <cellStyle name="Comma" xfId="1" builtinId="3"/>
    <cellStyle name="Currency" xfId="2" builtinId="4"/>
    <cellStyle name="Hyperlink" xfId="4" builtinId="8"/>
    <cellStyle name="Normal" xfId="0" builtinId="0"/>
    <cellStyle name="Percent" xfId="3" builtinId="5"/>
  </cellStyles>
  <dxfs count="0"/>
  <tableStyles count="1" defaultTableStyle="TableStyleMedium2" defaultPivotStyle="PivotStyleLight16">
    <tableStyle name="Invisible" pivot="0" table="0" count="0" xr9:uid="{1FAEDFDD-50B1-4394-A1E1-8BCE99C0CF6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107866402198004E-2"/>
          <c:y val="2.8552906560708559E-2"/>
          <c:w val="0.87712696157425818"/>
          <c:h val="0.7555489796663355"/>
        </c:manualLayout>
      </c:layout>
      <c:barChart>
        <c:barDir val="col"/>
        <c:grouping val="stacked"/>
        <c:varyColors val="0"/>
        <c:ser>
          <c:idx val="0"/>
          <c:order val="0"/>
          <c:tx>
            <c:strRef>
              <c:f>'Ch. 3 Tables and Graphs'!$D$113</c:f>
              <c:strCache>
                <c:ptCount val="1"/>
                <c:pt idx="0">
                  <c:v>LTPPA RECs</c:v>
                </c:pt>
              </c:strCache>
            </c:strRef>
          </c:tx>
          <c:spPr>
            <a:solidFill>
              <a:schemeClr val="accent1"/>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Graphs'!$D$114:$D$136</c:f>
              <c:numCache>
                <c:formatCode>_(* #,##0_);_(* \(#,##0\);_(* "-"??_);_(@_)</c:formatCode>
                <c:ptCount val="23"/>
                <c:pt idx="0">
                  <c:v>1861725</c:v>
                </c:pt>
                <c:pt idx="1">
                  <c:v>1861725</c:v>
                </c:pt>
                <c:pt idx="2">
                  <c:v>1861725</c:v>
                </c:pt>
                <c:pt idx="3">
                  <c:v>1861725</c:v>
                </c:pt>
                <c:pt idx="4">
                  <c:v>1861725</c:v>
                </c:pt>
                <c:pt idx="5">
                  <c:v>1861725</c:v>
                </c:pt>
                <c:pt idx="6">
                  <c:v>1861725</c:v>
                </c:pt>
                <c:pt idx="7">
                  <c:v>1861725</c:v>
                </c:pt>
                <c:pt idx="8">
                  <c:v>1861725</c:v>
                </c:pt>
                <c:pt idx="9">
                  <c:v>1861725</c:v>
                </c:pt>
                <c:pt idx="10">
                  <c:v>1861725</c:v>
                </c:pt>
                <c:pt idx="11">
                  <c:v>1861725</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AE13-492D-AD72-5140A3FF2BF2}"/>
            </c:ext>
          </c:extLst>
        </c:ser>
        <c:ser>
          <c:idx val="2"/>
          <c:order val="1"/>
          <c:tx>
            <c:strRef>
              <c:f>'Ch. 3 Tables and Graphs'!$F$113</c:f>
              <c:strCache>
                <c:ptCount val="1"/>
                <c:pt idx="0">
                  <c:v>ABP</c:v>
                </c:pt>
              </c:strCache>
            </c:strRef>
          </c:tx>
          <c:spPr>
            <a:solidFill>
              <a:schemeClr val="accent6">
                <a:lumMod val="75000"/>
              </a:schemeClr>
            </a:solidFill>
            <a:ln>
              <a:noFill/>
            </a:ln>
            <a:effectLst/>
          </c:spPr>
          <c:invertIfNegative val="0"/>
          <c:val>
            <c:numRef>
              <c:f>'Ch. 3 Tables and Graphs'!$F$114:$F$135</c:f>
              <c:numCache>
                <c:formatCode>_(* #,##0_);_(* \(#,##0\);_(* "-"??_);_(@_)</c:formatCode>
                <c:ptCount val="22"/>
                <c:pt idx="0">
                  <c:v>661044</c:v>
                </c:pt>
                <c:pt idx="1">
                  <c:v>1044581</c:v>
                </c:pt>
                <c:pt idx="2">
                  <c:v>1243726</c:v>
                </c:pt>
                <c:pt idx="3">
                  <c:v>1863428</c:v>
                </c:pt>
                <c:pt idx="4">
                  <c:v>2556025</c:v>
                </c:pt>
                <c:pt idx="5">
                  <c:v>4202552</c:v>
                </c:pt>
                <c:pt idx="6">
                  <c:v>4181237</c:v>
                </c:pt>
                <c:pt idx="7">
                  <c:v>4160141</c:v>
                </c:pt>
                <c:pt idx="8">
                  <c:v>4139272</c:v>
                </c:pt>
                <c:pt idx="9">
                  <c:v>4118527</c:v>
                </c:pt>
                <c:pt idx="10">
                  <c:v>4097889</c:v>
                </c:pt>
                <c:pt idx="11">
                  <c:v>4077425</c:v>
                </c:pt>
                <c:pt idx="12">
                  <c:v>4056667</c:v>
                </c:pt>
                <c:pt idx="13">
                  <c:v>4036092</c:v>
                </c:pt>
                <c:pt idx="14">
                  <c:v>3472073</c:v>
                </c:pt>
                <c:pt idx="15">
                  <c:v>3382692</c:v>
                </c:pt>
                <c:pt idx="16">
                  <c:v>3007068</c:v>
                </c:pt>
                <c:pt idx="17">
                  <c:v>2802791</c:v>
                </c:pt>
                <c:pt idx="18">
                  <c:v>2406391</c:v>
                </c:pt>
                <c:pt idx="19">
                  <c:v>2079542</c:v>
                </c:pt>
                <c:pt idx="20">
                  <c:v>1839160</c:v>
                </c:pt>
                <c:pt idx="21">
                  <c:v>1829952</c:v>
                </c:pt>
              </c:numCache>
            </c:numRef>
          </c:val>
          <c:extLst>
            <c:ext xmlns:c16="http://schemas.microsoft.com/office/drawing/2014/chart" uri="{C3380CC4-5D6E-409C-BE32-E72D297353CC}">
              <c16:uniqueId val="{00000000-65DE-425A-9569-EDE95F155FD6}"/>
            </c:ext>
          </c:extLst>
        </c:ser>
        <c:ser>
          <c:idx val="1"/>
          <c:order val="2"/>
          <c:tx>
            <c:strRef>
              <c:f>'Ch. 3 Tables and Graphs'!$E$113</c:f>
              <c:strCache>
                <c:ptCount val="1"/>
                <c:pt idx="0">
                  <c:v>FEJA Wind and Solar Procurements</c:v>
                </c:pt>
              </c:strCache>
            </c:strRef>
          </c:tx>
          <c:spPr>
            <a:solidFill>
              <a:schemeClr val="accent2"/>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Graphs'!$E$114:$E$136</c:f>
              <c:numCache>
                <c:formatCode>_(* #,##0_);_(* \(#,##0\);_(* "-"??_);_(@_)</c:formatCode>
                <c:ptCount val="23"/>
                <c:pt idx="0">
                  <c:v>754313.29229999997</c:v>
                </c:pt>
                <c:pt idx="1">
                  <c:v>2992839.5745999999</c:v>
                </c:pt>
                <c:pt idx="2">
                  <c:v>4061148.5745999999</c:v>
                </c:pt>
                <c:pt idx="3">
                  <c:v>4061148.5745999999</c:v>
                </c:pt>
                <c:pt idx="4">
                  <c:v>4061148.5745999999</c:v>
                </c:pt>
                <c:pt idx="5">
                  <c:v>4061148.5745999999</c:v>
                </c:pt>
                <c:pt idx="6">
                  <c:v>4061148.5745999999</c:v>
                </c:pt>
                <c:pt idx="7">
                  <c:v>4061148.5745999999</c:v>
                </c:pt>
                <c:pt idx="8">
                  <c:v>4061148.5745999999</c:v>
                </c:pt>
                <c:pt idx="9">
                  <c:v>4061148.5745999999</c:v>
                </c:pt>
                <c:pt idx="10">
                  <c:v>4061148.5745999999</c:v>
                </c:pt>
                <c:pt idx="11">
                  <c:v>4061148.5745999999</c:v>
                </c:pt>
                <c:pt idx="12">
                  <c:v>4061148.5745999999</c:v>
                </c:pt>
                <c:pt idx="13">
                  <c:v>3631148.5745999999</c:v>
                </c:pt>
                <c:pt idx="14">
                  <c:v>3631148.5745999999</c:v>
                </c:pt>
                <c:pt idx="15">
                  <c:v>3324562.2823000001</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AE13-492D-AD72-5140A3FF2BF2}"/>
            </c:ext>
          </c:extLst>
        </c:ser>
        <c:ser>
          <c:idx val="3"/>
          <c:order val="3"/>
          <c:tx>
            <c:strRef>
              <c:f>'Ch. 3 Tables and Graphs'!$G$113</c:f>
              <c:strCache>
                <c:ptCount val="1"/>
                <c:pt idx="0">
                  <c:v>Coal to Solar</c:v>
                </c:pt>
              </c:strCache>
            </c:strRef>
          </c:tx>
          <c:spPr>
            <a:solidFill>
              <a:schemeClr val="tx2">
                <a:lumMod val="60000"/>
                <a:lumOff val="40000"/>
              </a:schemeClr>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Graphs'!$G$114:$G$136</c:f>
              <c:numCache>
                <c:formatCode>_(* #,##0_);_(* \(#,##0\);_(* "-"??_);_(@_)</c:formatCode>
                <c:ptCount val="23"/>
                <c:pt idx="0">
                  <c:v>0</c:v>
                </c:pt>
                <c:pt idx="1">
                  <c:v>0</c:v>
                </c:pt>
                <c:pt idx="2">
                  <c:v>0</c:v>
                </c:pt>
                <c:pt idx="3">
                  <c:v>0</c:v>
                </c:pt>
                <c:pt idx="4">
                  <c:v>0</c:v>
                </c:pt>
                <c:pt idx="5">
                  <c:v>379110</c:v>
                </c:pt>
                <c:pt idx="6">
                  <c:v>379110</c:v>
                </c:pt>
                <c:pt idx="7">
                  <c:v>379110</c:v>
                </c:pt>
                <c:pt idx="8">
                  <c:v>379110</c:v>
                </c:pt>
                <c:pt idx="9">
                  <c:v>379110</c:v>
                </c:pt>
                <c:pt idx="10">
                  <c:v>379110</c:v>
                </c:pt>
                <c:pt idx="11">
                  <c:v>379110</c:v>
                </c:pt>
                <c:pt idx="12">
                  <c:v>379110</c:v>
                </c:pt>
                <c:pt idx="13">
                  <c:v>379110</c:v>
                </c:pt>
                <c:pt idx="14">
                  <c:v>379110</c:v>
                </c:pt>
                <c:pt idx="15">
                  <c:v>379110</c:v>
                </c:pt>
                <c:pt idx="16">
                  <c:v>379110</c:v>
                </c:pt>
                <c:pt idx="17">
                  <c:v>379110</c:v>
                </c:pt>
                <c:pt idx="18">
                  <c:v>379110</c:v>
                </c:pt>
                <c:pt idx="19">
                  <c:v>379110</c:v>
                </c:pt>
                <c:pt idx="20">
                  <c:v>379110</c:v>
                </c:pt>
                <c:pt idx="21">
                  <c:v>379110</c:v>
                </c:pt>
                <c:pt idx="22">
                  <c:v>379110</c:v>
                </c:pt>
              </c:numCache>
            </c:numRef>
          </c:val>
          <c:extLst>
            <c:ext xmlns:c16="http://schemas.microsoft.com/office/drawing/2014/chart" uri="{C3380CC4-5D6E-409C-BE32-E72D297353CC}">
              <c16:uniqueId val="{00000003-AE13-492D-AD72-5140A3FF2BF2}"/>
            </c:ext>
          </c:extLst>
        </c:ser>
        <c:ser>
          <c:idx val="4"/>
          <c:order val="4"/>
          <c:tx>
            <c:strRef>
              <c:f>'Ch. 3 Tables and Graphs'!$H$113</c:f>
              <c:strCache>
                <c:ptCount val="1"/>
                <c:pt idx="0">
                  <c:v>CEJA Indexed REC Procurements</c:v>
                </c:pt>
              </c:strCache>
            </c:strRef>
          </c:tx>
          <c:spPr>
            <a:solidFill>
              <a:schemeClr val="accent4"/>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Graphs'!$H$114:$H$136</c:f>
              <c:numCache>
                <c:formatCode>_(* #,##0_);_(* \(#,##0\);_(* "-"??_);_(@_)</c:formatCode>
                <c:ptCount val="23"/>
                <c:pt idx="0">
                  <c:v>0</c:v>
                </c:pt>
                <c:pt idx="1">
                  <c:v>0</c:v>
                </c:pt>
                <c:pt idx="2">
                  <c:v>0</c:v>
                </c:pt>
                <c:pt idx="3">
                  <c:v>0</c:v>
                </c:pt>
                <c:pt idx="4">
                  <c:v>0</c:v>
                </c:pt>
                <c:pt idx="5">
                  <c:v>2409391</c:v>
                </c:pt>
                <c:pt idx="6">
                  <c:v>4756396.0449999999</c:v>
                </c:pt>
                <c:pt idx="7">
                  <c:v>5563377.0647750003</c:v>
                </c:pt>
                <c:pt idx="8">
                  <c:v>5542002.4944511252</c:v>
                </c:pt>
                <c:pt idx="9">
                  <c:v>5520734.7969788685</c:v>
                </c:pt>
                <c:pt idx="10">
                  <c:v>5499573.4379939744</c:v>
                </c:pt>
                <c:pt idx="11">
                  <c:v>5478517.885804004</c:v>
                </c:pt>
                <c:pt idx="12">
                  <c:v>5457567.6113749845</c:v>
                </c:pt>
                <c:pt idx="13">
                  <c:v>5436722.0883181095</c:v>
                </c:pt>
                <c:pt idx="14">
                  <c:v>5415980.7928765193</c:v>
                </c:pt>
                <c:pt idx="15">
                  <c:v>5395343.2039121371</c:v>
                </c:pt>
                <c:pt idx="16">
                  <c:v>5374808.802892576</c:v>
                </c:pt>
                <c:pt idx="17">
                  <c:v>5354377.0738781132</c:v>
                </c:pt>
                <c:pt idx="18">
                  <c:v>5334047.5035087224</c:v>
                </c:pt>
                <c:pt idx="19">
                  <c:v>5313819.5809911788</c:v>
                </c:pt>
                <c:pt idx="20">
                  <c:v>5293692.7980862232</c:v>
                </c:pt>
                <c:pt idx="21">
                  <c:v>5273666.6490957914</c:v>
                </c:pt>
                <c:pt idx="22">
                  <c:v>5253740.6308503123</c:v>
                </c:pt>
              </c:numCache>
            </c:numRef>
          </c:val>
          <c:extLst>
            <c:ext xmlns:c16="http://schemas.microsoft.com/office/drawing/2014/chart" uri="{C3380CC4-5D6E-409C-BE32-E72D297353CC}">
              <c16:uniqueId val="{00000004-AE13-492D-AD72-5140A3FF2BF2}"/>
            </c:ext>
          </c:extLst>
        </c:ser>
        <c:ser>
          <c:idx val="5"/>
          <c:order val="5"/>
          <c:tx>
            <c:strRef>
              <c:f>'Ch. 3 Tables and Graphs'!$J$113</c:f>
              <c:strCache>
                <c:ptCount val="1"/>
                <c:pt idx="0">
                  <c:v>REC Shortfall</c:v>
                </c:pt>
              </c:strCache>
            </c:strRef>
          </c:tx>
          <c:spPr>
            <a:solidFill>
              <a:schemeClr val="bg2">
                <a:lumMod val="75000"/>
              </a:schemeClr>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Graphs'!$J$114:$J$136</c:f>
              <c:numCache>
                <c:formatCode>_(* #,##0_);_(* \(#,##0\);_(* "-"??_);_(@_)</c:formatCode>
                <c:ptCount val="23"/>
                <c:pt idx="0">
                  <c:v>17872099.866490033</c:v>
                </c:pt>
                <c:pt idx="1">
                  <c:v>16886307.110223208</c:v>
                </c:pt>
                <c:pt idx="2">
                  <c:v>17495377.567767411</c:v>
                </c:pt>
                <c:pt idx="3">
                  <c:v>18236303.813541267</c:v>
                </c:pt>
                <c:pt idx="4">
                  <c:v>19121507.013787385</c:v>
                </c:pt>
                <c:pt idx="5">
                  <c:v>16088363.460256889</c:v>
                </c:pt>
                <c:pt idx="6">
                  <c:v>17031750.017928444</c:v>
                </c:pt>
                <c:pt idx="7">
                  <c:v>19642964.462862097</c:v>
                </c:pt>
                <c:pt idx="8">
                  <c:v>23236438.510537945</c:v>
                </c:pt>
                <c:pt idx="9">
                  <c:v>26773331.134977702</c:v>
                </c:pt>
                <c:pt idx="10">
                  <c:v>30551929.946306866</c:v>
                </c:pt>
                <c:pt idx="11">
                  <c:v>31905119.908597518</c:v>
                </c:pt>
                <c:pt idx="12">
                  <c:v>35202656.149648793</c:v>
                </c:pt>
                <c:pt idx="13">
                  <c:v>36939381.390489146</c:v>
                </c:pt>
                <c:pt idx="14">
                  <c:v>38921086.625323713</c:v>
                </c:pt>
                <c:pt idx="15">
                  <c:v>40701450.348272488</c:v>
                </c:pt>
                <c:pt idx="16">
                  <c:v>45858829.372126058</c:v>
                </c:pt>
                <c:pt idx="17">
                  <c:v>47432530.266086623</c:v>
                </c:pt>
                <c:pt idx="18">
                  <c:v>49375721.447867408</c:v>
                </c:pt>
                <c:pt idx="19">
                  <c:v>51239155.686384127</c:v>
                </c:pt>
                <c:pt idx="20">
                  <c:v>53098628.368778117</c:v>
                </c:pt>
                <c:pt idx="21">
                  <c:v>53311879.698425733</c:v>
                </c:pt>
                <c:pt idx="22">
                  <c:v>55349200.148896612</c:v>
                </c:pt>
              </c:numCache>
            </c:numRef>
          </c:val>
          <c:extLst>
            <c:ext xmlns:c16="http://schemas.microsoft.com/office/drawing/2014/chart" uri="{C3380CC4-5D6E-409C-BE32-E72D297353CC}">
              <c16:uniqueId val="{00000005-AE13-492D-AD72-5140A3FF2BF2}"/>
            </c:ext>
          </c:extLst>
        </c:ser>
        <c:dLbls>
          <c:showLegendKey val="0"/>
          <c:showVal val="0"/>
          <c:showCatName val="0"/>
          <c:showSerName val="0"/>
          <c:showPercent val="0"/>
          <c:showBubbleSize val="0"/>
        </c:dLbls>
        <c:gapWidth val="150"/>
        <c:overlap val="100"/>
        <c:axId val="764494072"/>
        <c:axId val="764491120"/>
      </c:barChart>
      <c:lineChart>
        <c:grouping val="standard"/>
        <c:varyColors val="0"/>
        <c:ser>
          <c:idx val="6"/>
          <c:order val="6"/>
          <c:tx>
            <c:strRef>
              <c:f>'Ch. 3 Tables and Graphs'!$K$113</c:f>
              <c:strCache>
                <c:ptCount val="1"/>
                <c:pt idx="0">
                  <c:v>RPS REC Goal %</c:v>
                </c:pt>
              </c:strCache>
            </c:strRef>
          </c:tx>
          <c:spPr>
            <a:ln w="28575" cap="rnd">
              <a:solidFill>
                <a:schemeClr val="accent6"/>
              </a:solidFill>
              <a:round/>
            </a:ln>
            <a:effectLst/>
          </c:spPr>
          <c:marker>
            <c:symbol val="none"/>
          </c:marker>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Graphs'!$K$114:$K$136</c:f>
              <c:numCache>
                <c:formatCode>0.0%</c:formatCode>
                <c:ptCount val="23"/>
                <c:pt idx="0">
                  <c:v>0.17500000000000004</c:v>
                </c:pt>
                <c:pt idx="1">
                  <c:v>0.19000000000000006</c:v>
                </c:pt>
                <c:pt idx="2">
                  <c:v>0.20500000000000007</c:v>
                </c:pt>
                <c:pt idx="3">
                  <c:v>0.22000000000000008</c:v>
                </c:pt>
                <c:pt idx="4">
                  <c:v>0.2350000000000001</c:v>
                </c:pt>
                <c:pt idx="5">
                  <c:v>0.25000000000000011</c:v>
                </c:pt>
                <c:pt idx="6">
                  <c:v>0.28000000000000003</c:v>
                </c:pt>
                <c:pt idx="7">
                  <c:v>0.31</c:v>
                </c:pt>
                <c:pt idx="8">
                  <c:v>0.34</c:v>
                </c:pt>
                <c:pt idx="9">
                  <c:v>0.37</c:v>
                </c:pt>
                <c:pt idx="10">
                  <c:v>0.4</c:v>
                </c:pt>
                <c:pt idx="11">
                  <c:v>0.40902608000000001</c:v>
                </c:pt>
                <c:pt idx="12">
                  <c:v>0.41825583530041599</c:v>
                </c:pt>
                <c:pt idx="13">
                  <c:v>0.42769386187513697</c:v>
                </c:pt>
                <c:pt idx="14">
                  <c:v>0.43734485940712181</c:v>
                </c:pt>
                <c:pt idx="15">
                  <c:v>0.44721363362861538</c:v>
                </c:pt>
                <c:pt idx="16">
                  <c:v>0.45730509871417185</c:v>
                </c:pt>
                <c:pt idx="17">
                  <c:v>0.46762427972767689</c:v>
                </c:pt>
                <c:pt idx="18">
                  <c:v>0.47817631512458791</c:v>
                </c:pt>
                <c:pt idx="19">
                  <c:v>0.48896645931063754</c:v>
                </c:pt>
                <c:pt idx="20">
                  <c:v>0.50000008525827411</c:v>
                </c:pt>
                <c:pt idx="21">
                  <c:v>0.5</c:v>
                </c:pt>
                <c:pt idx="22">
                  <c:v>0.5</c:v>
                </c:pt>
              </c:numCache>
            </c:numRef>
          </c:val>
          <c:smooth val="0"/>
          <c:extLst>
            <c:ext xmlns:c16="http://schemas.microsoft.com/office/drawing/2014/chart" uri="{C3380CC4-5D6E-409C-BE32-E72D297353CC}">
              <c16:uniqueId val="{00000006-AE13-492D-AD72-5140A3FF2BF2}"/>
            </c:ext>
          </c:extLst>
        </c:ser>
        <c:dLbls>
          <c:showLegendKey val="0"/>
          <c:showVal val="0"/>
          <c:showCatName val="0"/>
          <c:showSerName val="0"/>
          <c:showPercent val="0"/>
          <c:showBubbleSize val="0"/>
        </c:dLbls>
        <c:marker val="1"/>
        <c:smooth val="0"/>
        <c:axId val="757906784"/>
        <c:axId val="757910392"/>
      </c:lineChart>
      <c:catAx>
        <c:axId val="76449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491120"/>
        <c:crosses val="autoZero"/>
        <c:auto val="1"/>
        <c:lblAlgn val="ctr"/>
        <c:lblOffset val="100"/>
        <c:noMultiLvlLbl val="0"/>
      </c:catAx>
      <c:valAx>
        <c:axId val="764491120"/>
        <c:scaling>
          <c:orientation val="minMax"/>
          <c:max val="65000000"/>
          <c:min val="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494072"/>
        <c:crosses val="autoZero"/>
        <c:crossBetween val="between"/>
      </c:valAx>
      <c:valAx>
        <c:axId val="757910392"/>
        <c:scaling>
          <c:orientation val="minMax"/>
          <c:max val="0.53"/>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7906784"/>
        <c:crosses val="max"/>
        <c:crossBetween val="between"/>
        <c:majorUnit val="0.1"/>
      </c:valAx>
      <c:catAx>
        <c:axId val="757906784"/>
        <c:scaling>
          <c:orientation val="minMax"/>
        </c:scaling>
        <c:delete val="1"/>
        <c:axPos val="b"/>
        <c:numFmt formatCode="General" sourceLinked="1"/>
        <c:majorTickMark val="out"/>
        <c:minorTickMark val="none"/>
        <c:tickLblPos val="nextTo"/>
        <c:crossAx val="757910392"/>
        <c:crosses val="autoZero"/>
        <c:auto val="1"/>
        <c:lblAlgn val="ctr"/>
        <c:lblOffset val="100"/>
        <c:noMultiLvlLbl val="0"/>
      </c:catAx>
      <c:spPr>
        <a:noFill/>
        <a:ln cmpd="sng">
          <a:noFill/>
        </a:ln>
        <a:effectLst/>
      </c:spPr>
    </c:plotArea>
    <c:legend>
      <c:legendPos val="b"/>
      <c:layout>
        <c:manualLayout>
          <c:xMode val="edge"/>
          <c:yMode val="edge"/>
          <c:x val="7.7639847963933556E-2"/>
          <c:y val="0.85265601234883748"/>
          <c:w val="0.8999999701152267"/>
          <c:h val="3.779423748714189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800" b="0" i="0" baseline="0">
                <a:effectLst/>
              </a:rPr>
              <a:t>Renewable Energy Credits (RECs)</a:t>
            </a:r>
            <a:endParaRPr lang="en-US">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'Ch. 3 Tables and Graphs'!$H$30</c:f>
              <c:strCache>
                <c:ptCount val="1"/>
                <c:pt idx="0">
                  <c:v>Total Wind</c:v>
                </c:pt>
              </c:strCache>
            </c:strRef>
          </c:tx>
          <c:spPr>
            <a:solidFill>
              <a:schemeClr val="accent1"/>
            </a:solidFill>
            <a:ln>
              <a:noFill/>
            </a:ln>
            <a:effectLst/>
          </c:spPr>
          <c:invertIfNegative val="0"/>
          <c:cat>
            <c:strRef>
              <c:f>'Ch. 3 Tables and Graphs'!$C$31:$C$53</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Graphs'!$H$31:$H$53</c:f>
              <c:numCache>
                <c:formatCode>_(* #,##0_);_(* \(#,##0\);_(* "-"??_);_(@_)</c:formatCode>
                <c:ptCount val="23"/>
                <c:pt idx="0">
                  <c:v>2560409</c:v>
                </c:pt>
                <c:pt idx="1">
                  <c:v>3895928</c:v>
                </c:pt>
                <c:pt idx="2">
                  <c:v>3895928</c:v>
                </c:pt>
                <c:pt idx="3">
                  <c:v>3895928</c:v>
                </c:pt>
                <c:pt idx="4">
                  <c:v>3895928</c:v>
                </c:pt>
                <c:pt idx="5">
                  <c:v>4355928</c:v>
                </c:pt>
                <c:pt idx="6">
                  <c:v>4355928</c:v>
                </c:pt>
                <c:pt idx="7">
                  <c:v>5184391</c:v>
                </c:pt>
                <c:pt idx="8">
                  <c:v>11417723</c:v>
                </c:pt>
                <c:pt idx="9">
                  <c:v>13917723</c:v>
                </c:pt>
                <c:pt idx="10">
                  <c:v>16417723</c:v>
                </c:pt>
                <c:pt idx="11">
                  <c:v>18917723</c:v>
                </c:pt>
                <c:pt idx="12">
                  <c:v>19587314</c:v>
                </c:pt>
                <c:pt idx="13">
                  <c:v>21657314</c:v>
                </c:pt>
                <c:pt idx="14">
                  <c:v>21157314</c:v>
                </c:pt>
                <c:pt idx="15">
                  <c:v>21857314</c:v>
                </c:pt>
                <c:pt idx="16">
                  <c:v>23021795</c:v>
                </c:pt>
                <c:pt idx="17">
                  <c:v>22521795</c:v>
                </c:pt>
                <c:pt idx="18">
                  <c:v>23521795</c:v>
                </c:pt>
                <c:pt idx="19">
                  <c:v>24521795</c:v>
                </c:pt>
                <c:pt idx="20">
                  <c:v>25521795</c:v>
                </c:pt>
                <c:pt idx="21">
                  <c:v>26521795</c:v>
                </c:pt>
                <c:pt idx="22">
                  <c:v>29021795</c:v>
                </c:pt>
              </c:numCache>
            </c:numRef>
          </c:val>
          <c:extLst>
            <c:ext xmlns:c16="http://schemas.microsoft.com/office/drawing/2014/chart" uri="{C3380CC4-5D6E-409C-BE32-E72D297353CC}">
              <c16:uniqueId val="{00000000-BA67-4007-8487-41077543906E}"/>
            </c:ext>
          </c:extLst>
        </c:ser>
        <c:ser>
          <c:idx val="1"/>
          <c:order val="1"/>
          <c:tx>
            <c:strRef>
              <c:f>'Ch. 3 Tables and Graphs'!$I$30</c:f>
              <c:strCache>
                <c:ptCount val="1"/>
                <c:pt idx="0">
                  <c:v>Total Solar</c:v>
                </c:pt>
              </c:strCache>
            </c:strRef>
          </c:tx>
          <c:spPr>
            <a:solidFill>
              <a:srgbClr val="FFFF00"/>
            </a:solidFill>
            <a:ln>
              <a:noFill/>
            </a:ln>
            <a:effectLst/>
          </c:spPr>
          <c:invertIfNegative val="0"/>
          <c:cat>
            <c:strRef>
              <c:f>'Ch. 3 Tables and Graphs'!$C$31:$C$53</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Graphs'!$I$31:$I$53</c:f>
              <c:numCache>
                <c:formatCode>_(* #,##0_);_(* \(#,##0\);_(* "-"??_);_(@_)</c:formatCode>
                <c:ptCount val="23"/>
                <c:pt idx="0">
                  <c:v>778217.89229999995</c:v>
                </c:pt>
                <c:pt idx="1">
                  <c:v>2090131.1079333334</c:v>
                </c:pt>
                <c:pt idx="2">
                  <c:v>3341140.2002666667</c:v>
                </c:pt>
                <c:pt idx="3">
                  <c:v>3954904.9221383333</c:v>
                </c:pt>
                <c:pt idx="4">
                  <c:v>4694179.2654006416</c:v>
                </c:pt>
                <c:pt idx="5">
                  <c:v>9174464.3610839155</c:v>
                </c:pt>
                <c:pt idx="6">
                  <c:v>12146578.64963161</c:v>
                </c:pt>
                <c:pt idx="7">
                  <c:v>13053663.986900562</c:v>
                </c:pt>
                <c:pt idx="8">
                  <c:v>15376567.242483173</c:v>
                </c:pt>
                <c:pt idx="9">
                  <c:v>17853111.461787872</c:v>
                </c:pt>
                <c:pt idx="10">
                  <c:v>20305906.714131385</c:v>
                </c:pt>
                <c:pt idx="11">
                  <c:v>22746684.608483855</c:v>
                </c:pt>
                <c:pt idx="12">
                  <c:v>24610650.184784431</c:v>
                </c:pt>
                <c:pt idx="13">
                  <c:v>26536224.870850176</c:v>
                </c:pt>
                <c:pt idx="14">
                  <c:v>27623800.616756275</c:v>
                </c:pt>
                <c:pt idx="15">
                  <c:v>28886744.902088866</c:v>
                </c:pt>
                <c:pt idx="16">
                  <c:v>27701494.513033975</c:v>
                </c:pt>
                <c:pt idx="17">
                  <c:v>28670913.130083531</c:v>
                </c:pt>
                <c:pt idx="18">
                  <c:v>29442516.077318512</c:v>
                </c:pt>
                <c:pt idx="19">
                  <c:v>30278005.818088003</c:v>
                </c:pt>
                <c:pt idx="20">
                  <c:v>30768527.864366781</c:v>
                </c:pt>
                <c:pt idx="21">
                  <c:v>31473013.782699928</c:v>
                </c:pt>
                <c:pt idx="22">
                  <c:v>32137454.616272524</c:v>
                </c:pt>
              </c:numCache>
            </c:numRef>
          </c:val>
          <c:extLst>
            <c:ext xmlns:c16="http://schemas.microsoft.com/office/drawing/2014/chart" uri="{C3380CC4-5D6E-409C-BE32-E72D297353CC}">
              <c16:uniqueId val="{00000001-BA67-4007-8487-41077543906E}"/>
            </c:ext>
          </c:extLst>
        </c:ser>
        <c:ser>
          <c:idx val="2"/>
          <c:order val="2"/>
          <c:tx>
            <c:strRef>
              <c:f>'Ch. 3 Tables and Graphs'!$J$30</c:f>
              <c:strCache>
                <c:ptCount val="1"/>
                <c:pt idx="0">
                  <c:v>Total All RECs</c:v>
                </c:pt>
              </c:strCache>
            </c:strRef>
          </c:tx>
          <c:spPr>
            <a:solidFill>
              <a:schemeClr val="accent6">
                <a:lumMod val="75000"/>
              </a:schemeClr>
            </a:solidFill>
            <a:ln>
              <a:noFill/>
            </a:ln>
            <a:effectLst/>
          </c:spPr>
          <c:invertIfNegative val="0"/>
          <c:cat>
            <c:strRef>
              <c:f>'Ch. 3 Tables and Graphs'!$C$31:$C$53</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Graphs'!$J$31:$J$53</c:f>
              <c:numCache>
                <c:formatCode>_(* #,##0_);_(* \(#,##0\);_(* "-"??_);_(@_)</c:formatCode>
                <c:ptCount val="23"/>
                <c:pt idx="0">
                  <c:v>3338626.8922999999</c:v>
                </c:pt>
                <c:pt idx="1">
                  <c:v>5986059.1079333331</c:v>
                </c:pt>
                <c:pt idx="2">
                  <c:v>7237068.2002666667</c:v>
                </c:pt>
                <c:pt idx="3">
                  <c:v>7850832.9221383333</c:v>
                </c:pt>
                <c:pt idx="4">
                  <c:v>8590107.2654006407</c:v>
                </c:pt>
                <c:pt idx="5">
                  <c:v>13530392.361083915</c:v>
                </c:pt>
                <c:pt idx="6">
                  <c:v>16502506.64963161</c:v>
                </c:pt>
                <c:pt idx="7">
                  <c:v>18238054.986900561</c:v>
                </c:pt>
                <c:pt idx="8">
                  <c:v>26794290.242483173</c:v>
                </c:pt>
                <c:pt idx="9">
                  <c:v>31770834.461787872</c:v>
                </c:pt>
                <c:pt idx="10">
                  <c:v>36723629.714131385</c:v>
                </c:pt>
                <c:pt idx="11">
                  <c:v>41664407.608483851</c:v>
                </c:pt>
                <c:pt idx="12">
                  <c:v>44197964.184784427</c:v>
                </c:pt>
                <c:pt idx="13">
                  <c:v>48193538.870850176</c:v>
                </c:pt>
                <c:pt idx="14">
                  <c:v>48781114.616756275</c:v>
                </c:pt>
                <c:pt idx="15">
                  <c:v>50744058.902088866</c:v>
                </c:pt>
                <c:pt idx="16">
                  <c:v>50723289.513033971</c:v>
                </c:pt>
                <c:pt idx="17">
                  <c:v>51192708.130083531</c:v>
                </c:pt>
                <c:pt idx="18">
                  <c:v>52964311.077318512</c:v>
                </c:pt>
                <c:pt idx="19">
                  <c:v>54799800.818088003</c:v>
                </c:pt>
                <c:pt idx="20">
                  <c:v>56290322.864366785</c:v>
                </c:pt>
                <c:pt idx="21">
                  <c:v>57994808.782699928</c:v>
                </c:pt>
                <c:pt idx="22">
                  <c:v>61159249.616272524</c:v>
                </c:pt>
              </c:numCache>
            </c:numRef>
          </c:val>
          <c:extLst>
            <c:ext xmlns:c16="http://schemas.microsoft.com/office/drawing/2014/chart" uri="{C3380CC4-5D6E-409C-BE32-E72D297353CC}">
              <c16:uniqueId val="{00000002-BA67-4007-8487-41077543906E}"/>
            </c:ext>
          </c:extLst>
        </c:ser>
        <c:dLbls>
          <c:showLegendKey val="0"/>
          <c:showVal val="0"/>
          <c:showCatName val="0"/>
          <c:showSerName val="0"/>
          <c:showPercent val="0"/>
          <c:showBubbleSize val="0"/>
        </c:dLbls>
        <c:gapWidth val="219"/>
        <c:overlap val="-27"/>
        <c:axId val="742201680"/>
        <c:axId val="742200040"/>
      </c:barChart>
      <c:catAx>
        <c:axId val="742201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2200040"/>
        <c:crosses val="autoZero"/>
        <c:auto val="1"/>
        <c:lblAlgn val="ctr"/>
        <c:lblOffset val="100"/>
        <c:noMultiLvlLbl val="0"/>
      </c:catAx>
      <c:valAx>
        <c:axId val="742200040"/>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22016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'Ch. 3 Tables and Graphs'!$D$4</c:f>
              <c:strCache>
                <c:ptCount val="1"/>
                <c:pt idx="0">
                  <c:v>Total Wind</c:v>
                </c:pt>
              </c:strCache>
            </c:strRef>
          </c:tx>
          <c:spPr>
            <a:solidFill>
              <a:schemeClr val="accent1"/>
            </a:solidFill>
            <a:ln>
              <a:noFill/>
            </a:ln>
            <a:effectLst/>
          </c:spPr>
          <c:invertIfNegative val="0"/>
          <c:cat>
            <c:strRef>
              <c:f>'Ch. 3 Tables and Graphs'!$C$5:$C$27</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Graphs'!$D$5:$D$27</c:f>
              <c:numCache>
                <c:formatCode>_(* #,##0_);_(* \(#,##0\);_(* "-"??_);_(@_)</c:formatCode>
                <c:ptCount val="23"/>
                <c:pt idx="0">
                  <c:v>2560409</c:v>
                </c:pt>
                <c:pt idx="1">
                  <c:v>3895928</c:v>
                </c:pt>
                <c:pt idx="2">
                  <c:v>3895928</c:v>
                </c:pt>
                <c:pt idx="3">
                  <c:v>3895928</c:v>
                </c:pt>
                <c:pt idx="4">
                  <c:v>3895928</c:v>
                </c:pt>
                <c:pt idx="5">
                  <c:v>4355928</c:v>
                </c:pt>
                <c:pt idx="6">
                  <c:v>4355928</c:v>
                </c:pt>
                <c:pt idx="7">
                  <c:v>5184391</c:v>
                </c:pt>
                <c:pt idx="8">
                  <c:v>5184391</c:v>
                </c:pt>
                <c:pt idx="9">
                  <c:v>5184391</c:v>
                </c:pt>
                <c:pt idx="10">
                  <c:v>5184391</c:v>
                </c:pt>
                <c:pt idx="11">
                  <c:v>5184391</c:v>
                </c:pt>
                <c:pt idx="12">
                  <c:v>3353982</c:v>
                </c:pt>
                <c:pt idx="13">
                  <c:v>2923982</c:v>
                </c:pt>
                <c:pt idx="14">
                  <c:v>2923982</c:v>
                </c:pt>
                <c:pt idx="15">
                  <c:v>2623982</c:v>
                </c:pt>
                <c:pt idx="16">
                  <c:v>1288463</c:v>
                </c:pt>
                <c:pt idx="17">
                  <c:v>1288463</c:v>
                </c:pt>
                <c:pt idx="18">
                  <c:v>1288463</c:v>
                </c:pt>
                <c:pt idx="19">
                  <c:v>1288463</c:v>
                </c:pt>
                <c:pt idx="20">
                  <c:v>1288463</c:v>
                </c:pt>
                <c:pt idx="21">
                  <c:v>1288463</c:v>
                </c:pt>
                <c:pt idx="22">
                  <c:v>1288463</c:v>
                </c:pt>
              </c:numCache>
            </c:numRef>
          </c:val>
          <c:extLst>
            <c:ext xmlns:c16="http://schemas.microsoft.com/office/drawing/2014/chart" uri="{C3380CC4-5D6E-409C-BE32-E72D297353CC}">
              <c16:uniqueId val="{00000000-734F-440C-9C11-E60A65DA2FCA}"/>
            </c:ext>
          </c:extLst>
        </c:ser>
        <c:ser>
          <c:idx val="1"/>
          <c:order val="1"/>
          <c:tx>
            <c:strRef>
              <c:f>'Ch. 3 Tables and Graphs'!$E$4</c:f>
              <c:strCache>
                <c:ptCount val="1"/>
                <c:pt idx="0">
                  <c:v>Total Solar</c:v>
                </c:pt>
              </c:strCache>
            </c:strRef>
          </c:tx>
          <c:spPr>
            <a:solidFill>
              <a:srgbClr val="FFFF00"/>
            </a:solidFill>
            <a:ln>
              <a:noFill/>
            </a:ln>
            <a:effectLst/>
          </c:spPr>
          <c:invertIfNegative val="0"/>
          <c:cat>
            <c:strRef>
              <c:f>'Ch. 3 Tables and Graphs'!$C$5:$C$27</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Graphs'!$E$5:$E$27</c:f>
              <c:numCache>
                <c:formatCode>_(* #,##0_);_(* \(#,##0\);_(* "-"??_);_(@_)</c:formatCode>
                <c:ptCount val="23"/>
                <c:pt idx="0">
                  <c:v>778217.89229999995</c:v>
                </c:pt>
                <c:pt idx="1">
                  <c:v>2090131.1079333334</c:v>
                </c:pt>
                <c:pt idx="2">
                  <c:v>3341140.2002666667</c:v>
                </c:pt>
                <c:pt idx="3">
                  <c:v>3954904.9221383333</c:v>
                </c:pt>
                <c:pt idx="4">
                  <c:v>4647179.2654006416</c:v>
                </c:pt>
                <c:pt idx="5">
                  <c:v>8242776.2219466381</c:v>
                </c:pt>
                <c:pt idx="6">
                  <c:v>10568146.828709906</c:v>
                </c:pt>
                <c:pt idx="7">
                  <c:v>10525251.007439354</c:v>
                </c:pt>
                <c:pt idx="8">
                  <c:v>10482691.185275158</c:v>
                </c:pt>
                <c:pt idx="9">
                  <c:v>10440363.817221783</c:v>
                </c:pt>
                <c:pt idx="10">
                  <c:v>10398251.361008674</c:v>
                </c:pt>
                <c:pt idx="11">
                  <c:v>10356420.27707663</c:v>
                </c:pt>
                <c:pt idx="12">
                  <c:v>10283086.028564248</c:v>
                </c:pt>
                <c:pt idx="13">
                  <c:v>10241357.081294425</c:v>
                </c:pt>
                <c:pt idx="14">
                  <c:v>9656289.9037609547</c:v>
                </c:pt>
                <c:pt idx="15">
                  <c:v>9539379.6748151481</c:v>
                </c:pt>
                <c:pt idx="16">
                  <c:v>7153874.1705525732</c:v>
                </c:pt>
                <c:pt idx="17">
                  <c:v>6928863.1396998111</c:v>
                </c:pt>
                <c:pt idx="18">
                  <c:v>6511832.7790013114</c:v>
                </c:pt>
                <c:pt idx="19">
                  <c:v>6164456.5701063052</c:v>
                </c:pt>
                <c:pt idx="20">
                  <c:v>5903649.9972557733</c:v>
                </c:pt>
                <c:pt idx="21">
                  <c:v>5874119.5472694943</c:v>
                </c:pt>
                <c:pt idx="22">
                  <c:v>5844690.7095331466</c:v>
                </c:pt>
              </c:numCache>
            </c:numRef>
          </c:val>
          <c:extLst>
            <c:ext xmlns:c16="http://schemas.microsoft.com/office/drawing/2014/chart" uri="{C3380CC4-5D6E-409C-BE32-E72D297353CC}">
              <c16:uniqueId val="{00000001-734F-440C-9C11-E60A65DA2FCA}"/>
            </c:ext>
          </c:extLst>
        </c:ser>
        <c:dLbls>
          <c:showLegendKey val="0"/>
          <c:showVal val="0"/>
          <c:showCatName val="0"/>
          <c:showSerName val="0"/>
          <c:showPercent val="0"/>
          <c:showBubbleSize val="0"/>
        </c:dLbls>
        <c:gapWidth val="219"/>
        <c:overlap val="100"/>
        <c:axId val="755775744"/>
        <c:axId val="660243024"/>
      </c:barChart>
      <c:catAx>
        <c:axId val="755775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0243024"/>
        <c:crosses val="autoZero"/>
        <c:auto val="1"/>
        <c:lblAlgn val="ctr"/>
        <c:lblOffset val="100"/>
        <c:noMultiLvlLbl val="0"/>
      </c:catAx>
      <c:valAx>
        <c:axId val="66024302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775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'Ch. 3 Tables and Graphs'!$J$141</c:f>
              <c:strCache>
                <c:ptCount val="1"/>
                <c:pt idx="0">
                  <c:v>Under Contract</c:v>
                </c:pt>
              </c:strCache>
            </c:strRef>
          </c:tx>
          <c:spPr>
            <a:solidFill>
              <a:schemeClr val="accent1"/>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Graphs'!$K$141:$AA$141</c:f>
              <c:numCache>
                <c:formatCode>_(* #,##0_);_(* \(#,##0\);_(* "-"??_);_(@_)</c:formatCode>
                <c:ptCount val="17"/>
                <c:pt idx="0">
                  <c:v>3277082.2922999999</c:v>
                </c:pt>
                <c:pt idx="1">
                  <c:v>5899145.5745999999</c:v>
                </c:pt>
                <c:pt idx="2">
                  <c:v>7166599.5745999999</c:v>
                </c:pt>
                <c:pt idx="3">
                  <c:v>7786301.5745999999</c:v>
                </c:pt>
                <c:pt idx="4">
                  <c:v>8478898.5745999999</c:v>
                </c:pt>
                <c:pt idx="5">
                  <c:v>12913926.5746</c:v>
                </c:pt>
                <c:pt idx="6">
                  <c:v>15239616.6196</c:v>
                </c:pt>
                <c:pt idx="7">
                  <c:v>16025501.639375001</c:v>
                </c:pt>
                <c:pt idx="8">
                  <c:v>15983258.069051124</c:v>
                </c:pt>
                <c:pt idx="9">
                  <c:v>15941245.371578868</c:v>
                </c:pt>
                <c:pt idx="10">
                  <c:v>15899446.012593973</c:v>
                </c:pt>
                <c:pt idx="11">
                  <c:v>15857926.460404005</c:v>
                </c:pt>
                <c:pt idx="12">
                  <c:v>13954493.185974985</c:v>
                </c:pt>
                <c:pt idx="13">
                  <c:v>13483072.662918109</c:v>
                </c:pt>
                <c:pt idx="14">
                  <c:v>12898312.367476519</c:v>
                </c:pt>
                <c:pt idx="15">
                  <c:v>12481707.486212138</c:v>
                </c:pt>
                <c:pt idx="16">
                  <c:v>8760986.8028925769</c:v>
                </c:pt>
              </c:numCache>
            </c:numRef>
          </c:val>
          <c:extLst>
            <c:ext xmlns:c16="http://schemas.microsoft.com/office/drawing/2014/chart" uri="{C3380CC4-5D6E-409C-BE32-E72D297353CC}">
              <c16:uniqueId val="{00000000-851D-437E-A8B7-0B0934B4AFD0}"/>
            </c:ext>
          </c:extLst>
        </c:ser>
        <c:ser>
          <c:idx val="1"/>
          <c:order val="1"/>
          <c:tx>
            <c:strRef>
              <c:f>'Ch. 3 Tables and Graphs'!$J$142</c:f>
              <c:strCache>
                <c:ptCount val="1"/>
                <c:pt idx="0">
                  <c:v>23 TBD</c:v>
                </c:pt>
              </c:strCache>
            </c:strRef>
          </c:tx>
          <c:spPr>
            <a:solidFill>
              <a:schemeClr val="accent2"/>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Graphs'!$K$142:$AA$142</c:f>
              <c:numCache>
                <c:formatCode>_(* #,##0_);_(* \(#,##0\);_(* "-"??_);_(@_)</c:formatCode>
                <c:ptCount val="17"/>
                <c:pt idx="1">
                  <c:v>459048.1391372768</c:v>
                </c:pt>
                <c:pt idx="2">
                  <c:v>456752.89844159037</c:v>
                </c:pt>
                <c:pt idx="3">
                  <c:v>2811221.1339493822</c:v>
                </c:pt>
                <c:pt idx="4">
                  <c:v>3625628.0282796351</c:v>
                </c:pt>
                <c:pt idx="5">
                  <c:v>3611642.2031382374</c:v>
                </c:pt>
                <c:pt idx="6">
                  <c:v>3597726.3071225462</c:v>
                </c:pt>
                <c:pt idx="7">
                  <c:v>3583879.9905869337</c:v>
                </c:pt>
                <c:pt idx="8">
                  <c:v>3570102.9056339986</c:v>
                </c:pt>
                <c:pt idx="9">
                  <c:v>3556394.7061058288</c:v>
                </c:pt>
                <c:pt idx="10">
                  <c:v>3542755.0475752992</c:v>
                </c:pt>
                <c:pt idx="11">
                  <c:v>3529183.5873374222</c:v>
                </c:pt>
                <c:pt idx="12">
                  <c:v>3515679.9844007352</c:v>
                </c:pt>
                <c:pt idx="13">
                  <c:v>3502243.8994787317</c:v>
                </c:pt>
                <c:pt idx="14">
                  <c:v>3488874.9949813383</c:v>
                </c:pt>
                <c:pt idx="15">
                  <c:v>3475572.9350064318</c:v>
                </c:pt>
                <c:pt idx="16">
                  <c:v>3036538.5762738632</c:v>
                </c:pt>
              </c:numCache>
            </c:numRef>
          </c:val>
          <c:extLst>
            <c:ext xmlns:c16="http://schemas.microsoft.com/office/drawing/2014/chart" uri="{C3380CC4-5D6E-409C-BE32-E72D297353CC}">
              <c16:uniqueId val="{00000001-851D-437E-A8B7-0B0934B4AFD0}"/>
            </c:ext>
          </c:extLst>
        </c:ser>
        <c:ser>
          <c:idx val="2"/>
          <c:order val="2"/>
          <c:tx>
            <c:strRef>
              <c:f>'Ch. 3 Tables and Graphs'!$J$143</c:f>
              <c:strCache>
                <c:ptCount val="1"/>
                <c:pt idx="0">
                  <c:v>24-25 Plan</c:v>
                </c:pt>
              </c:strCache>
            </c:strRef>
          </c:tx>
          <c:spPr>
            <a:solidFill>
              <a:schemeClr val="accent3"/>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Graphs'!$L$143:$AB$143</c:f>
              <c:numCache>
                <c:formatCode>_(* #,##0_);_(* \(#,##0\);_(* "-"??_);_(@_)</c:formatCode>
                <c:ptCount val="17"/>
                <c:pt idx="0">
                  <c:v>602273.92248011334</c:v>
                </c:pt>
                <c:pt idx="1">
                  <c:v>1507773.8455118262</c:v>
                </c:pt>
                <c:pt idx="2">
                  <c:v>1806472.3464482669</c:v>
                </c:pt>
                <c:pt idx="3">
                  <c:v>9450769.9847160261</c:v>
                </c:pt>
                <c:pt idx="4">
                  <c:v>13519682.794792445</c:v>
                </c:pt>
                <c:pt idx="5">
                  <c:v>13495751.040818483</c:v>
                </c:pt>
                <c:pt idx="6">
                  <c:v>13471938.94561439</c:v>
                </c:pt>
                <c:pt idx="7">
                  <c:v>13448245.910886317</c:v>
                </c:pt>
                <c:pt idx="8">
                  <c:v>13424671.341331886</c:v>
                </c:pt>
                <c:pt idx="9">
                  <c:v>13401214.644625228</c:v>
                </c:pt>
                <c:pt idx="10">
                  <c:v>13377875.231402103</c:v>
                </c:pt>
                <c:pt idx="11">
                  <c:v>13354652.515245091</c:v>
                </c:pt>
                <c:pt idx="12">
                  <c:v>13331545.912668865</c:v>
                </c:pt>
                <c:pt idx="13">
                  <c:v>13308554.843105521</c:v>
                </c:pt>
                <c:pt idx="14">
                  <c:v>13285678.728889994</c:v>
                </c:pt>
                <c:pt idx="15">
                  <c:v>12823386.770203095</c:v>
                </c:pt>
                <c:pt idx="16">
                  <c:v>12326753.847870059</c:v>
                </c:pt>
              </c:numCache>
            </c:numRef>
          </c:val>
          <c:extLst>
            <c:ext xmlns:c16="http://schemas.microsoft.com/office/drawing/2014/chart" uri="{C3380CC4-5D6E-409C-BE32-E72D297353CC}">
              <c16:uniqueId val="{00000002-851D-437E-A8B7-0B0934B4AFD0}"/>
            </c:ext>
          </c:extLst>
        </c:ser>
        <c:ser>
          <c:idx val="3"/>
          <c:order val="3"/>
          <c:tx>
            <c:strRef>
              <c:f>'Ch. 3 Tables and Graphs'!$J$144</c:f>
              <c:strCache>
                <c:ptCount val="1"/>
                <c:pt idx="0">
                  <c:v>26-27 Plan</c:v>
                </c:pt>
              </c:strCache>
            </c:strRef>
          </c:tx>
          <c:spPr>
            <a:solidFill>
              <a:schemeClr val="accent4"/>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Graphs'!$L$144:$AB$144</c:f>
              <c:numCache>
                <c:formatCode>_(* #,##0_);_(* \(#,##0\);_(* "-"??_);_(@_)</c:formatCode>
                <c:ptCount val="17"/>
                <c:pt idx="0">
                  <c:v>0</c:v>
                </c:pt>
                <c:pt idx="1">
                  <c:v>0</c:v>
                </c:pt>
                <c:pt idx="2">
                  <c:v>602273.92248011334</c:v>
                </c:pt>
                <c:pt idx="3">
                  <c:v>1507773.8455118262</c:v>
                </c:pt>
                <c:pt idx="4">
                  <c:v>1806472.3464482669</c:v>
                </c:pt>
                <c:pt idx="5">
                  <c:v>5882439.9847160261</c:v>
                </c:pt>
                <c:pt idx="6">
                  <c:v>9950527.7847924456</c:v>
                </c:pt>
                <c:pt idx="7">
                  <c:v>9925775.1458684839</c:v>
                </c:pt>
                <c:pt idx="8">
                  <c:v>9901146.270139141</c:v>
                </c:pt>
                <c:pt idx="9">
                  <c:v>9876640.5387884453</c:v>
                </c:pt>
                <c:pt idx="10">
                  <c:v>9852257.3360945024</c:v>
                </c:pt>
                <c:pt idx="11">
                  <c:v>9827996.0494140312</c:v>
                </c:pt>
                <c:pt idx="12">
                  <c:v>9803856.0691669602</c:v>
                </c:pt>
                <c:pt idx="13">
                  <c:v>9779836.7888211254</c:v>
                </c:pt>
                <c:pt idx="14">
                  <c:v>9755937.6048770212</c:v>
                </c:pt>
                <c:pt idx="15">
                  <c:v>9732157.9168526344</c:v>
                </c:pt>
                <c:pt idx="16">
                  <c:v>9708497.1272683721</c:v>
                </c:pt>
              </c:numCache>
            </c:numRef>
          </c:val>
          <c:extLst>
            <c:ext xmlns:c16="http://schemas.microsoft.com/office/drawing/2014/chart" uri="{C3380CC4-5D6E-409C-BE32-E72D297353CC}">
              <c16:uniqueId val="{00000003-851D-437E-A8B7-0B0934B4AFD0}"/>
            </c:ext>
          </c:extLst>
        </c:ser>
        <c:ser>
          <c:idx val="4"/>
          <c:order val="4"/>
          <c:tx>
            <c:strRef>
              <c:f>'Ch. 3 Tables and Graphs'!$J$145</c:f>
              <c:strCache>
                <c:ptCount val="1"/>
                <c:pt idx="0">
                  <c:v>28-29 Plan</c:v>
                </c:pt>
              </c:strCache>
            </c:strRef>
          </c:tx>
          <c:spPr>
            <a:solidFill>
              <a:schemeClr val="accent5"/>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Graphs'!$L$145:$AB$145</c:f>
              <c:numCache>
                <c:formatCode>_(* #,##0_);_(* \(#,##0\);_(* "-"??_);_(@_)</c:formatCode>
                <c:ptCount val="17"/>
                <c:pt idx="0">
                  <c:v>0</c:v>
                </c:pt>
                <c:pt idx="1">
                  <c:v>0</c:v>
                </c:pt>
                <c:pt idx="2">
                  <c:v>0</c:v>
                </c:pt>
                <c:pt idx="3">
                  <c:v>0</c:v>
                </c:pt>
                <c:pt idx="4">
                  <c:v>602273.92248011334</c:v>
                </c:pt>
                <c:pt idx="5">
                  <c:v>1507773.8455118262</c:v>
                </c:pt>
                <c:pt idx="6">
                  <c:v>1806472.3464482669</c:v>
                </c:pt>
                <c:pt idx="7">
                  <c:v>5382439.9847160261</c:v>
                </c:pt>
                <c:pt idx="8">
                  <c:v>8953027.7847924456</c:v>
                </c:pt>
                <c:pt idx="9">
                  <c:v>7433262.6458684839</c:v>
                </c:pt>
                <c:pt idx="10">
                  <c:v>7413596.332639141</c:v>
                </c:pt>
                <c:pt idx="11">
                  <c:v>7394028.3509759447</c:v>
                </c:pt>
                <c:pt idx="12">
                  <c:v>7374558.209221065</c:v>
                </c:pt>
                <c:pt idx="13">
                  <c:v>7355185.4181749597</c:v>
                </c:pt>
                <c:pt idx="14">
                  <c:v>7335909.4910840848</c:v>
                </c:pt>
                <c:pt idx="15">
                  <c:v>7316729.9436286651</c:v>
                </c:pt>
                <c:pt idx="16">
                  <c:v>7297646.2939105211</c:v>
                </c:pt>
              </c:numCache>
            </c:numRef>
          </c:val>
          <c:extLst>
            <c:ext xmlns:c16="http://schemas.microsoft.com/office/drawing/2014/chart" uri="{C3380CC4-5D6E-409C-BE32-E72D297353CC}">
              <c16:uniqueId val="{00000004-851D-437E-A8B7-0B0934B4AFD0}"/>
            </c:ext>
          </c:extLst>
        </c:ser>
        <c:ser>
          <c:idx val="5"/>
          <c:order val="5"/>
          <c:tx>
            <c:strRef>
              <c:f>'Ch. 3 Tables and Graphs'!$J$146</c:f>
              <c:strCache>
                <c:ptCount val="1"/>
                <c:pt idx="0">
                  <c:v>30-31 Plan</c:v>
                </c:pt>
              </c:strCache>
            </c:strRef>
          </c:tx>
          <c:spPr>
            <a:solidFill>
              <a:schemeClr val="accent6"/>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Graphs'!$L$146:$AB$146</c:f>
              <c:numCache>
                <c:formatCode>_(* #,##0_);_(* \(#,##0\);_(* "-"??_);_(@_)</c:formatCode>
                <c:ptCount val="17"/>
                <c:pt idx="0">
                  <c:v>0</c:v>
                </c:pt>
                <c:pt idx="1">
                  <c:v>0</c:v>
                </c:pt>
                <c:pt idx="2">
                  <c:v>0</c:v>
                </c:pt>
                <c:pt idx="3">
                  <c:v>0</c:v>
                </c:pt>
                <c:pt idx="4">
                  <c:v>0</c:v>
                </c:pt>
                <c:pt idx="5">
                  <c:v>0</c:v>
                </c:pt>
                <c:pt idx="6">
                  <c:v>569202.00562930212</c:v>
                </c:pt>
                <c:pt idx="7">
                  <c:v>1481309.8707704577</c:v>
                </c:pt>
                <c:pt idx="8">
                  <c:v>1819655.1909566054</c:v>
                </c:pt>
                <c:pt idx="9">
                  <c:v>3610556.9150018226</c:v>
                </c:pt>
                <c:pt idx="10">
                  <c:v>5397504.1304268129</c:v>
                </c:pt>
                <c:pt idx="11">
                  <c:v>6880516.6097746789</c:v>
                </c:pt>
                <c:pt idx="12">
                  <c:v>5363614.0267258063</c:v>
                </c:pt>
                <c:pt idx="13">
                  <c:v>5346795.956592177</c:v>
                </c:pt>
                <c:pt idx="14">
                  <c:v>5330061.9768092167</c:v>
                </c:pt>
                <c:pt idx="15">
                  <c:v>5313411.6669251705</c:v>
                </c:pt>
                <c:pt idx="16">
                  <c:v>5296844.6085905442</c:v>
                </c:pt>
              </c:numCache>
            </c:numRef>
          </c:val>
          <c:extLst>
            <c:ext xmlns:c16="http://schemas.microsoft.com/office/drawing/2014/chart" uri="{C3380CC4-5D6E-409C-BE32-E72D297353CC}">
              <c16:uniqueId val="{00000005-851D-437E-A8B7-0B0934B4AFD0}"/>
            </c:ext>
          </c:extLst>
        </c:ser>
        <c:ser>
          <c:idx val="6"/>
          <c:order val="6"/>
          <c:tx>
            <c:strRef>
              <c:f>'Ch. 3 Tables and Graphs'!$J$147</c:f>
              <c:strCache>
                <c:ptCount val="1"/>
                <c:pt idx="0">
                  <c:v>32-33 Plan</c:v>
                </c:pt>
              </c:strCache>
            </c:strRef>
          </c:tx>
          <c:spPr>
            <a:solidFill>
              <a:schemeClr val="accent1">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Graphs'!$L$147:$AB$147</c:f>
              <c:numCache>
                <c:formatCode>_(* #,##0_);_(* \(#,##0\);_(* "-"??_);_(@_)</c:formatCode>
                <c:ptCount val="17"/>
                <c:pt idx="0">
                  <c:v>0</c:v>
                </c:pt>
                <c:pt idx="1">
                  <c:v>0</c:v>
                </c:pt>
                <c:pt idx="2">
                  <c:v>0</c:v>
                </c:pt>
                <c:pt idx="3">
                  <c:v>0</c:v>
                </c:pt>
                <c:pt idx="4">
                  <c:v>0</c:v>
                </c:pt>
                <c:pt idx="5">
                  <c:v>0</c:v>
                </c:pt>
                <c:pt idx="6">
                  <c:v>0</c:v>
                </c:pt>
                <c:pt idx="7">
                  <c:v>0</c:v>
                </c:pt>
                <c:pt idx="8">
                  <c:v>569202.00562930212</c:v>
                </c:pt>
                <c:pt idx="9">
                  <c:v>1196708.8679558067</c:v>
                </c:pt>
                <c:pt idx="10">
                  <c:v>1363601.2583860275</c:v>
                </c:pt>
                <c:pt idx="11">
                  <c:v>3156783.2520940974</c:v>
                </c:pt>
                <c:pt idx="12">
                  <c:v>4945999.3358336277</c:v>
                </c:pt>
                <c:pt idx="13">
                  <c:v>4931269.3391544595</c:v>
                </c:pt>
                <c:pt idx="14">
                  <c:v>4916612.9924586862</c:v>
                </c:pt>
                <c:pt idx="15">
                  <c:v>4902029.9274963932</c:v>
                </c:pt>
                <c:pt idx="16">
                  <c:v>4887519.7778589111</c:v>
                </c:pt>
              </c:numCache>
            </c:numRef>
          </c:val>
          <c:extLst>
            <c:ext xmlns:c16="http://schemas.microsoft.com/office/drawing/2014/chart" uri="{C3380CC4-5D6E-409C-BE32-E72D297353CC}">
              <c16:uniqueId val="{00000006-851D-437E-A8B7-0B0934B4AFD0}"/>
            </c:ext>
          </c:extLst>
        </c:ser>
        <c:ser>
          <c:idx val="7"/>
          <c:order val="7"/>
          <c:tx>
            <c:strRef>
              <c:f>'Ch. 3 Tables and Graphs'!$J$148</c:f>
              <c:strCache>
                <c:ptCount val="1"/>
                <c:pt idx="0">
                  <c:v>34-35 Plan</c:v>
                </c:pt>
              </c:strCache>
            </c:strRef>
          </c:tx>
          <c:spPr>
            <a:solidFill>
              <a:schemeClr val="accent2">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Graphs'!$L$148:$AB$148</c:f>
              <c:numCache>
                <c:formatCode>_(* #,##0_);_(* \(#,##0\);_(* "-"??_);_(@_)</c:formatCode>
                <c:ptCount val="17"/>
                <c:pt idx="0">
                  <c:v>0</c:v>
                </c:pt>
                <c:pt idx="1">
                  <c:v>0</c:v>
                </c:pt>
                <c:pt idx="2">
                  <c:v>0</c:v>
                </c:pt>
                <c:pt idx="3">
                  <c:v>0</c:v>
                </c:pt>
                <c:pt idx="4">
                  <c:v>0</c:v>
                </c:pt>
                <c:pt idx="5">
                  <c:v>0</c:v>
                </c:pt>
                <c:pt idx="6">
                  <c:v>0</c:v>
                </c:pt>
                <c:pt idx="7">
                  <c:v>0</c:v>
                </c:pt>
                <c:pt idx="8">
                  <c:v>0</c:v>
                </c:pt>
                <c:pt idx="9">
                  <c:v>0</c:v>
                </c:pt>
                <c:pt idx="10">
                  <c:v>284601.00281465106</c:v>
                </c:pt>
                <c:pt idx="11">
                  <c:v>740654.93538522883</c:v>
                </c:pt>
                <c:pt idx="12">
                  <c:v>909827.59547830268</c:v>
                </c:pt>
                <c:pt idx="13">
                  <c:v>2705278.4575009113</c:v>
                </c:pt>
                <c:pt idx="14">
                  <c:v>4496752.0652134065</c:v>
                </c:pt>
                <c:pt idx="15">
                  <c:v>4484268.3048873395</c:v>
                </c:pt>
                <c:pt idx="16">
                  <c:v>4471846.9633629024</c:v>
                </c:pt>
              </c:numCache>
            </c:numRef>
          </c:val>
          <c:extLst>
            <c:ext xmlns:c16="http://schemas.microsoft.com/office/drawing/2014/chart" uri="{C3380CC4-5D6E-409C-BE32-E72D297353CC}">
              <c16:uniqueId val="{00000007-851D-437E-A8B7-0B0934B4AFD0}"/>
            </c:ext>
          </c:extLst>
        </c:ser>
        <c:ser>
          <c:idx val="8"/>
          <c:order val="8"/>
          <c:tx>
            <c:strRef>
              <c:f>'Ch. 3 Tables and Graphs'!$J$149</c:f>
              <c:strCache>
                <c:ptCount val="1"/>
                <c:pt idx="0">
                  <c:v>36-37 Plan</c:v>
                </c:pt>
              </c:strCache>
            </c:strRef>
          </c:tx>
          <c:spPr>
            <a:solidFill>
              <a:schemeClr val="accent3">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Graphs'!$L$149:$AB$149</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284601.00281465106</c:v>
                </c:pt>
                <c:pt idx="13">
                  <c:v>740654.93538522883</c:v>
                </c:pt>
                <c:pt idx="14">
                  <c:v>909827.59547830268</c:v>
                </c:pt>
                <c:pt idx="15">
                  <c:v>2705278.4575009113</c:v>
                </c:pt>
                <c:pt idx="16">
                  <c:v>4496752.0652134065</c:v>
                </c:pt>
              </c:numCache>
            </c:numRef>
          </c:val>
          <c:extLst>
            <c:ext xmlns:c16="http://schemas.microsoft.com/office/drawing/2014/chart" uri="{C3380CC4-5D6E-409C-BE32-E72D297353CC}">
              <c16:uniqueId val="{00000008-851D-437E-A8B7-0B0934B4AFD0}"/>
            </c:ext>
          </c:extLst>
        </c:ser>
        <c:ser>
          <c:idx val="9"/>
          <c:order val="9"/>
          <c:tx>
            <c:strRef>
              <c:f>'Ch. 3 Tables and Graphs'!$J$150</c:f>
              <c:strCache>
                <c:ptCount val="1"/>
                <c:pt idx="0">
                  <c:v>38-39 Plan</c:v>
                </c:pt>
              </c:strCache>
            </c:strRef>
          </c:tx>
          <c:spPr>
            <a:solidFill>
              <a:schemeClr val="accent4">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Graphs'!$L$150:$AB$150</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284601.00281465106</c:v>
                </c:pt>
                <c:pt idx="15">
                  <c:v>740654.93538522883</c:v>
                </c:pt>
                <c:pt idx="16">
                  <c:v>909827.59547830268</c:v>
                </c:pt>
              </c:numCache>
            </c:numRef>
          </c:val>
          <c:extLst>
            <c:ext xmlns:c16="http://schemas.microsoft.com/office/drawing/2014/chart" uri="{C3380CC4-5D6E-409C-BE32-E72D297353CC}">
              <c16:uniqueId val="{00000009-851D-437E-A8B7-0B0934B4AFD0}"/>
            </c:ext>
          </c:extLst>
        </c:ser>
        <c:ser>
          <c:idx val="10"/>
          <c:order val="10"/>
          <c:tx>
            <c:strRef>
              <c:f>'Ch. 3 Tables and Graphs'!$J$151</c:f>
              <c:strCache>
                <c:ptCount val="1"/>
                <c:pt idx="0">
                  <c:v>40-41 Plan</c:v>
                </c:pt>
              </c:strCache>
            </c:strRef>
          </c:tx>
          <c:spPr>
            <a:solidFill>
              <a:schemeClr val="accent5">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Graphs'!$L$151:$AB$151</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569202.00562930212</c:v>
                </c:pt>
              </c:numCache>
            </c:numRef>
          </c:val>
          <c:extLst>
            <c:ext xmlns:c16="http://schemas.microsoft.com/office/drawing/2014/chart" uri="{C3380CC4-5D6E-409C-BE32-E72D297353CC}">
              <c16:uniqueId val="{0000000A-851D-437E-A8B7-0B0934B4AFD0}"/>
            </c:ext>
          </c:extLst>
        </c:ser>
        <c:dLbls>
          <c:showLegendKey val="0"/>
          <c:showVal val="0"/>
          <c:showCatName val="0"/>
          <c:showSerName val="0"/>
          <c:showPercent val="0"/>
          <c:showBubbleSize val="0"/>
        </c:dLbls>
        <c:axId val="885248848"/>
        <c:axId val="885245968"/>
      </c:areaChart>
      <c:lineChart>
        <c:grouping val="standard"/>
        <c:varyColors val="0"/>
        <c:ser>
          <c:idx val="11"/>
          <c:order val="11"/>
          <c:tx>
            <c:strRef>
              <c:f>'Ch. 3 Tables and Graphs'!$J$152</c:f>
              <c:strCache>
                <c:ptCount val="1"/>
                <c:pt idx="0">
                  <c:v> RPS Target Amount </c:v>
                </c:pt>
              </c:strCache>
            </c:strRef>
          </c:tx>
          <c:spPr>
            <a:ln w="28575" cap="rnd">
              <a:solidFill>
                <a:schemeClr val="accent6">
                  <a:lumMod val="60000"/>
                </a:schemeClr>
              </a:solidFill>
              <a:round/>
            </a:ln>
            <a:effectLst/>
          </c:spPr>
          <c:marker>
            <c:symbol val="none"/>
          </c:marker>
          <c:val>
            <c:numRef>
              <c:f>'Ch. 3 Tables and Graphs'!$K$152:$AC$152</c:f>
              <c:numCache>
                <c:formatCode>_(* #,##0_);_(* \(#,##0\);_(* "-"??_);_(@_)</c:formatCode>
                <c:ptCount val="19"/>
                <c:pt idx="0">
                  <c:v>19057298.322986744</c:v>
                </c:pt>
                <c:pt idx="1">
                  <c:v>15939021.812910251</c:v>
                </c:pt>
                <c:pt idx="2">
                  <c:v>16882727.808818541</c:v>
                </c:pt>
                <c:pt idx="3">
                  <c:v>19494260.094797742</c:v>
                </c:pt>
                <c:pt idx="4">
                  <c:v>23088050.394313909</c:v>
                </c:pt>
                <c:pt idx="5">
                  <c:v>26625257.689334787</c:v>
                </c:pt>
                <c:pt idx="6">
                  <c:v>30404169.597892165</c:v>
                </c:pt>
                <c:pt idx="7">
                  <c:v>31757671.091924891</c:v>
                </c:pt>
                <c:pt idx="8">
                  <c:v>35055517.307059526</c:v>
                </c:pt>
                <c:pt idx="9">
                  <c:v>36792550.972112834</c:v>
                </c:pt>
                <c:pt idx="10">
                  <c:v>38774563.089039281</c:v>
                </c:pt>
                <c:pt idx="11">
                  <c:v>40555232.159669481</c:v>
                </c:pt>
                <c:pt idx="12">
                  <c:v>45712915.004466057</c:v>
                </c:pt>
                <c:pt idx="13">
                  <c:v>47286918.200264931</c:v>
                </c:pt>
                <c:pt idx="14">
                  <c:v>49230410.172374822</c:v>
                </c:pt>
                <c:pt idx="15">
                  <c:v>51094143.697269</c:v>
                </c:pt>
                <c:pt idx="16">
                  <c:v>52953914.169608571</c:v>
                </c:pt>
                <c:pt idx="17">
                  <c:v>53167461.800252028</c:v>
                </c:pt>
                <c:pt idx="18">
                  <c:v>53384333.07021378</c:v>
                </c:pt>
              </c:numCache>
            </c:numRef>
          </c:val>
          <c:smooth val="0"/>
          <c:extLst>
            <c:ext xmlns:c16="http://schemas.microsoft.com/office/drawing/2014/chart" uri="{C3380CC4-5D6E-409C-BE32-E72D297353CC}">
              <c16:uniqueId val="{00000002-8B8A-4A7B-8437-FBD230D4124A}"/>
            </c:ext>
          </c:extLst>
        </c:ser>
        <c:dLbls>
          <c:showLegendKey val="0"/>
          <c:showVal val="0"/>
          <c:showCatName val="0"/>
          <c:showSerName val="0"/>
          <c:showPercent val="0"/>
          <c:showBubbleSize val="0"/>
        </c:dLbls>
        <c:marker val="1"/>
        <c:smooth val="0"/>
        <c:axId val="885248848"/>
        <c:axId val="885245968"/>
      </c:lineChart>
      <c:catAx>
        <c:axId val="8852488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245968"/>
        <c:crosses val="autoZero"/>
        <c:auto val="1"/>
        <c:lblAlgn val="ctr"/>
        <c:lblOffset val="100"/>
        <c:noMultiLvlLbl val="0"/>
      </c:catAx>
      <c:valAx>
        <c:axId val="88524596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2488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Projected RPS Expenses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459949205034911"/>
          <c:y val="8.2637438813406378E-2"/>
          <c:w val="0.88540050794965086"/>
          <c:h val="0.8606705724466428"/>
        </c:manualLayout>
      </c:layout>
      <c:barChart>
        <c:barDir val="col"/>
        <c:grouping val="stacked"/>
        <c:varyColors val="0"/>
        <c:ser>
          <c:idx val="3"/>
          <c:order val="0"/>
          <c:tx>
            <c:strRef>
              <c:f>'$ Tables and Graphs'!$Z$3</c:f>
              <c:strCache>
                <c:ptCount val="1"/>
                <c:pt idx="0">
                  <c:v>Set Asides</c:v>
                </c:pt>
              </c:strCache>
            </c:strRef>
          </c:tx>
          <c:spPr>
            <a:solidFill>
              <a:schemeClr val="bg2"/>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Graphs'!$Z$4:$Z$26</c:f>
              <c:numCache>
                <c:formatCode>"$"#,##0_);[Red]\("$"#,##0\)</c:formatCode>
                <c:ptCount val="23"/>
                <c:pt idx="0">
                  <c:v>18018880.058405567</c:v>
                </c:pt>
                <c:pt idx="1">
                  <c:v>83942135.092404008</c:v>
                </c:pt>
                <c:pt idx="2">
                  <c:v>67623889.800951704</c:v>
                </c:pt>
                <c:pt idx="3">
                  <c:v>67322647.088471591</c:v>
                </c:pt>
                <c:pt idx="4">
                  <c:v>87208829.557390258</c:v>
                </c:pt>
                <c:pt idx="5">
                  <c:v>66997493.390597343</c:v>
                </c:pt>
                <c:pt idx="6">
                  <c:v>66888811.399599314</c:v>
                </c:pt>
                <c:pt idx="7">
                  <c:v>86862404.659270331</c:v>
                </c:pt>
                <c:pt idx="8">
                  <c:v>66906426.967615873</c:v>
                </c:pt>
                <c:pt idx="9">
                  <c:v>66920397.125927687</c:v>
                </c:pt>
                <c:pt idx="10">
                  <c:v>87023386.929470733</c:v>
                </c:pt>
                <c:pt idx="11">
                  <c:v>67120451.256649822</c:v>
                </c:pt>
                <c:pt idx="12">
                  <c:v>67234402.603198841</c:v>
                </c:pt>
                <c:pt idx="13">
                  <c:v>67289396.046359867</c:v>
                </c:pt>
                <c:pt idx="14">
                  <c:v>67378693.799014568</c:v>
                </c:pt>
                <c:pt idx="15">
                  <c:v>67444210.839039311</c:v>
                </c:pt>
                <c:pt idx="16">
                  <c:v>67522169.66182524</c:v>
                </c:pt>
                <c:pt idx="17">
                  <c:v>67559698.762090176</c:v>
                </c:pt>
                <c:pt idx="18">
                  <c:v>67642751.566603482</c:v>
                </c:pt>
                <c:pt idx="19">
                  <c:v>67710238.723197311</c:v>
                </c:pt>
                <c:pt idx="20">
                  <c:v>67790826.711418763</c:v>
                </c:pt>
                <c:pt idx="21">
                  <c:v>67846294.061737657</c:v>
                </c:pt>
                <c:pt idx="22">
                  <c:v>67902792.45759207</c:v>
                </c:pt>
              </c:numCache>
            </c:numRef>
          </c:val>
          <c:extLst>
            <c:ext xmlns:c16="http://schemas.microsoft.com/office/drawing/2014/chart" uri="{C3380CC4-5D6E-409C-BE32-E72D297353CC}">
              <c16:uniqueId val="{00000000-2553-479C-8535-85E23C6CAD83}"/>
            </c:ext>
          </c:extLst>
        </c:ser>
        <c:ser>
          <c:idx val="4"/>
          <c:order val="1"/>
          <c:tx>
            <c:strRef>
              <c:f>'$ Tables and Graphs'!$V$3</c:f>
              <c:strCache>
                <c:ptCount val="1"/>
                <c:pt idx="0">
                  <c:v>Under Contract</c:v>
                </c:pt>
              </c:strCache>
            </c:strRef>
          </c:tx>
          <c:spPr>
            <a:solidFill>
              <a:schemeClr val="accent5"/>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Graphs'!$V$4:$V$26</c:f>
              <c:numCache>
                <c:formatCode>"$"#,##0_);[Red]\("$"#,##0\)</c:formatCode>
                <c:ptCount val="23"/>
                <c:pt idx="0">
                  <c:v>252812797.55671188</c:v>
                </c:pt>
                <c:pt idx="1">
                  <c:v>250269525.23851451</c:v>
                </c:pt>
                <c:pt idx="2">
                  <c:v>301314634.2177431</c:v>
                </c:pt>
                <c:pt idx="3">
                  <c:v>512688204.05675185</c:v>
                </c:pt>
                <c:pt idx="4">
                  <c:v>407734818.952461</c:v>
                </c:pt>
                <c:pt idx="5">
                  <c:v>452849356.164608</c:v>
                </c:pt>
                <c:pt idx="6">
                  <c:v>322217308.63225609</c:v>
                </c:pt>
                <c:pt idx="7">
                  <c:v>288181587.7372601</c:v>
                </c:pt>
                <c:pt idx="8">
                  <c:v>267881446.35174516</c:v>
                </c:pt>
                <c:pt idx="9">
                  <c:v>249939084.09307486</c:v>
                </c:pt>
                <c:pt idx="10">
                  <c:v>252495668.66343933</c:v>
                </c:pt>
                <c:pt idx="11">
                  <c:v>244956465.81714076</c:v>
                </c:pt>
                <c:pt idx="12">
                  <c:v>219038299.45849764</c:v>
                </c:pt>
                <c:pt idx="13">
                  <c:v>210263508.32025737</c:v>
                </c:pt>
                <c:pt idx="14">
                  <c:v>196326703.25414419</c:v>
                </c:pt>
                <c:pt idx="15">
                  <c:v>183489547.52875838</c:v>
                </c:pt>
                <c:pt idx="16">
                  <c:v>164371267.41532409</c:v>
                </c:pt>
                <c:pt idx="17">
                  <c:v>150715689.95351928</c:v>
                </c:pt>
                <c:pt idx="18">
                  <c:v>144184485.26949659</c:v>
                </c:pt>
                <c:pt idx="19">
                  <c:v>138152387.37910298</c:v>
                </c:pt>
                <c:pt idx="20">
                  <c:v>130573410.02660389</c:v>
                </c:pt>
                <c:pt idx="21">
                  <c:v>124290246.05055271</c:v>
                </c:pt>
                <c:pt idx="22">
                  <c:v>38298556.322773442</c:v>
                </c:pt>
              </c:numCache>
            </c:numRef>
          </c:val>
          <c:extLst>
            <c:ext xmlns:c16="http://schemas.microsoft.com/office/drawing/2014/chart" uri="{C3380CC4-5D6E-409C-BE32-E72D297353CC}">
              <c16:uniqueId val="{00000001-2553-479C-8535-85E23C6CAD83}"/>
            </c:ext>
          </c:extLst>
        </c:ser>
        <c:ser>
          <c:idx val="0"/>
          <c:order val="2"/>
          <c:tx>
            <c:strRef>
              <c:f>'$ Tables and Graphs'!$W$3</c:f>
              <c:strCache>
                <c:ptCount val="1"/>
                <c:pt idx="0">
                  <c:v>23 In Progress</c:v>
                </c:pt>
              </c:strCache>
            </c:strRef>
          </c:tx>
          <c:spPr>
            <a:solidFill>
              <a:schemeClr val="accent2"/>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Graphs'!$W$4:$W$26</c:f>
              <c:numCache>
                <c:formatCode>"$"#,##0_);[Red]\("$"#,##0\)</c:formatCode>
                <c:ptCount val="23"/>
                <c:pt idx="0">
                  <c:v>0</c:v>
                </c:pt>
                <c:pt idx="1">
                  <c:v>0</c:v>
                </c:pt>
                <c:pt idx="2">
                  <c:v>0</c:v>
                </c:pt>
                <c:pt idx="3">
                  <c:v>0</c:v>
                </c:pt>
                <c:pt idx="4">
                  <c:v>6634162.8171102703</c:v>
                </c:pt>
                <c:pt idx="5">
                  <c:v>20413382.996844385</c:v>
                </c:pt>
                <c:pt idx="6">
                  <c:v>20342644.072940961</c:v>
                </c:pt>
                <c:pt idx="7">
                  <c:v>20272258.843657054</c:v>
                </c:pt>
                <c:pt idx="8">
                  <c:v>20202225.540519565</c:v>
                </c:pt>
                <c:pt idx="9">
                  <c:v>20132542.403897766</c:v>
                </c:pt>
                <c:pt idx="10">
                  <c:v>20063207.682959076</c:v>
                </c:pt>
                <c:pt idx="11">
                  <c:v>13728621.41946538</c:v>
                </c:pt>
                <c:pt idx="12">
                  <c:v>13659978.312368052</c:v>
                </c:pt>
                <c:pt idx="13">
                  <c:v>13591678.420806212</c:v>
                </c:pt>
                <c:pt idx="14">
                  <c:v>13523720.028702181</c:v>
                </c:pt>
                <c:pt idx="15">
                  <c:v>13456101.42855867</c:v>
                </c:pt>
                <c:pt idx="16">
                  <c:v>13388820.921415877</c:v>
                </c:pt>
                <c:pt idx="17">
                  <c:v>13321876.816808797</c:v>
                </c:pt>
                <c:pt idx="18">
                  <c:v>13255267.432724753</c:v>
                </c:pt>
                <c:pt idx="19">
                  <c:v>13188991.09556113</c:v>
                </c:pt>
                <c:pt idx="20">
                  <c:v>13123046.140083324</c:v>
                </c:pt>
                <c:pt idx="21">
                  <c:v>13057430.909382908</c:v>
                </c:pt>
                <c:pt idx="22">
                  <c:v>12992143.754835993</c:v>
                </c:pt>
              </c:numCache>
            </c:numRef>
          </c:val>
          <c:extLst>
            <c:ext xmlns:c16="http://schemas.microsoft.com/office/drawing/2014/chart" uri="{C3380CC4-5D6E-409C-BE32-E72D297353CC}">
              <c16:uniqueId val="{00000002-2553-479C-8535-85E23C6CAD83}"/>
            </c:ext>
          </c:extLst>
        </c:ser>
        <c:ser>
          <c:idx val="1"/>
          <c:order val="3"/>
          <c:tx>
            <c:strRef>
              <c:f>'$ Tables and Graphs'!$X$3</c:f>
              <c:strCache>
                <c:ptCount val="1"/>
                <c:pt idx="0">
                  <c:v>24-25 Plan</c:v>
                </c:pt>
              </c:strCache>
            </c:strRef>
          </c:tx>
          <c:spPr>
            <a:solidFill>
              <a:schemeClr val="accent6">
                <a:lumMod val="20000"/>
                <a:lumOff val="80000"/>
              </a:schemeClr>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Graphs'!$X$4:$X$26</c:f>
              <c:numCache>
                <c:formatCode>"$"#,##0_);[Red]\("$"#,##0\)</c:formatCode>
                <c:ptCount val="23"/>
                <c:pt idx="0">
                  <c:v>0</c:v>
                </c:pt>
                <c:pt idx="1">
                  <c:v>0</c:v>
                </c:pt>
                <c:pt idx="2">
                  <c:v>0</c:v>
                </c:pt>
                <c:pt idx="3">
                  <c:v>0</c:v>
                </c:pt>
                <c:pt idx="4">
                  <c:v>0</c:v>
                </c:pt>
                <c:pt idx="5">
                  <c:v>0</c:v>
                </c:pt>
                <c:pt idx="6">
                  <c:v>204284231.95154271</c:v>
                </c:pt>
                <c:pt idx="7">
                  <c:v>257496414.97674048</c:v>
                </c:pt>
                <c:pt idx="8">
                  <c:v>119886791.65324765</c:v>
                </c:pt>
                <c:pt idx="9">
                  <c:v>119367538.15672907</c:v>
                </c:pt>
                <c:pt idx="10">
                  <c:v>119149982.88322468</c:v>
                </c:pt>
                <c:pt idx="11">
                  <c:v>118933515.38608779</c:v>
                </c:pt>
                <c:pt idx="12">
                  <c:v>118718130.2264366</c:v>
                </c:pt>
                <c:pt idx="13">
                  <c:v>85124747.710290551</c:v>
                </c:pt>
                <c:pt idx="14">
                  <c:v>47544386.511424586</c:v>
                </c:pt>
                <c:pt idx="15">
                  <c:v>42221931.334830657</c:v>
                </c:pt>
                <c:pt idx="16">
                  <c:v>42010821.678156503</c:v>
                </c:pt>
                <c:pt idx="17">
                  <c:v>41800767.569765717</c:v>
                </c:pt>
                <c:pt idx="18">
                  <c:v>41591763.73191689</c:v>
                </c:pt>
                <c:pt idx="19">
                  <c:v>41383804.913257301</c:v>
                </c:pt>
                <c:pt idx="20">
                  <c:v>41176885.888691016</c:v>
                </c:pt>
                <c:pt idx="21">
                  <c:v>40971001.459247559</c:v>
                </c:pt>
                <c:pt idx="22">
                  <c:v>40766146.451951325</c:v>
                </c:pt>
              </c:numCache>
            </c:numRef>
          </c:val>
          <c:extLst>
            <c:ext xmlns:c16="http://schemas.microsoft.com/office/drawing/2014/chart" uri="{C3380CC4-5D6E-409C-BE32-E72D297353CC}">
              <c16:uniqueId val="{00000003-2553-479C-8535-85E23C6CAD83}"/>
            </c:ext>
          </c:extLst>
        </c:ser>
        <c:ser>
          <c:idx val="2"/>
          <c:order val="4"/>
          <c:tx>
            <c:strRef>
              <c:f>'$ Tables and Graphs'!$Y$3</c:f>
              <c:strCache>
                <c:ptCount val="1"/>
                <c:pt idx="0">
                  <c:v>Future Plans</c:v>
                </c:pt>
              </c:strCache>
            </c:strRef>
          </c:tx>
          <c:spPr>
            <a:solidFill>
              <a:schemeClr val="accent4"/>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Graphs'!$Y$4:$Y$26</c:f>
              <c:numCache>
                <c:formatCode>"$"#,##0_);[Red]\("$"#,##0\)</c:formatCode>
                <c:ptCount val="23"/>
                <c:pt idx="0">
                  <c:v>0</c:v>
                </c:pt>
                <c:pt idx="1">
                  <c:v>0</c:v>
                </c:pt>
                <c:pt idx="2">
                  <c:v>0</c:v>
                </c:pt>
                <c:pt idx="3">
                  <c:v>0</c:v>
                </c:pt>
                <c:pt idx="4">
                  <c:v>0</c:v>
                </c:pt>
                <c:pt idx="5">
                  <c:v>0</c:v>
                </c:pt>
                <c:pt idx="6">
                  <c:v>0</c:v>
                </c:pt>
                <c:pt idx="7">
                  <c:v>37110065.908214293</c:v>
                </c:pt>
                <c:pt idx="8">
                  <c:v>239880819.40541947</c:v>
                </c:pt>
                <c:pt idx="9">
                  <c:v>309607102.81339365</c:v>
                </c:pt>
                <c:pt idx="10">
                  <c:v>322370569.9344188</c:v>
                </c:pt>
                <c:pt idx="11">
                  <c:v>401005280.23300248</c:v>
                </c:pt>
                <c:pt idx="12">
                  <c:v>539478819.55967796</c:v>
                </c:pt>
                <c:pt idx="13">
                  <c:v>608666022.2448113</c:v>
                </c:pt>
                <c:pt idx="14">
                  <c:v>629300674.65230167</c:v>
                </c:pt>
                <c:pt idx="15">
                  <c:v>503203288.94536388</c:v>
                </c:pt>
                <c:pt idx="16">
                  <c:v>443175971.38824797</c:v>
                </c:pt>
                <c:pt idx="17">
                  <c:v>389502379.97178018</c:v>
                </c:pt>
                <c:pt idx="18">
                  <c:v>329809185.25683206</c:v>
                </c:pt>
                <c:pt idx="19">
                  <c:v>274489997.26010019</c:v>
                </c:pt>
                <c:pt idx="20">
                  <c:v>219242156.42397097</c:v>
                </c:pt>
                <c:pt idx="21">
                  <c:v>136841021.24179834</c:v>
                </c:pt>
                <c:pt idx="22">
                  <c:v>148711130.23231906</c:v>
                </c:pt>
              </c:numCache>
            </c:numRef>
          </c:val>
          <c:extLst>
            <c:ext xmlns:c16="http://schemas.microsoft.com/office/drawing/2014/chart" uri="{C3380CC4-5D6E-409C-BE32-E72D297353CC}">
              <c16:uniqueId val="{00000004-2553-479C-8535-85E23C6CAD83}"/>
            </c:ext>
          </c:extLst>
        </c:ser>
        <c:dLbls>
          <c:showLegendKey val="0"/>
          <c:showVal val="0"/>
          <c:showCatName val="0"/>
          <c:showSerName val="0"/>
          <c:showPercent val="0"/>
          <c:showBubbleSize val="0"/>
        </c:dLbls>
        <c:gapWidth val="150"/>
        <c:overlap val="100"/>
        <c:axId val="590624800"/>
        <c:axId val="590625784"/>
      </c:barChart>
      <c:lineChart>
        <c:grouping val="standard"/>
        <c:varyColors val="0"/>
        <c:ser>
          <c:idx val="5"/>
          <c:order val="5"/>
          <c:tx>
            <c:strRef>
              <c:f>'$ Tables and Graphs'!$AA$3</c:f>
              <c:strCache>
                <c:ptCount val="1"/>
                <c:pt idx="0">
                  <c:v>Total Available Funds</c:v>
                </c:pt>
              </c:strCache>
            </c:strRef>
          </c:tx>
          <c:spPr>
            <a:ln w="28575" cap="rnd">
              <a:noFill/>
              <a:round/>
            </a:ln>
            <a:effectLst/>
          </c:spPr>
          <c:marker>
            <c:symbol val="dash"/>
            <c:size val="20"/>
            <c:spPr>
              <a:solidFill>
                <a:schemeClr val="accent6"/>
              </a:solidFill>
              <a:ln w="9525">
                <a:solidFill>
                  <a:schemeClr val="accent6"/>
                </a:solidFill>
              </a:ln>
              <a:effectLst/>
            </c:spPr>
          </c:marker>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Graphs'!$AA$4:$AA$26</c:f>
              <c:numCache>
                <c:formatCode>"$"#,##0_);[Red]\("$"#,##0\)</c:formatCode>
                <c:ptCount val="23"/>
                <c:pt idx="0">
                  <c:v>293790554.98094952</c:v>
                </c:pt>
                <c:pt idx="1">
                  <c:v>248194878.09590167</c:v>
                </c:pt>
                <c:pt idx="2">
                  <c:v>388721054.17845035</c:v>
                </c:pt>
                <c:pt idx="3">
                  <c:v>607245523.52481246</c:v>
                </c:pt>
                <c:pt idx="4">
                  <c:v>604656241.99530864</c:v>
                </c:pt>
                <c:pt idx="5">
                  <c:v>468642630.45007873</c:v>
                </c:pt>
                <c:pt idx="6">
                  <c:v>333254583.3620677</c:v>
                </c:pt>
                <c:pt idx="7">
                  <c:v>203593725.46508837</c:v>
                </c:pt>
                <c:pt idx="8">
                  <c:v>31891499.106424332</c:v>
                </c:pt>
                <c:pt idx="9">
                  <c:v>-167344967.04357708</c:v>
                </c:pt>
                <c:pt idx="10">
                  <c:v>-413828076.31385303</c:v>
                </c:pt>
                <c:pt idx="11">
                  <c:v>-676206743.40501845</c:v>
                </c:pt>
                <c:pt idx="12">
                  <c:v>-933272625.60694325</c:v>
                </c:pt>
                <c:pt idx="13">
                  <c:v>-1278286086.428921</c:v>
                </c:pt>
                <c:pt idx="14">
                  <c:v>-1570910717.7168217</c:v>
                </c:pt>
                <c:pt idx="15">
                  <c:v>-1812779719.217381</c:v>
                </c:pt>
                <c:pt idx="16">
                  <c:v>-1964677868.139348</c:v>
                </c:pt>
                <c:pt idx="17">
                  <c:v>-2038366983.1641808</c:v>
                </c:pt>
                <c:pt idx="18">
                  <c:v>-2046321754.8185134</c:v>
                </c:pt>
                <c:pt idx="19">
                  <c:v>-1988196866.708487</c:v>
                </c:pt>
                <c:pt idx="20">
                  <c:v>-1869002163.2465363</c:v>
                </c:pt>
                <c:pt idx="21">
                  <c:v>-1698224950.725493</c:v>
                </c:pt>
                <c:pt idx="22">
                  <c:v>-1401526054.7433996</c:v>
                </c:pt>
              </c:numCache>
            </c:numRef>
          </c:val>
          <c:smooth val="0"/>
          <c:extLst>
            <c:ext xmlns:c16="http://schemas.microsoft.com/office/drawing/2014/chart" uri="{C3380CC4-5D6E-409C-BE32-E72D297353CC}">
              <c16:uniqueId val="{00000005-2553-479C-8535-85E23C6CAD83}"/>
            </c:ext>
          </c:extLst>
        </c:ser>
        <c:dLbls>
          <c:showLegendKey val="0"/>
          <c:showVal val="0"/>
          <c:showCatName val="0"/>
          <c:showSerName val="0"/>
          <c:showPercent val="0"/>
          <c:showBubbleSize val="0"/>
        </c:dLbls>
        <c:marker val="1"/>
        <c:smooth val="0"/>
        <c:axId val="590624800"/>
        <c:axId val="590625784"/>
      </c:lineChart>
      <c:catAx>
        <c:axId val="590624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90625784"/>
        <c:crosses val="autoZero"/>
        <c:auto val="1"/>
        <c:lblAlgn val="ctr"/>
        <c:lblOffset val="100"/>
        <c:noMultiLvlLbl val="0"/>
      </c:catAx>
      <c:valAx>
        <c:axId val="59062578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906248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153150" cy="9095054"/>
    <xdr:sp macro="" textlink="">
      <xdr:nvSpPr>
        <xdr:cNvPr id="2" name="TextBox 1">
          <a:extLst>
            <a:ext uri="{FF2B5EF4-FFF2-40B4-BE49-F238E27FC236}">
              <a16:creationId xmlns:a16="http://schemas.microsoft.com/office/drawing/2014/main" id="{6917C4A5-53B4-47A7-9714-8679422F431A}"/>
            </a:ext>
          </a:extLst>
        </xdr:cNvPr>
        <xdr:cNvSpPr txBox="1"/>
      </xdr:nvSpPr>
      <xdr:spPr>
        <a:xfrm>
          <a:off x="0" y="0"/>
          <a:ext cx="6153150" cy="90950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u="sng">
              <a:solidFill>
                <a:schemeClr val="tx1"/>
              </a:solidFill>
              <a:effectLst/>
              <a:latin typeface="+mn-lt"/>
              <a:ea typeface="+mn-ea"/>
              <a:cs typeface="+mn-cs"/>
            </a:rPr>
            <a:t>Appendix</a:t>
          </a:r>
          <a:r>
            <a:rPr lang="en-US" sz="1100" b="1" u="sng" baseline="0">
              <a:solidFill>
                <a:schemeClr val="tx1"/>
              </a:solidFill>
              <a:effectLst/>
              <a:latin typeface="+mn-lt"/>
              <a:ea typeface="+mn-ea"/>
              <a:cs typeface="+mn-cs"/>
            </a:rPr>
            <a:t> B</a:t>
          </a:r>
          <a:r>
            <a:rPr lang="en-US" sz="1100" b="1" u="sng">
              <a:solidFill>
                <a:schemeClr val="tx1"/>
              </a:solidFill>
              <a:effectLst/>
              <a:latin typeface="+mn-lt"/>
              <a:ea typeface="+mn-ea"/>
              <a:cs typeface="+mn-cs"/>
            </a:rPr>
            <a:t> Annotation by Tab</a:t>
          </a:r>
        </a:p>
        <a:p>
          <a:endParaRPr lang="en-US" sz="1400">
            <a:effectLst/>
          </a:endParaRPr>
        </a:p>
        <a:p>
          <a:r>
            <a:rPr lang="en-US" sz="1100" b="1" u="sng">
              <a:solidFill>
                <a:schemeClr val="tx1"/>
              </a:solidFill>
              <a:effectLst/>
              <a:latin typeface="+mn-lt"/>
              <a:ea typeface="+mn-ea"/>
              <a:cs typeface="+mn-cs"/>
            </a:rPr>
            <a:t>Collections and ACP</a:t>
          </a:r>
          <a:endParaRPr lang="en-US">
            <a:effectLst/>
          </a:endParaRPr>
        </a:p>
        <a:p>
          <a:r>
            <a:rPr lang="en-US" sz="1100">
              <a:solidFill>
                <a:schemeClr val="tx1"/>
              </a:solidFill>
              <a:effectLst/>
              <a:latin typeface="+mn-lt"/>
              <a:ea typeface="+mn-ea"/>
              <a:cs typeface="+mn-cs"/>
            </a:rPr>
            <a:t>This tab contains tables that show the Total Applicable Reference Year Delivered Volumes provided by each Utility, the RPS Rate Cap cost per MWh determined in law and the resulting Delivery Year RPS Budget. This tab also includes tables showing Net Available ACPs for each Utility as of </a:t>
          </a:r>
          <a:r>
            <a:rPr lang="en-US" sz="1100" u="none">
              <a:solidFill>
                <a:schemeClr val="tx1"/>
              </a:solidFill>
              <a:effectLst/>
              <a:latin typeface="+mn-lt"/>
              <a:ea typeface="+mn-ea"/>
              <a:cs typeface="+mn-cs"/>
            </a:rPr>
            <a:t>August</a:t>
          </a:r>
          <a:r>
            <a:rPr lang="en-US" sz="1100" u="none" baseline="0">
              <a:solidFill>
                <a:schemeClr val="tx1"/>
              </a:solidFill>
              <a:effectLst/>
              <a:latin typeface="+mn-lt"/>
              <a:ea typeface="+mn-ea"/>
              <a:cs typeface="+mn-cs"/>
            </a:rPr>
            <a:t> 2023</a:t>
          </a:r>
          <a:r>
            <a:rPr lang="en-US" sz="1100">
              <a:solidFill>
                <a:schemeClr val="tx1"/>
              </a:solidFill>
              <a:effectLst/>
              <a:latin typeface="+mn-lt"/>
              <a:ea typeface="+mn-ea"/>
              <a:cs typeface="+mn-cs"/>
            </a:rPr>
            <a:t>, and the annual Delivery Year RPS Utility balance.</a:t>
          </a:r>
          <a:endParaRPr lang="en-US">
            <a:effectLst/>
          </a:endParaRPr>
        </a:p>
        <a:p>
          <a:r>
            <a:rPr lang="en-US" sz="1100">
              <a:solidFill>
                <a:schemeClr val="tx1"/>
              </a:solidFill>
              <a:effectLst/>
              <a:latin typeface="+mn-lt"/>
              <a:ea typeface="+mn-ea"/>
              <a:cs typeface="+mn-cs"/>
            </a:rPr>
            <a:t> </a:t>
          </a:r>
          <a:endParaRPr lang="en-US" sz="1100" b="1" u="sng">
            <a:solidFill>
              <a:schemeClr val="tx1"/>
            </a:solidFill>
            <a:effectLst/>
            <a:latin typeface="+mn-lt"/>
            <a:ea typeface="+mn-ea"/>
            <a:cs typeface="+mn-cs"/>
          </a:endParaRPr>
        </a:p>
        <a:p>
          <a:r>
            <a:rPr lang="en-US" sz="1100" b="1" u="sng">
              <a:solidFill>
                <a:schemeClr val="tx1"/>
              </a:solidFill>
              <a:effectLst/>
              <a:latin typeface="+mn-lt"/>
              <a:ea typeface="+mn-ea"/>
              <a:cs typeface="+mn-cs"/>
            </a:rPr>
            <a:t>Indexed REC</a:t>
          </a:r>
          <a:r>
            <a:rPr lang="en-US" sz="1100" b="1" u="sng" baseline="0">
              <a:solidFill>
                <a:schemeClr val="tx1"/>
              </a:solidFill>
              <a:effectLst/>
              <a:latin typeface="+mn-lt"/>
              <a:ea typeface="+mn-ea"/>
              <a:cs typeface="+mn-cs"/>
            </a:rPr>
            <a:t> Price Calculator</a:t>
          </a:r>
          <a:endParaRPr lang="en-US">
            <a:effectLst/>
          </a:endParaRPr>
        </a:p>
        <a:p>
          <a:r>
            <a:rPr lang="en-US" sz="1100">
              <a:solidFill>
                <a:schemeClr val="tx1"/>
              </a:solidFill>
              <a:effectLst/>
              <a:latin typeface="+mn-lt"/>
              <a:ea typeface="+mn-ea"/>
              <a:cs typeface="+mn-cs"/>
            </a:rPr>
            <a:t>This tab contains the REC price calculations for the Utility Scale Wind, Solar, and Brownfield Indexed RECs.</a:t>
          </a:r>
          <a:endParaRPr lang="en-US">
            <a:effectLst/>
          </a:endParaRPr>
        </a:p>
        <a:p>
          <a:endParaRPr lang="en-US" sz="1100" b="1" u="sng">
            <a:solidFill>
              <a:schemeClr val="tx1"/>
            </a:solidFill>
            <a:effectLst/>
            <a:latin typeface="+mn-lt"/>
            <a:ea typeface="+mn-ea"/>
            <a:cs typeface="+mn-cs"/>
          </a:endParaRPr>
        </a:p>
        <a:p>
          <a:r>
            <a:rPr lang="en-US" sz="1100" b="1" u="sng">
              <a:solidFill>
                <a:schemeClr val="tx1"/>
              </a:solidFill>
              <a:effectLst/>
              <a:latin typeface="+mn-lt"/>
              <a:ea typeface="+mn-ea"/>
              <a:cs typeface="+mn-cs"/>
            </a:rPr>
            <a:t>Indexed REC Activities</a:t>
          </a:r>
        </a:p>
        <a:p>
          <a:r>
            <a:rPr lang="en-US" sz="1100" b="0" u="none" baseline="0">
              <a:solidFill>
                <a:schemeClr val="tx1"/>
              </a:solidFill>
              <a:effectLst/>
              <a:latin typeface="+mn-lt"/>
              <a:ea typeface="+mn-ea"/>
              <a:cs typeface="+mn-cs"/>
            </a:rPr>
            <a:t>This tab contains the total RECs Delivered, the Total RECs under Contract through 2023, the Total Projected RECs to be Delivered.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Indexed REC Spend</a:t>
          </a:r>
        </a:p>
        <a:p>
          <a:r>
            <a:rPr lang="en-US" sz="1100" b="0" u="none" baseline="0">
              <a:solidFill>
                <a:schemeClr val="tx1"/>
              </a:solidFill>
              <a:effectLst/>
              <a:latin typeface="+mn-lt"/>
              <a:ea typeface="+mn-ea"/>
              <a:cs typeface="+mn-cs"/>
            </a:rPr>
            <a:t>This tab includes tables that consolidate the entire current and projected </a:t>
          </a:r>
          <a:r>
            <a:rPr lang="en-US" sz="1100">
              <a:solidFill>
                <a:schemeClr val="tx1"/>
              </a:solidFill>
              <a:effectLst/>
              <a:latin typeface="+mn-lt"/>
              <a:ea typeface="+mn-ea"/>
              <a:cs typeface="+mn-cs"/>
            </a:rPr>
            <a:t>Utility Scale Wind, Solar, and Brownfield Indexed REC</a:t>
          </a:r>
          <a:r>
            <a:rPr lang="en-US" sz="1100" b="0" u="none" baseline="0">
              <a:solidFill>
                <a:schemeClr val="tx1"/>
              </a:solidFill>
              <a:effectLst/>
              <a:latin typeface="+mn-lt"/>
              <a:ea typeface="+mn-ea"/>
              <a:cs typeface="+mn-cs"/>
            </a:rPr>
            <a:t> spending by Delivery Year.</a:t>
          </a:r>
        </a:p>
        <a:p>
          <a:pPr marL="0" indent="0"/>
          <a:endParaRPr lang="en-US" sz="1100" b="1" u="sng">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ABP Future Assumptions</a:t>
          </a:r>
        </a:p>
        <a:p>
          <a:r>
            <a:rPr lang="en-US" sz="1100" b="0" u="none" baseline="0">
              <a:solidFill>
                <a:schemeClr val="tx1"/>
              </a:solidFill>
              <a:effectLst/>
              <a:latin typeface="+mn-lt"/>
              <a:ea typeface="+mn-ea"/>
              <a:cs typeface="+mn-cs"/>
            </a:rPr>
            <a:t>This tab contains assumptions used as inputs to model Delivery Years 2024-2025, 2025-2026 ABP Block Sizes, Capacity Factors, REC Prices, REC Degradation Rate, and REC Price Annual Decrease.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24-25 Activities</a:t>
          </a:r>
        </a:p>
        <a:p>
          <a:r>
            <a:rPr lang="en-US" sz="1100" b="0" u="none" baseline="0">
              <a:solidFill>
                <a:schemeClr val="tx1"/>
              </a:solidFill>
              <a:effectLst/>
              <a:latin typeface="+mn-lt"/>
              <a:ea typeface="+mn-ea"/>
              <a:cs typeface="+mn-cs"/>
            </a:rPr>
            <a:t>This tab contains the REC delivery schedules for ABP that are under contract, as well as the REC payment schedule using the ABP Future assumptions tab as inputs.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Projected ABP RECs</a:t>
          </a:r>
        </a:p>
        <a:p>
          <a:r>
            <a:rPr lang="en-US" sz="1100" b="0" u="none" baseline="0">
              <a:solidFill>
                <a:schemeClr val="tx1"/>
              </a:solidFill>
              <a:effectLst/>
              <a:latin typeface="+mn-lt"/>
              <a:ea typeface="+mn-ea"/>
              <a:cs typeface="+mn-cs"/>
            </a:rPr>
            <a:t>This tab contains the projected ABP RECs to be delivered.</a:t>
          </a:r>
        </a:p>
        <a:p>
          <a:endParaRPr lang="en-US" sz="1100" b="0" u="none" baseline="0">
            <a:solidFill>
              <a:schemeClr val="tx1"/>
            </a:solidFill>
            <a:effectLst/>
            <a:latin typeface="+mn-lt"/>
            <a:ea typeface="+mn-ea"/>
            <a:cs typeface="+mn-cs"/>
          </a:endParaRPr>
        </a:p>
        <a:p>
          <a:r>
            <a:rPr lang="en-US" sz="1100" b="1" u="sng" baseline="0">
              <a:solidFill>
                <a:schemeClr val="tx1"/>
              </a:solidFill>
              <a:effectLst/>
              <a:latin typeface="+mn-lt"/>
              <a:ea typeface="+mn-ea"/>
              <a:cs typeface="+mn-cs"/>
            </a:rPr>
            <a:t>Projected ABP Spend</a:t>
          </a:r>
        </a:p>
        <a:p>
          <a:r>
            <a:rPr lang="en-US" sz="1100" b="0" u="none" baseline="0">
              <a:solidFill>
                <a:schemeClr val="tx1"/>
              </a:solidFill>
              <a:effectLst/>
              <a:latin typeface="+mn-lt"/>
              <a:ea typeface="+mn-ea"/>
              <a:cs typeface="+mn-cs"/>
            </a:rPr>
            <a:t>This tab contains the projected ABP spending.</a:t>
          </a:r>
        </a:p>
        <a:p>
          <a:endParaRPr lang="en-US" sz="1100" b="0" u="none" baseline="0">
            <a:solidFill>
              <a:schemeClr val="tx1"/>
            </a:solidFill>
            <a:effectLst/>
            <a:latin typeface="+mn-lt"/>
            <a:ea typeface="+mn-ea"/>
            <a:cs typeface="+mn-cs"/>
          </a:endParaRPr>
        </a:p>
        <a:p>
          <a:r>
            <a:rPr lang="en-US" sz="1100" b="1" u="sng" baseline="0">
              <a:solidFill>
                <a:schemeClr val="tx1"/>
              </a:solidFill>
              <a:effectLst/>
              <a:latin typeface="+mn-lt"/>
              <a:ea typeface="+mn-ea"/>
              <a:cs typeface="+mn-cs"/>
            </a:rPr>
            <a:t>ABP Under Contract</a:t>
          </a:r>
        </a:p>
        <a:p>
          <a:r>
            <a:rPr lang="en-US" sz="1100" b="0" u="none" baseline="0">
              <a:solidFill>
                <a:schemeClr val="tx1"/>
              </a:solidFill>
              <a:effectLst/>
              <a:latin typeface="+mn-lt"/>
              <a:ea typeface="+mn-ea"/>
              <a:cs typeface="+mn-cs"/>
            </a:rPr>
            <a:t>This tab shows current ABP RECs under contract.</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Total REC Delivery Activities</a:t>
          </a:r>
          <a:endParaRPr lang="en-US">
            <a:effectLst/>
          </a:endParaRPr>
        </a:p>
        <a:p>
          <a:r>
            <a:rPr lang="en-US" sz="1100">
              <a:solidFill>
                <a:schemeClr val="tx1"/>
              </a:solidFill>
              <a:effectLst/>
              <a:latin typeface="+mn-lt"/>
              <a:ea typeface="+mn-ea"/>
              <a:cs typeface="+mn-cs"/>
            </a:rPr>
            <a:t>This tab contains tables showing the REC Delivery Schedule created by each year’s new ABP opening, Utility Wind, Utility Solar and Brownfield Procurement.</a:t>
          </a:r>
          <a:r>
            <a:rPr lang="en-US" sz="1100" baseline="0">
              <a:solidFill>
                <a:schemeClr val="tx1"/>
              </a:solidFill>
              <a:effectLst/>
              <a:latin typeface="+mn-lt"/>
              <a:ea typeface="+mn-ea"/>
              <a:cs typeface="+mn-cs"/>
            </a:rPr>
            <a:t> </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Total REC Spend Activities</a:t>
          </a:r>
          <a:endParaRPr lang="en-US">
            <a:effectLst/>
          </a:endParaRPr>
        </a:p>
        <a:p>
          <a:r>
            <a:rPr lang="en-US" sz="1100">
              <a:solidFill>
                <a:schemeClr val="tx1"/>
              </a:solidFill>
              <a:effectLst/>
              <a:latin typeface="+mn-lt"/>
              <a:ea typeface="+mn-ea"/>
              <a:cs typeface="+mn-cs"/>
            </a:rPr>
            <a:t>This tab contains tables showing the spend created each year by new ABP opening, Utility Wind, Utility Solar and Brownfield Procurements. </a:t>
          </a:r>
        </a:p>
        <a:p>
          <a:endParaRPr lang="en-US" sz="1100">
            <a:solidFill>
              <a:schemeClr val="tx1"/>
            </a:solidFill>
            <a:effectLst/>
            <a:latin typeface="+mn-lt"/>
            <a:ea typeface="+mn-ea"/>
            <a:cs typeface="+mn-cs"/>
          </a:endParaRPr>
        </a:p>
        <a:p>
          <a:r>
            <a:rPr lang="en-US" sz="1100" b="1" u="sng">
              <a:solidFill>
                <a:schemeClr val="tx1"/>
              </a:solidFill>
              <a:effectLst/>
              <a:latin typeface="+mn-lt"/>
              <a:ea typeface="+mn-ea"/>
              <a:cs typeface="+mn-cs"/>
            </a:rPr>
            <a:t>$ Tables and Graphs</a:t>
          </a:r>
          <a:endParaRPr lang="en-US">
            <a:effectLst/>
          </a:endParaRPr>
        </a:p>
        <a:p>
          <a:r>
            <a:rPr lang="en-US" sz="1100">
              <a:solidFill>
                <a:schemeClr val="tx1"/>
              </a:solidFill>
              <a:effectLst/>
              <a:latin typeface="+mn-lt"/>
              <a:ea typeface="+mn-ea"/>
              <a:cs typeface="+mn-cs"/>
            </a:rPr>
            <a:t>This tab contains the RPS Spend Model tables and graphs showing Legacy Programs, In Progress, Proposed in This Plan, Potential Future Activities, and Set Asides (Figure 3-3). The spend data is also broken out by Utility. This data is calculated from the “RPS Spend” Tab.</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Ch.</a:t>
          </a:r>
          <a:r>
            <a:rPr lang="en-US" sz="1100" b="1" u="sng" baseline="0">
              <a:solidFill>
                <a:schemeClr val="tx1"/>
              </a:solidFill>
              <a:effectLst/>
              <a:latin typeface="+mn-lt"/>
              <a:ea typeface="+mn-ea"/>
              <a:cs typeface="+mn-cs"/>
            </a:rPr>
            <a:t> 3 Tables and Graphs</a:t>
          </a:r>
        </a:p>
        <a:p>
          <a:r>
            <a:rPr lang="en-US" sz="1100" b="0" u="none" baseline="0">
              <a:solidFill>
                <a:schemeClr val="tx1"/>
              </a:solidFill>
              <a:effectLst/>
              <a:latin typeface="+mn-lt"/>
              <a:ea typeface="+mn-ea"/>
              <a:cs typeface="+mn-cs"/>
            </a:rPr>
            <a:t>This tab includes Figures for chapter 3 of the Long-term Renewable Resources Procurement Plan.</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12</xdr:col>
      <xdr:colOff>236536</xdr:colOff>
      <xdr:row>108</xdr:row>
      <xdr:rowOff>68265</xdr:rowOff>
    </xdr:from>
    <xdr:to>
      <xdr:col>22</xdr:col>
      <xdr:colOff>404812</xdr:colOff>
      <xdr:row>137</xdr:row>
      <xdr:rowOff>23812</xdr:rowOff>
    </xdr:to>
    <xdr:graphicFrame macro="">
      <xdr:nvGraphicFramePr>
        <xdr:cNvPr id="2" name="Chart 1">
          <a:extLst>
            <a:ext uri="{FF2B5EF4-FFF2-40B4-BE49-F238E27FC236}">
              <a16:creationId xmlns:a16="http://schemas.microsoft.com/office/drawing/2014/main" id="{A8A3553D-86CE-4574-B73E-B7F27B66A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20638</xdr:colOff>
      <xdr:row>30</xdr:row>
      <xdr:rowOff>102393</xdr:rowOff>
    </xdr:from>
    <xdr:to>
      <xdr:col>28</xdr:col>
      <xdr:colOff>268288</xdr:colOff>
      <xdr:row>43</xdr:row>
      <xdr:rowOff>100012</xdr:rowOff>
    </xdr:to>
    <xdr:graphicFrame macro="">
      <xdr:nvGraphicFramePr>
        <xdr:cNvPr id="3" name="Chart 2">
          <a:extLst>
            <a:ext uri="{FF2B5EF4-FFF2-40B4-BE49-F238E27FC236}">
              <a16:creationId xmlns:a16="http://schemas.microsoft.com/office/drawing/2014/main" id="{4BD5608C-10CC-4CD7-BC05-753135277A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369093</xdr:colOff>
      <xdr:row>0</xdr:row>
      <xdr:rowOff>188912</xdr:rowOff>
    </xdr:from>
    <xdr:to>
      <xdr:col>14</xdr:col>
      <xdr:colOff>40481</xdr:colOff>
      <xdr:row>28</xdr:row>
      <xdr:rowOff>11906</xdr:rowOff>
    </xdr:to>
    <xdr:graphicFrame macro="">
      <xdr:nvGraphicFramePr>
        <xdr:cNvPr id="4" name="Chart 3">
          <a:extLst>
            <a:ext uri="{FF2B5EF4-FFF2-40B4-BE49-F238E27FC236}">
              <a16:creationId xmlns:a16="http://schemas.microsoft.com/office/drawing/2014/main" id="{2F03C03D-F4D4-49DE-94E3-BD04B72EC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892968</xdr:colOff>
      <xdr:row>153</xdr:row>
      <xdr:rowOff>98822</xdr:rowOff>
    </xdr:from>
    <xdr:to>
      <xdr:col>25</xdr:col>
      <xdr:colOff>166686</xdr:colOff>
      <xdr:row>184</xdr:row>
      <xdr:rowOff>83344</xdr:rowOff>
    </xdr:to>
    <xdr:graphicFrame macro="">
      <xdr:nvGraphicFramePr>
        <xdr:cNvPr id="7" name="Chart 6">
          <a:extLst>
            <a:ext uri="{FF2B5EF4-FFF2-40B4-BE49-F238E27FC236}">
              <a16:creationId xmlns:a16="http://schemas.microsoft.com/office/drawing/2014/main" id="{01A4F5E9-D336-5E16-9548-37457983C1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30</xdr:col>
      <xdr:colOff>228600</xdr:colOff>
      <xdr:row>2</xdr:row>
      <xdr:rowOff>51857</xdr:rowOff>
    </xdr:from>
    <xdr:to>
      <xdr:col>42</xdr:col>
      <xdr:colOff>255058</xdr:colOff>
      <xdr:row>22</xdr:row>
      <xdr:rowOff>161925</xdr:rowOff>
    </xdr:to>
    <xdr:graphicFrame macro="">
      <xdr:nvGraphicFramePr>
        <xdr:cNvPr id="2" name="Chart 1">
          <a:extLst>
            <a:ext uri="{FF2B5EF4-FFF2-40B4-BE49-F238E27FC236}">
              <a16:creationId xmlns:a16="http://schemas.microsoft.com/office/drawing/2014/main" id="{06F05998-B4E1-4526-83F9-1EB99B0FD2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A17E-D200-4FAE-8680-D980E1C1E70A}">
  <sheetPr>
    <tabColor theme="0"/>
    <pageSetUpPr fitToPage="1"/>
  </sheetPr>
  <dimension ref="A1"/>
  <sheetViews>
    <sheetView showGridLines="0" zoomScale="120" zoomScaleNormal="120" zoomScaleSheetLayoutView="100" workbookViewId="0">
      <selection activeCell="L15" sqref="L15"/>
    </sheetView>
  </sheetViews>
  <sheetFormatPr defaultColWidth="8.54296875" defaultRowHeight="14.5" x14ac:dyDescent="0.35"/>
  <cols>
    <col min="13" max="13" width="11.453125" bestFit="1" customWidth="1"/>
  </cols>
  <sheetData/>
  <printOptions horizontalCentered="1" verticalCentered="1"/>
  <pageMargins left="0.7" right="0.7" top="0.75" bottom="0.75" header="0.3" footer="0.3"/>
  <pageSetup fitToHeight="3" orientation="portrait" r:id="rId1"/>
  <customProperties>
    <customPr name="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76085-826D-4141-AB7F-626D98B67713}">
  <sheetPr>
    <tabColor theme="7" tint="0.59999389629810485"/>
    <pageSetUpPr fitToPage="1"/>
  </sheetPr>
  <dimension ref="A1:U205"/>
  <sheetViews>
    <sheetView topLeftCell="A178" zoomScaleNormal="100" workbookViewId="0">
      <selection activeCell="B186" sqref="B186"/>
    </sheetView>
  </sheetViews>
  <sheetFormatPr defaultColWidth="8.54296875" defaultRowHeight="14.5" x14ac:dyDescent="0.35"/>
  <cols>
    <col min="1" max="1" width="45.1796875" style="19" bestFit="1" customWidth="1"/>
    <col min="2" max="2" width="14.453125" style="19" customWidth="1"/>
    <col min="3" max="4" width="16.54296875" style="19" bestFit="1" customWidth="1"/>
    <col min="5" max="7" width="17" style="19" bestFit="1" customWidth="1"/>
    <col min="8" max="8" width="16.54296875" style="19" bestFit="1" customWidth="1"/>
    <col min="9" max="10" width="17" style="19" bestFit="1" customWidth="1"/>
    <col min="11" max="11" width="16.54296875" style="19" bestFit="1" customWidth="1"/>
    <col min="12" max="12" width="17" style="19" bestFit="1" customWidth="1"/>
    <col min="13" max="13" width="16.54296875" style="19" bestFit="1" customWidth="1"/>
    <col min="14" max="15" width="17" style="19" bestFit="1" customWidth="1"/>
    <col min="16" max="16" width="16.54296875" style="19" bestFit="1" customWidth="1"/>
    <col min="17" max="17" width="16.453125" style="19" bestFit="1" customWidth="1"/>
    <col min="18" max="20" width="17" style="19" bestFit="1" customWidth="1"/>
    <col min="21" max="21" width="15.453125" style="19" bestFit="1" customWidth="1"/>
    <col min="22" max="26" width="13.54296875" style="19" bestFit="1" customWidth="1"/>
    <col min="27" max="34" width="8.54296875" style="19"/>
    <col min="35" max="35" width="8.54296875" style="19" customWidth="1"/>
    <col min="36" max="16382" width="8.54296875" style="19"/>
    <col min="16383" max="16384" width="8.54296875" style="19" bestFit="1"/>
  </cols>
  <sheetData>
    <row r="1" spans="1:21" ht="15.5" x14ac:dyDescent="0.35">
      <c r="A1" s="77" t="s">
        <v>172</v>
      </c>
      <c r="B1" s="77">
        <v>2024</v>
      </c>
      <c r="C1" s="220">
        <v>2025</v>
      </c>
      <c r="D1" s="220">
        <v>2026</v>
      </c>
      <c r="E1" s="220">
        <v>2027</v>
      </c>
      <c r="F1" s="220">
        <v>2028</v>
      </c>
      <c r="G1" s="220">
        <v>2029</v>
      </c>
      <c r="H1" s="220">
        <v>2030</v>
      </c>
      <c r="I1" s="220">
        <v>2031</v>
      </c>
      <c r="J1" s="220">
        <v>2032</v>
      </c>
      <c r="K1" s="220">
        <v>2033</v>
      </c>
      <c r="L1" s="220">
        <v>2034</v>
      </c>
      <c r="M1" s="220">
        <v>2035</v>
      </c>
      <c r="N1" s="220">
        <v>2036</v>
      </c>
      <c r="O1" s="220">
        <v>2037</v>
      </c>
      <c r="P1" s="220">
        <v>2038</v>
      </c>
      <c r="Q1" s="220">
        <v>2039</v>
      </c>
      <c r="R1" s="220">
        <v>2040</v>
      </c>
      <c r="S1" s="220">
        <v>2041</v>
      </c>
      <c r="T1" s="220">
        <v>2042</v>
      </c>
      <c r="U1" s="220">
        <v>2043</v>
      </c>
    </row>
    <row r="2" spans="1:21" x14ac:dyDescent="0.35">
      <c r="A2" s="164" t="s">
        <v>129</v>
      </c>
      <c r="B2" s="164">
        <f>'ABP Future Assumptions'!I6</f>
        <v>0</v>
      </c>
      <c r="C2" s="166"/>
      <c r="D2" s="166"/>
      <c r="E2" s="166"/>
      <c r="F2" s="166"/>
      <c r="G2" s="166"/>
      <c r="H2" s="166"/>
      <c r="I2" s="166"/>
      <c r="J2" s="166"/>
      <c r="K2" s="166"/>
      <c r="L2" s="166"/>
      <c r="M2" s="166"/>
      <c r="N2" s="166"/>
      <c r="O2" s="166"/>
      <c r="P2" s="166"/>
      <c r="Q2" s="166"/>
      <c r="R2" s="166"/>
      <c r="S2" s="166"/>
      <c r="T2" s="166"/>
      <c r="U2" s="166"/>
    </row>
    <row r="3" spans="1:21" x14ac:dyDescent="0.35">
      <c r="A3" s="164" t="s">
        <v>135</v>
      </c>
      <c r="B3" s="166">
        <f>'ABP Future Assumptions'!I13*0.15</f>
        <v>6634162.8171102703</v>
      </c>
      <c r="C3" s="166">
        <f>('ABP Future Assumptions'!I13-'Projected ABP Spend'!B3)/6</f>
        <v>6265598.2161597004</v>
      </c>
      <c r="D3" s="166">
        <f>C3</f>
        <v>6265598.2161597004</v>
      </c>
      <c r="E3" s="166">
        <f>D3</f>
        <v>6265598.2161597004</v>
      </c>
      <c r="F3" s="166">
        <f>E3</f>
        <v>6265598.2161597004</v>
      </c>
      <c r="G3" s="166">
        <f>F3</f>
        <v>6265598.2161597004</v>
      </c>
      <c r="H3" s="166">
        <f>G3</f>
        <v>6265598.2161597004</v>
      </c>
      <c r="J3" s="166"/>
      <c r="K3" s="166"/>
      <c r="L3" s="166"/>
      <c r="M3" s="166"/>
      <c r="N3" s="166"/>
      <c r="O3" s="166"/>
      <c r="P3" s="166"/>
      <c r="Q3" s="166"/>
      <c r="R3" s="166"/>
      <c r="S3" s="166"/>
      <c r="T3" s="166"/>
      <c r="U3" s="166"/>
    </row>
    <row r="4" spans="1:21" x14ac:dyDescent="0.35">
      <c r="A4" s="164" t="s">
        <v>144</v>
      </c>
      <c r="B4" s="164"/>
      <c r="C4" s="166">
        <f>'ABP Future Assumptions'!I26/20</f>
        <v>0</v>
      </c>
      <c r="D4" s="166">
        <f>C4*0.995</f>
        <v>0</v>
      </c>
      <c r="E4" s="166">
        <f t="shared" ref="E4:U4" si="0">D4*0.995</f>
        <v>0</v>
      </c>
      <c r="F4" s="166">
        <f t="shared" si="0"/>
        <v>0</v>
      </c>
      <c r="G4" s="166">
        <f t="shared" si="0"/>
        <v>0</v>
      </c>
      <c r="H4" s="166">
        <f t="shared" si="0"/>
        <v>0</v>
      </c>
      <c r="I4" s="166">
        <f t="shared" si="0"/>
        <v>0</v>
      </c>
      <c r="J4" s="166">
        <f t="shared" si="0"/>
        <v>0</v>
      </c>
      <c r="K4" s="166">
        <f t="shared" si="0"/>
        <v>0</v>
      </c>
      <c r="L4" s="166">
        <f t="shared" si="0"/>
        <v>0</v>
      </c>
      <c r="M4" s="166">
        <f t="shared" si="0"/>
        <v>0</v>
      </c>
      <c r="N4" s="166">
        <f t="shared" si="0"/>
        <v>0</v>
      </c>
      <c r="O4" s="166">
        <f t="shared" si="0"/>
        <v>0</v>
      </c>
      <c r="P4" s="166">
        <f t="shared" si="0"/>
        <v>0</v>
      </c>
      <c r="Q4" s="166">
        <f t="shared" si="0"/>
        <v>0</v>
      </c>
      <c r="R4" s="166">
        <f t="shared" si="0"/>
        <v>0</v>
      </c>
      <c r="S4" s="166">
        <f t="shared" si="0"/>
        <v>0</v>
      </c>
      <c r="T4" s="166">
        <f t="shared" si="0"/>
        <v>0</v>
      </c>
      <c r="U4" s="166">
        <f t="shared" si="0"/>
        <v>0</v>
      </c>
    </row>
    <row r="5" spans="1:21" x14ac:dyDescent="0.35">
      <c r="A5" s="164" t="s">
        <v>149</v>
      </c>
      <c r="B5" s="164"/>
      <c r="C5" s="166">
        <f>'ABP Future Assumptions'!I43/20</f>
        <v>14147784.780684683</v>
      </c>
      <c r="D5" s="166">
        <f>C5*0.995</f>
        <v>14077045.856781259</v>
      </c>
      <c r="E5" s="166">
        <f>D5*0.995</f>
        <v>14006660.627497353</v>
      </c>
      <c r="F5" s="166">
        <f t="shared" ref="F5:U5" si="1">E5*0.995</f>
        <v>13936627.324359866</v>
      </c>
      <c r="G5" s="166">
        <f t="shared" si="1"/>
        <v>13866944.187738067</v>
      </c>
      <c r="H5" s="166">
        <f t="shared" si="1"/>
        <v>13797609.466799377</v>
      </c>
      <c r="I5" s="166">
        <f t="shared" si="1"/>
        <v>13728621.41946538</v>
      </c>
      <c r="J5" s="166">
        <f t="shared" si="1"/>
        <v>13659978.312368052</v>
      </c>
      <c r="K5" s="166">
        <f t="shared" si="1"/>
        <v>13591678.420806212</v>
      </c>
      <c r="L5" s="166">
        <f t="shared" si="1"/>
        <v>13523720.028702181</v>
      </c>
      <c r="M5" s="166">
        <f t="shared" si="1"/>
        <v>13456101.42855867</v>
      </c>
      <c r="N5" s="166">
        <f t="shared" si="1"/>
        <v>13388820.921415877</v>
      </c>
      <c r="O5" s="166">
        <f t="shared" si="1"/>
        <v>13321876.816808797</v>
      </c>
      <c r="P5" s="166">
        <f t="shared" si="1"/>
        <v>13255267.432724753</v>
      </c>
      <c r="Q5" s="166">
        <f t="shared" si="1"/>
        <v>13188991.09556113</v>
      </c>
      <c r="R5" s="166">
        <f t="shared" si="1"/>
        <v>13123046.140083324</v>
      </c>
      <c r="S5" s="166">
        <f t="shared" si="1"/>
        <v>13057430.909382908</v>
      </c>
      <c r="T5" s="166">
        <f t="shared" si="1"/>
        <v>12992143.754835993</v>
      </c>
      <c r="U5" s="166">
        <f t="shared" si="1"/>
        <v>12927183.036061812</v>
      </c>
    </row>
    <row r="6" spans="1:21" x14ac:dyDescent="0.35">
      <c r="A6" s="164" t="s">
        <v>153</v>
      </c>
      <c r="B6" s="166">
        <f>'ABP Future Assumptions'!I59*0.15</f>
        <v>0</v>
      </c>
      <c r="C6" s="166">
        <f>('ABP Future Assumptions'!I59-'Projected ABP Spend'!B6)/6</f>
        <v>0</v>
      </c>
      <c r="D6" s="166">
        <f>C6</f>
        <v>0</v>
      </c>
      <c r="E6" s="166">
        <f t="shared" ref="D6:H7" si="2">D6</f>
        <v>0</v>
      </c>
      <c r="F6" s="166">
        <f t="shared" si="2"/>
        <v>0</v>
      </c>
      <c r="G6" s="166">
        <f t="shared" si="2"/>
        <v>0</v>
      </c>
      <c r="H6" s="166">
        <f t="shared" si="2"/>
        <v>0</v>
      </c>
      <c r="I6" s="166"/>
      <c r="J6" s="166"/>
      <c r="K6" s="166"/>
      <c r="L6" s="166"/>
      <c r="M6" s="166"/>
      <c r="N6" s="166"/>
      <c r="O6" s="166"/>
      <c r="P6" s="166"/>
      <c r="Q6" s="166"/>
      <c r="R6" s="166"/>
      <c r="S6" s="166"/>
      <c r="T6" s="166"/>
      <c r="U6" s="166"/>
    </row>
    <row r="7" spans="1:21" x14ac:dyDescent="0.35">
      <c r="A7" s="164" t="s">
        <v>156</v>
      </c>
      <c r="B7" s="166">
        <f>'ABP Future Assumptions'!I75*0.15</f>
        <v>0</v>
      </c>
      <c r="C7" s="166">
        <f>('ABP Future Assumptions'!I75-'Projected ABP Spend'!B7)/6</f>
        <v>0</v>
      </c>
      <c r="D7" s="166">
        <f t="shared" si="2"/>
        <v>0</v>
      </c>
      <c r="E7" s="166">
        <f t="shared" si="2"/>
        <v>0</v>
      </c>
      <c r="F7" s="166">
        <f t="shared" si="2"/>
        <v>0</v>
      </c>
      <c r="G7" s="166">
        <f t="shared" si="2"/>
        <v>0</v>
      </c>
      <c r="H7" s="166">
        <f t="shared" si="2"/>
        <v>0</v>
      </c>
      <c r="I7" s="166"/>
      <c r="J7" s="166"/>
      <c r="K7" s="166"/>
      <c r="L7" s="166"/>
      <c r="M7" s="166"/>
      <c r="N7" s="166"/>
      <c r="O7" s="166"/>
      <c r="P7" s="166"/>
      <c r="Q7" s="166"/>
      <c r="R7" s="166"/>
      <c r="S7" s="166"/>
      <c r="T7" s="166"/>
      <c r="U7" s="166"/>
    </row>
    <row r="8" spans="1:21" x14ac:dyDescent="0.35">
      <c r="A8" s="163" t="s">
        <v>103</v>
      </c>
      <c r="B8" s="18">
        <f t="shared" ref="B8:T8" si="3">SUM(B2:B7)</f>
        <v>6634162.8171102703</v>
      </c>
      <c r="C8" s="18">
        <f t="shared" si="3"/>
        <v>20413382.996844385</v>
      </c>
      <c r="D8" s="18">
        <f t="shared" si="3"/>
        <v>20342644.072940961</v>
      </c>
      <c r="E8" s="18">
        <f t="shared" si="3"/>
        <v>20272258.843657054</v>
      </c>
      <c r="F8" s="18">
        <f t="shared" si="3"/>
        <v>20202225.540519565</v>
      </c>
      <c r="G8" s="18">
        <f t="shared" si="3"/>
        <v>20132542.403897766</v>
      </c>
      <c r="H8" s="18">
        <f t="shared" si="3"/>
        <v>20063207.682959076</v>
      </c>
      <c r="I8" s="18">
        <f t="shared" si="3"/>
        <v>13728621.41946538</v>
      </c>
      <c r="J8" s="18">
        <f t="shared" si="3"/>
        <v>13659978.312368052</v>
      </c>
      <c r="K8" s="18">
        <f t="shared" si="3"/>
        <v>13591678.420806212</v>
      </c>
      <c r="L8" s="18">
        <f t="shared" si="3"/>
        <v>13523720.028702181</v>
      </c>
      <c r="M8" s="18">
        <f t="shared" si="3"/>
        <v>13456101.42855867</v>
      </c>
      <c r="N8" s="18">
        <f t="shared" si="3"/>
        <v>13388820.921415877</v>
      </c>
      <c r="O8" s="18">
        <f t="shared" si="3"/>
        <v>13321876.816808797</v>
      </c>
      <c r="P8" s="18">
        <f t="shared" si="3"/>
        <v>13255267.432724753</v>
      </c>
      <c r="Q8" s="18">
        <f t="shared" si="3"/>
        <v>13188991.09556113</v>
      </c>
      <c r="R8" s="18">
        <f t="shared" si="3"/>
        <v>13123046.140083324</v>
      </c>
      <c r="S8" s="18">
        <f t="shared" si="3"/>
        <v>13057430.909382908</v>
      </c>
      <c r="T8" s="18">
        <f t="shared" si="3"/>
        <v>12992143.754835993</v>
      </c>
      <c r="U8" s="18">
        <f t="shared" ref="U8" si="4">SUM(U2:U7)</f>
        <v>12927183.036061812</v>
      </c>
    </row>
    <row r="9" spans="1:21" x14ac:dyDescent="0.35">
      <c r="A9" s="163"/>
      <c r="B9" s="163"/>
      <c r="C9" s="18"/>
      <c r="D9" s="18"/>
      <c r="E9" s="18"/>
      <c r="F9" s="18"/>
      <c r="G9" s="18"/>
      <c r="H9" s="18"/>
      <c r="I9" s="18"/>
      <c r="J9" s="18"/>
      <c r="K9" s="18"/>
      <c r="L9" s="18"/>
      <c r="M9" s="18"/>
      <c r="N9" s="18"/>
      <c r="O9" s="18"/>
      <c r="P9" s="18"/>
      <c r="Q9" s="18"/>
      <c r="R9" s="18"/>
      <c r="S9" s="18"/>
      <c r="T9" s="18"/>
      <c r="U9" s="18"/>
    </row>
    <row r="10" spans="1:21" ht="15.5" x14ac:dyDescent="0.35">
      <c r="A10" s="77">
        <v>2024</v>
      </c>
      <c r="B10" s="220">
        <v>2024</v>
      </c>
      <c r="C10" s="220">
        <v>2025</v>
      </c>
      <c r="D10" s="220">
        <v>2026</v>
      </c>
      <c r="E10" s="220">
        <v>2027</v>
      </c>
      <c r="F10" s="220">
        <v>2028</v>
      </c>
      <c r="G10" s="220">
        <v>2029</v>
      </c>
      <c r="H10" s="220">
        <v>2030</v>
      </c>
      <c r="I10" s="220">
        <v>2031</v>
      </c>
      <c r="J10" s="220">
        <v>2032</v>
      </c>
      <c r="K10" s="220">
        <v>2033</v>
      </c>
      <c r="L10" s="220">
        <v>2034</v>
      </c>
      <c r="M10" s="220">
        <v>2035</v>
      </c>
      <c r="N10" s="220">
        <v>2036</v>
      </c>
      <c r="O10" s="220">
        <v>2037</v>
      </c>
      <c r="P10" s="220">
        <v>2038</v>
      </c>
      <c r="Q10" s="220">
        <v>2039</v>
      </c>
      <c r="R10" s="220">
        <v>2040</v>
      </c>
      <c r="S10" s="220">
        <v>2041</v>
      </c>
      <c r="T10" s="220">
        <v>2042</v>
      </c>
      <c r="U10" s="220">
        <v>2043</v>
      </c>
    </row>
    <row r="11" spans="1:21" x14ac:dyDescent="0.35">
      <c r="A11" s="164" t="s">
        <v>129</v>
      </c>
      <c r="B11" s="164"/>
      <c r="C11" s="166">
        <f>'24-25 ABP Summary'!B11</f>
        <v>160339848.81633624</v>
      </c>
      <c r="D11" s="166">
        <f>'24-25 ABP Summary'!C11</f>
        <v>0</v>
      </c>
      <c r="E11" s="166">
        <f>'24-25 ABP Summary'!D11</f>
        <v>0</v>
      </c>
      <c r="F11" s="166">
        <f>'24-25 ABP Summary'!E11</f>
        <v>0</v>
      </c>
      <c r="G11" s="166">
        <f>'24-25 ABP Summary'!F11</f>
        <v>0</v>
      </c>
      <c r="H11" s="166">
        <f>'24-25 ABP Summary'!G11</f>
        <v>0</v>
      </c>
      <c r="I11" s="166">
        <f>'24-25 ABP Summary'!H11</f>
        <v>0</v>
      </c>
      <c r="J11" s="166">
        <f>'24-25 ABP Summary'!I11</f>
        <v>0</v>
      </c>
      <c r="K11" s="166">
        <f>'24-25 ABP Summary'!J11</f>
        <v>0</v>
      </c>
      <c r="L11" s="166">
        <f>'24-25 ABP Summary'!K11</f>
        <v>0</v>
      </c>
      <c r="M11" s="166">
        <f>'24-25 ABP Summary'!L11</f>
        <v>0</v>
      </c>
      <c r="N11" s="166">
        <f>'24-25 ABP Summary'!M11</f>
        <v>0</v>
      </c>
      <c r="O11" s="166">
        <f>'24-25 ABP Summary'!N11</f>
        <v>0</v>
      </c>
      <c r="P11" s="166">
        <f>'24-25 ABP Summary'!O11</f>
        <v>0</v>
      </c>
      <c r="Q11" s="166">
        <f>'24-25 ABP Summary'!P11</f>
        <v>0</v>
      </c>
      <c r="R11" s="166">
        <f>'24-25 ABP Summary'!Q11</f>
        <v>0</v>
      </c>
      <c r="S11" s="166">
        <f>'24-25 ABP Summary'!R11</f>
        <v>0</v>
      </c>
      <c r="T11" s="166">
        <f>'24-25 ABP Summary'!S11</f>
        <v>0</v>
      </c>
      <c r="U11" s="166">
        <f>'24-25 ABP Summary'!T11</f>
        <v>0</v>
      </c>
    </row>
    <row r="12" spans="1:21" x14ac:dyDescent="0.35">
      <c r="A12" s="164" t="s">
        <v>135</v>
      </c>
      <c r="B12" s="164"/>
      <c r="C12" s="166">
        <f>'24-25 ABP Summary'!B12</f>
        <v>16741207.534772398</v>
      </c>
      <c r="D12" s="166">
        <f>'24-25 ABP Summary'!C12</f>
        <v>15811140.449507266</v>
      </c>
      <c r="E12" s="166">
        <f>'24-25 ABP Summary'!D12</f>
        <v>15811140.449507266</v>
      </c>
      <c r="F12" s="166">
        <f>'24-25 ABP Summary'!E12</f>
        <v>15811140.449507266</v>
      </c>
      <c r="G12" s="166">
        <f>'24-25 ABP Summary'!F12</f>
        <v>15811140.449507266</v>
      </c>
      <c r="H12" s="166">
        <f>'24-25 ABP Summary'!G12</f>
        <v>15811140.449507266</v>
      </c>
      <c r="I12" s="166">
        <f>'24-25 ABP Summary'!H12</f>
        <v>15811140.449507266</v>
      </c>
      <c r="J12" s="166">
        <f>'24-25 ABP Summary'!I12</f>
        <v>0</v>
      </c>
      <c r="K12" s="166">
        <f>'24-25 ABP Summary'!J12</f>
        <v>0</v>
      </c>
      <c r="L12" s="166">
        <f>'24-25 ABP Summary'!K12</f>
        <v>0</v>
      </c>
      <c r="M12" s="166">
        <f>'24-25 ABP Summary'!L12</f>
        <v>0</v>
      </c>
      <c r="N12" s="166">
        <f>'24-25 ABP Summary'!M12</f>
        <v>0</v>
      </c>
      <c r="O12" s="166">
        <f>'24-25 ABP Summary'!N12</f>
        <v>0</v>
      </c>
      <c r="P12" s="166">
        <f>'24-25 ABP Summary'!O12</f>
        <v>0</v>
      </c>
      <c r="Q12" s="166">
        <f>'24-25 ABP Summary'!P12</f>
        <v>0</v>
      </c>
      <c r="R12" s="166">
        <f>'24-25 ABP Summary'!Q12</f>
        <v>0</v>
      </c>
      <c r="S12" s="166">
        <f>'24-25 ABP Summary'!R12</f>
        <v>0</v>
      </c>
      <c r="T12" s="166">
        <f>'24-25 ABP Summary'!S12</f>
        <v>0</v>
      </c>
      <c r="U12" s="166">
        <f>'24-25 ABP Summary'!T12</f>
        <v>0</v>
      </c>
    </row>
    <row r="13" spans="1:21" x14ac:dyDescent="0.35">
      <c r="A13" s="164" t="s">
        <v>144</v>
      </c>
      <c r="B13" s="164"/>
      <c r="C13" s="166">
        <f>'24-25 ABP Summary'!B13</f>
        <v>0</v>
      </c>
      <c r="D13" s="166">
        <f>'24-25 ABP Summary'!C13</f>
        <v>13809309.912177913</v>
      </c>
      <c r="E13" s="166">
        <f>'24-25 ABP Summary'!D13</f>
        <v>13740263.362617023</v>
      </c>
      <c r="F13" s="166">
        <f>'24-25 ABP Summary'!E13</f>
        <v>13671562.045803938</v>
      </c>
      <c r="G13" s="166">
        <f>'24-25 ABP Summary'!F13</f>
        <v>13603204.23557492</v>
      </c>
      <c r="H13" s="166">
        <f>'24-25 ABP Summary'!G13</f>
        <v>13535188.214397043</v>
      </c>
      <c r="I13" s="166">
        <f>'24-25 ABP Summary'!H13</f>
        <v>13467512.273325058</v>
      </c>
      <c r="J13" s="166">
        <f>'24-25 ABP Summary'!I13</f>
        <v>13400174.711958434</v>
      </c>
      <c r="K13" s="166">
        <f>'24-25 ABP Summary'!J13</f>
        <v>13333173.838398643</v>
      </c>
      <c r="L13" s="166">
        <f>'24-25 ABP Summary'!K13</f>
        <v>13266507.969206648</v>
      </c>
      <c r="M13" s="166">
        <f>'24-25 ABP Summary'!L13</f>
        <v>13200175.429360615</v>
      </c>
      <c r="N13" s="166">
        <f>'24-25 ABP Summary'!M13</f>
        <v>13134174.55221381</v>
      </c>
      <c r="O13" s="166">
        <f>'24-25 ABP Summary'!N13</f>
        <v>13068503.67945274</v>
      </c>
      <c r="P13" s="166">
        <f>'24-25 ABP Summary'!O13</f>
        <v>13003161.161055477</v>
      </c>
      <c r="Q13" s="166">
        <f>'24-25 ABP Summary'!P13</f>
        <v>12938145.355250198</v>
      </c>
      <c r="R13" s="166">
        <f>'24-25 ABP Summary'!Q13</f>
        <v>12873454.628473949</v>
      </c>
      <c r="S13" s="166">
        <f>'24-25 ABP Summary'!R13</f>
        <v>12809087.355331577</v>
      </c>
      <c r="T13" s="166">
        <f>'24-25 ABP Summary'!S13</f>
        <v>12745041.918554921</v>
      </c>
      <c r="U13" s="166">
        <f>'24-25 ABP Summary'!T13</f>
        <v>12681316.708962146</v>
      </c>
    </row>
    <row r="14" spans="1:21" x14ac:dyDescent="0.35">
      <c r="A14" s="164" t="s">
        <v>149</v>
      </c>
      <c r="B14" s="164"/>
      <c r="C14" s="166">
        <f>'24-25 ABP Summary'!B14</f>
        <v>8601833.8951314129</v>
      </c>
      <c r="D14" s="166">
        <f>'24-25 ABP Summary'!C14</f>
        <v>8558824.725655755</v>
      </c>
      <c r="E14" s="166">
        <f>'24-25 ABP Summary'!D14</f>
        <v>8516030.6020274758</v>
      </c>
      <c r="F14" s="166">
        <f>'24-25 ABP Summary'!E14</f>
        <v>8473450.4490173385</v>
      </c>
      <c r="G14" s="166">
        <f>'24-25 ABP Summary'!F14</f>
        <v>8431083.1967722513</v>
      </c>
      <c r="H14" s="166">
        <f>'24-25 ABP Summary'!G14</f>
        <v>8388927.78078839</v>
      </c>
      <c r="I14" s="166">
        <f>'24-25 ABP Summary'!H14</f>
        <v>8346983.141884448</v>
      </c>
      <c r="J14" s="166">
        <f>'24-25 ABP Summary'!I14</f>
        <v>8305248.2261750251</v>
      </c>
      <c r="K14" s="166">
        <f>'24-25 ABP Summary'!J14</f>
        <v>8263721.9850441515</v>
      </c>
      <c r="L14" s="166">
        <f>'24-25 ABP Summary'!K14</f>
        <v>8222403.375118929</v>
      </c>
      <c r="M14" s="166">
        <f>'24-25 ABP Summary'!L14</f>
        <v>8181291.358243335</v>
      </c>
      <c r="N14" s="166">
        <f>'24-25 ABP Summary'!M14</f>
        <v>8140384.9014521195</v>
      </c>
      <c r="O14" s="166">
        <f>'24-25 ABP Summary'!N14</f>
        <v>8099682.9769448582</v>
      </c>
      <c r="P14" s="166">
        <f>'24-25 ABP Summary'!O14</f>
        <v>8059184.5620601336</v>
      </c>
      <c r="Q14" s="166">
        <f>'24-25 ABP Summary'!P14</f>
        <v>8018888.6392498324</v>
      </c>
      <c r="R14" s="166">
        <f>'24-25 ABP Summary'!Q14</f>
        <v>7978794.1960535841</v>
      </c>
      <c r="S14" s="166">
        <f>'24-25 ABP Summary'!R14</f>
        <v>7938900.2250733171</v>
      </c>
      <c r="T14" s="166">
        <f>'24-25 ABP Summary'!S14</f>
        <v>7899205.7239479488</v>
      </c>
      <c r="U14" s="166">
        <f>'24-25 ABP Summary'!T14</f>
        <v>7859709.6953282095</v>
      </c>
    </row>
    <row r="15" spans="1:21" x14ac:dyDescent="0.35">
      <c r="A15" s="164" t="s">
        <v>153</v>
      </c>
      <c r="B15" s="164"/>
      <c r="C15" s="166">
        <f>'24-25 ABP Summary'!B15</f>
        <v>0</v>
      </c>
      <c r="D15" s="166">
        <f>'24-25 ABP Summary'!C15</f>
        <v>5636343.3831327278</v>
      </c>
      <c r="E15" s="166">
        <f>'24-25 ABP Summary'!D15</f>
        <v>5323213.1951809097</v>
      </c>
      <c r="F15" s="166">
        <f>'24-25 ABP Summary'!E15</f>
        <v>5323213.1951809097</v>
      </c>
      <c r="G15" s="166">
        <f>'24-25 ABP Summary'!F15</f>
        <v>5323213.1951809097</v>
      </c>
      <c r="H15" s="166">
        <f>'24-25 ABP Summary'!G15</f>
        <v>5323213.1951809097</v>
      </c>
      <c r="I15" s="166">
        <f>'24-25 ABP Summary'!H15</f>
        <v>5323213.1951809097</v>
      </c>
      <c r="J15" s="166">
        <f>'24-25 ABP Summary'!I15</f>
        <v>5323213.1951809097</v>
      </c>
      <c r="K15" s="166">
        <f>'24-25 ABP Summary'!J15</f>
        <v>0</v>
      </c>
      <c r="L15" s="166">
        <f>'24-25 ABP Summary'!K15</f>
        <v>0</v>
      </c>
      <c r="M15" s="166">
        <f>'24-25 ABP Summary'!L15</f>
        <v>0</v>
      </c>
      <c r="N15" s="166">
        <f>'24-25 ABP Summary'!M15</f>
        <v>0</v>
      </c>
      <c r="O15" s="166">
        <f>'24-25 ABP Summary'!N15</f>
        <v>0</v>
      </c>
      <c r="P15" s="166">
        <f>'24-25 ABP Summary'!O15</f>
        <v>0</v>
      </c>
      <c r="Q15" s="166">
        <f>'24-25 ABP Summary'!P15</f>
        <v>0</v>
      </c>
      <c r="R15" s="166">
        <f>'24-25 ABP Summary'!Q15</f>
        <v>0</v>
      </c>
      <c r="S15" s="166">
        <f>'24-25 ABP Summary'!R15</f>
        <v>0</v>
      </c>
      <c r="T15" s="166">
        <f>'24-25 ABP Summary'!S15</f>
        <v>0</v>
      </c>
      <c r="U15" s="166">
        <f>'24-25 ABP Summary'!T15</f>
        <v>0</v>
      </c>
    </row>
    <row r="16" spans="1:21" x14ac:dyDescent="0.35">
      <c r="A16" s="164" t="s">
        <v>156</v>
      </c>
      <c r="B16" s="164"/>
      <c r="C16" s="166">
        <f>'24-25 ABP Summary'!B16</f>
        <v>18601341.705302659</v>
      </c>
      <c r="D16" s="166">
        <f>'24-25 ABP Summary'!C16</f>
        <v>17567933.832785849</v>
      </c>
      <c r="E16" s="166">
        <f>'24-25 ABP Summary'!D16</f>
        <v>17567933.832785849</v>
      </c>
      <c r="F16" s="166">
        <f>'24-25 ABP Summary'!E16</f>
        <v>17567933.832785849</v>
      </c>
      <c r="G16" s="166">
        <f>'24-25 ABP Summary'!F16</f>
        <v>17567933.832785849</v>
      </c>
      <c r="H16" s="166">
        <f>'24-25 ABP Summary'!G16</f>
        <v>17567933.832785849</v>
      </c>
      <c r="I16" s="166">
        <f>'24-25 ABP Summary'!H16</f>
        <v>17567933.832785849</v>
      </c>
      <c r="J16" s="166">
        <f>'24-25 ABP Summary'!I16</f>
        <v>0</v>
      </c>
      <c r="K16" s="166">
        <f>'24-25 ABP Summary'!J16</f>
        <v>0</v>
      </c>
      <c r="L16" s="166">
        <f>'24-25 ABP Summary'!K16</f>
        <v>0</v>
      </c>
      <c r="M16" s="166">
        <f>'24-25 ABP Summary'!L16</f>
        <v>0</v>
      </c>
      <c r="N16" s="166">
        <f>'24-25 ABP Summary'!M16</f>
        <v>0</v>
      </c>
      <c r="O16" s="166">
        <f>'24-25 ABP Summary'!N16</f>
        <v>0</v>
      </c>
      <c r="P16" s="166">
        <f>'24-25 ABP Summary'!O16</f>
        <v>0</v>
      </c>
      <c r="Q16" s="166">
        <f>'24-25 ABP Summary'!P16</f>
        <v>0</v>
      </c>
      <c r="R16" s="166">
        <f>'24-25 ABP Summary'!Q16</f>
        <v>0</v>
      </c>
      <c r="S16" s="166">
        <f>'24-25 ABP Summary'!R16</f>
        <v>0</v>
      </c>
      <c r="T16" s="166">
        <f>'24-25 ABP Summary'!S16</f>
        <v>0</v>
      </c>
      <c r="U16" s="166">
        <f>'24-25 ABP Summary'!T16</f>
        <v>0</v>
      </c>
    </row>
    <row r="17" spans="1:21" x14ac:dyDescent="0.35">
      <c r="A17" s="163" t="s">
        <v>103</v>
      </c>
      <c r="B17" s="163"/>
      <c r="C17" s="18">
        <f t="shared" ref="C17:T17" si="5">SUM(C11:C16)</f>
        <v>204284231.95154271</v>
      </c>
      <c r="D17" s="18">
        <f t="shared" si="5"/>
        <v>61383552.303259507</v>
      </c>
      <c r="E17" s="18">
        <f t="shared" si="5"/>
        <v>60958581.442118526</v>
      </c>
      <c r="F17" s="18">
        <f t="shared" si="5"/>
        <v>60847299.972295299</v>
      </c>
      <c r="G17" s="18">
        <f t="shared" si="5"/>
        <v>60736574.909821197</v>
      </c>
      <c r="H17" s="18">
        <f t="shared" si="5"/>
        <v>60626403.472659454</v>
      </c>
      <c r="I17" s="18">
        <f t="shared" si="5"/>
        <v>60516782.892683521</v>
      </c>
      <c r="J17" s="18">
        <f t="shared" si="5"/>
        <v>27028636.133314371</v>
      </c>
      <c r="K17" s="18">
        <f t="shared" si="5"/>
        <v>21596895.823442794</v>
      </c>
      <c r="L17" s="18">
        <f t="shared" si="5"/>
        <v>21488911.344325576</v>
      </c>
      <c r="M17" s="18">
        <f t="shared" si="5"/>
        <v>21381466.787603952</v>
      </c>
      <c r="N17" s="18">
        <f t="shared" si="5"/>
        <v>21274559.453665931</v>
      </c>
      <c r="O17" s="18">
        <f t="shared" si="5"/>
        <v>21168186.656397596</v>
      </c>
      <c r="P17" s="18">
        <f t="shared" si="5"/>
        <v>21062345.723115612</v>
      </c>
      <c r="Q17" s="18">
        <f t="shared" si="5"/>
        <v>20957033.99450003</v>
      </c>
      <c r="R17" s="18">
        <f t="shared" si="5"/>
        <v>20852248.824527532</v>
      </c>
      <c r="S17" s="18">
        <f t="shared" si="5"/>
        <v>20747987.580404893</v>
      </c>
      <c r="T17" s="18">
        <f t="shared" si="5"/>
        <v>20644247.64250287</v>
      </c>
      <c r="U17" s="18">
        <f t="shared" ref="U17" si="6">SUM(U11:U16)</f>
        <v>20541026.404290356</v>
      </c>
    </row>
    <row r="19" spans="1:21" ht="15.5" x14ac:dyDescent="0.35">
      <c r="A19" s="77">
        <v>2025</v>
      </c>
      <c r="B19" s="220">
        <v>2024</v>
      </c>
      <c r="C19" s="220">
        <v>2025</v>
      </c>
      <c r="D19" s="220">
        <v>2026</v>
      </c>
      <c r="E19" s="220">
        <v>2027</v>
      </c>
      <c r="F19" s="220">
        <v>2028</v>
      </c>
      <c r="G19" s="220">
        <v>2029</v>
      </c>
      <c r="H19" s="220">
        <v>2030</v>
      </c>
      <c r="I19" s="220">
        <v>2031</v>
      </c>
      <c r="J19" s="220">
        <v>2032</v>
      </c>
      <c r="K19" s="220">
        <v>2033</v>
      </c>
      <c r="L19" s="220">
        <v>2034</v>
      </c>
      <c r="M19" s="220">
        <v>2035</v>
      </c>
      <c r="N19" s="220">
        <v>2036</v>
      </c>
      <c r="O19" s="220">
        <v>2037</v>
      </c>
      <c r="P19" s="220">
        <v>2038</v>
      </c>
      <c r="Q19" s="220">
        <v>2039</v>
      </c>
      <c r="R19" s="220">
        <v>2040</v>
      </c>
      <c r="S19" s="220">
        <v>2041</v>
      </c>
      <c r="T19" s="220">
        <v>2042</v>
      </c>
      <c r="U19" s="220">
        <v>2043</v>
      </c>
    </row>
    <row r="20" spans="1:21" x14ac:dyDescent="0.35">
      <c r="A20" s="164" t="s">
        <v>129</v>
      </c>
      <c r="B20" s="164"/>
      <c r="C20" s="166"/>
      <c r="D20" s="166">
        <f>C11*'ABP Future Assumptions'!$B$93</f>
        <v>153926254.86368278</v>
      </c>
      <c r="E20" s="166">
        <f>D11*'ABP Future Assumptions'!$B$93</f>
        <v>0</v>
      </c>
      <c r="F20" s="166">
        <f>E11*'ABP Future Assumptions'!$B$93</f>
        <v>0</v>
      </c>
      <c r="G20" s="166">
        <f>F11*'ABP Future Assumptions'!$B$93</f>
        <v>0</v>
      </c>
      <c r="H20" s="166">
        <f>G11*'ABP Future Assumptions'!$B$93</f>
        <v>0</v>
      </c>
      <c r="I20" s="166">
        <f>H11*'ABP Future Assumptions'!$B$93</f>
        <v>0</v>
      </c>
      <c r="J20" s="166">
        <f>I11*'ABP Future Assumptions'!$B$93</f>
        <v>0</v>
      </c>
      <c r="K20" s="166">
        <f>J11*'ABP Future Assumptions'!$B$93</f>
        <v>0</v>
      </c>
      <c r="L20" s="166">
        <f>K11*'ABP Future Assumptions'!$B$93</f>
        <v>0</v>
      </c>
      <c r="M20" s="166">
        <f>L11*'ABP Future Assumptions'!$B$93</f>
        <v>0</v>
      </c>
      <c r="N20" s="166">
        <f>M11*'ABP Future Assumptions'!$B$93</f>
        <v>0</v>
      </c>
      <c r="O20" s="166">
        <f>N11*'ABP Future Assumptions'!$B$93</f>
        <v>0</v>
      </c>
      <c r="P20" s="166">
        <f>O11*'ABP Future Assumptions'!$B$93</f>
        <v>0</v>
      </c>
      <c r="Q20" s="166">
        <f>P11*'ABP Future Assumptions'!$B$93</f>
        <v>0</v>
      </c>
      <c r="R20" s="166">
        <f>Q11*'ABP Future Assumptions'!$B$93</f>
        <v>0</v>
      </c>
      <c r="S20" s="166">
        <f>R11*'ABP Future Assumptions'!$B$93</f>
        <v>0</v>
      </c>
      <c r="T20" s="166">
        <f>S11*'ABP Future Assumptions'!$B$93</f>
        <v>0</v>
      </c>
      <c r="U20" s="166">
        <f>T11*'ABP Future Assumptions'!$B$93</f>
        <v>0</v>
      </c>
    </row>
    <row r="21" spans="1:21" x14ac:dyDescent="0.35">
      <c r="A21" s="164" t="s">
        <v>135</v>
      </c>
      <c r="B21" s="164"/>
      <c r="C21" s="166"/>
      <c r="D21" s="166">
        <f>C12*'ABP Future Assumptions'!$B$93</f>
        <v>16071559.233381502</v>
      </c>
      <c r="E21" s="166">
        <f>D12*'ABP Future Assumptions'!$B$93</f>
        <v>15178694.831526974</v>
      </c>
      <c r="F21" s="166">
        <f>E12*'ABP Future Assumptions'!$B$93</f>
        <v>15178694.831526974</v>
      </c>
      <c r="G21" s="166">
        <f>F12*'ABP Future Assumptions'!$B$93</f>
        <v>15178694.831526974</v>
      </c>
      <c r="H21" s="166">
        <f>G12*'ABP Future Assumptions'!$B$93</f>
        <v>15178694.831526974</v>
      </c>
      <c r="I21" s="166">
        <f>H12*'ABP Future Assumptions'!$B$93</f>
        <v>15178694.831526974</v>
      </c>
      <c r="J21" s="166">
        <f>I12*'ABP Future Assumptions'!$B$93</f>
        <v>15178694.831526974</v>
      </c>
      <c r="K21" s="166">
        <f>J12*'ABP Future Assumptions'!$B$93</f>
        <v>0</v>
      </c>
      <c r="L21" s="166">
        <f>K12*'ABP Future Assumptions'!$B$93</f>
        <v>0</v>
      </c>
      <c r="M21" s="166">
        <f>L12*'ABP Future Assumptions'!$B$93</f>
        <v>0</v>
      </c>
      <c r="N21" s="166">
        <f>M12*'ABP Future Assumptions'!$B$93</f>
        <v>0</v>
      </c>
      <c r="O21" s="166">
        <f>N12*'ABP Future Assumptions'!$B$93</f>
        <v>0</v>
      </c>
      <c r="P21" s="166">
        <f>O12*'ABP Future Assumptions'!$B$93</f>
        <v>0</v>
      </c>
      <c r="Q21" s="166">
        <f>P12*'ABP Future Assumptions'!$B$93</f>
        <v>0</v>
      </c>
      <c r="R21" s="166">
        <f>Q12*'ABP Future Assumptions'!$B$93</f>
        <v>0</v>
      </c>
      <c r="S21" s="166">
        <f>R12*'ABP Future Assumptions'!$B$93</f>
        <v>0</v>
      </c>
      <c r="T21" s="166">
        <f>S12*'ABP Future Assumptions'!$B$93</f>
        <v>0</v>
      </c>
      <c r="U21" s="166">
        <f>T12*'ABP Future Assumptions'!$B$93</f>
        <v>0</v>
      </c>
    </row>
    <row r="22" spans="1:21" x14ac:dyDescent="0.35">
      <c r="A22" s="164" t="s">
        <v>144</v>
      </c>
      <c r="B22" s="164"/>
      <c r="C22" s="166"/>
      <c r="D22" s="166">
        <f>C13*'ABP Future Assumptions'!$B$93</f>
        <v>0</v>
      </c>
      <c r="E22" s="166">
        <f>D13*'ABP Future Assumptions'!$B$93</f>
        <v>13256937.515690796</v>
      </c>
      <c r="F22" s="166">
        <f>E13*'ABP Future Assumptions'!$B$93</f>
        <v>13190652.828112341</v>
      </c>
      <c r="G22" s="166">
        <f>F13*'ABP Future Assumptions'!$B$93</f>
        <v>13124699.56397178</v>
      </c>
      <c r="H22" s="166">
        <f>G13*'ABP Future Assumptions'!$B$93</f>
        <v>13059076.066151923</v>
      </c>
      <c r="I22" s="166">
        <f>H13*'ABP Future Assumptions'!$B$93</f>
        <v>12993780.685821161</v>
      </c>
      <c r="J22" s="166">
        <f>I13*'ABP Future Assumptions'!$B$93</f>
        <v>12928811.782392055</v>
      </c>
      <c r="K22" s="166">
        <f>J13*'ABP Future Assumptions'!$B$93</f>
        <v>12864167.723480096</v>
      </c>
      <c r="L22" s="166">
        <f>K13*'ABP Future Assumptions'!$B$93</f>
        <v>12799846.884862697</v>
      </c>
      <c r="M22" s="166">
        <f>L13*'ABP Future Assumptions'!$B$93</f>
        <v>12735847.650438381</v>
      </c>
      <c r="N22" s="166">
        <f>M13*'ABP Future Assumptions'!$B$93</f>
        <v>12672168.41218619</v>
      </c>
      <c r="O22" s="166">
        <f>N13*'ABP Future Assumptions'!$B$93</f>
        <v>12608807.570125258</v>
      </c>
      <c r="P22" s="166">
        <f>O13*'ABP Future Assumptions'!$B$93</f>
        <v>12545763.53227463</v>
      </c>
      <c r="Q22" s="166">
        <f>P13*'ABP Future Assumptions'!$B$93</f>
        <v>12483034.714613257</v>
      </c>
      <c r="R22" s="166">
        <f>Q13*'ABP Future Assumptions'!$B$93</f>
        <v>12420619.54104019</v>
      </c>
      <c r="S22" s="166">
        <f>R13*'ABP Future Assumptions'!$B$93</f>
        <v>12358516.443334991</v>
      </c>
      <c r="T22" s="166">
        <f>S13*'ABP Future Assumptions'!$B$93</f>
        <v>12296723.861118313</v>
      </c>
      <c r="U22" s="166">
        <f>T13*'ABP Future Assumptions'!$B$93</f>
        <v>12235240.241812723</v>
      </c>
    </row>
    <row r="23" spans="1:21" x14ac:dyDescent="0.35">
      <c r="A23" s="164" t="s">
        <v>149</v>
      </c>
      <c r="B23" s="164"/>
      <c r="C23" s="166"/>
      <c r="D23" s="166">
        <f>C14*'ABP Future Assumptions'!$B$93</f>
        <v>8257760.5393261565</v>
      </c>
      <c r="E23" s="166">
        <f>D14*'ABP Future Assumptions'!$B$93</f>
        <v>8216471.7366295243</v>
      </c>
      <c r="F23" s="166">
        <f>E14*'ABP Future Assumptions'!$B$93</f>
        <v>8175389.3779463768</v>
      </c>
      <c r="G23" s="166">
        <f>F14*'ABP Future Assumptions'!$B$93</f>
        <v>8134512.4310566448</v>
      </c>
      <c r="H23" s="166">
        <f>G14*'ABP Future Assumptions'!$B$93</f>
        <v>8093839.8689013608</v>
      </c>
      <c r="I23" s="166">
        <f>H14*'ABP Future Assumptions'!$B$93</f>
        <v>8053370.6695568543</v>
      </c>
      <c r="J23" s="166">
        <f>I14*'ABP Future Assumptions'!$B$93</f>
        <v>8013103.8162090695</v>
      </c>
      <c r="K23" s="166">
        <f>J14*'ABP Future Assumptions'!$B$93</f>
        <v>7973038.2971280236</v>
      </c>
      <c r="L23" s="166">
        <f>K14*'ABP Future Assumptions'!$B$93</f>
        <v>7933173.1056423848</v>
      </c>
      <c r="M23" s="166">
        <f>L14*'ABP Future Assumptions'!$B$93</f>
        <v>7893507.2401141711</v>
      </c>
      <c r="N23" s="166">
        <f>M14*'ABP Future Assumptions'!$B$93</f>
        <v>7854039.7039136011</v>
      </c>
      <c r="O23" s="166">
        <f>N14*'ABP Future Assumptions'!$B$93</f>
        <v>7814769.5053940341</v>
      </c>
      <c r="P23" s="166">
        <f>O14*'ABP Future Assumptions'!$B$93</f>
        <v>7775695.6578670638</v>
      </c>
      <c r="Q23" s="166">
        <f>P14*'ABP Future Assumptions'!$B$93</f>
        <v>7736817.1795777278</v>
      </c>
      <c r="R23" s="166">
        <f>Q14*'ABP Future Assumptions'!$B$93</f>
        <v>7698133.0936798388</v>
      </c>
      <c r="S23" s="166">
        <f>R14*'ABP Future Assumptions'!$B$93</f>
        <v>7659642.4282114403</v>
      </c>
      <c r="T23" s="166">
        <f>S14*'ABP Future Assumptions'!$B$93</f>
        <v>7621344.2160703838</v>
      </c>
      <c r="U23" s="166">
        <f>T14*'ABP Future Assumptions'!$B$93</f>
        <v>7583237.4949900303</v>
      </c>
    </row>
    <row r="24" spans="1:21" x14ac:dyDescent="0.35">
      <c r="A24" s="164" t="s">
        <v>153</v>
      </c>
      <c r="B24" s="164"/>
      <c r="C24" s="166"/>
      <c r="D24" s="166">
        <f>C15*'ABP Future Assumptions'!$B$93</f>
        <v>0</v>
      </c>
      <c r="E24" s="166">
        <f>D15*'ABP Future Assumptions'!$B$93</f>
        <v>5410889.6478074184</v>
      </c>
      <c r="F24" s="166">
        <f>E15*'ABP Future Assumptions'!$B$93</f>
        <v>5110284.6673736731</v>
      </c>
      <c r="G24" s="166">
        <f>F15*'ABP Future Assumptions'!$B$93</f>
        <v>5110284.6673736731</v>
      </c>
      <c r="H24" s="166">
        <f>G15*'ABP Future Assumptions'!$B$93</f>
        <v>5110284.6673736731</v>
      </c>
      <c r="I24" s="166">
        <f>H15*'ABP Future Assumptions'!$B$93</f>
        <v>5110284.6673736731</v>
      </c>
      <c r="J24" s="166">
        <f>I15*'ABP Future Assumptions'!$B$93</f>
        <v>5110284.6673736731</v>
      </c>
      <c r="K24" s="166">
        <f>J15*'ABP Future Assumptions'!$B$93</f>
        <v>5110284.6673736731</v>
      </c>
      <c r="L24" s="166">
        <f>K15*'ABP Future Assumptions'!$B$93</f>
        <v>0</v>
      </c>
      <c r="M24" s="166">
        <f>L15*'ABP Future Assumptions'!$B$93</f>
        <v>0</v>
      </c>
      <c r="N24" s="166">
        <f>M15*'ABP Future Assumptions'!$B$93</f>
        <v>0</v>
      </c>
      <c r="O24" s="166">
        <f>N15*'ABP Future Assumptions'!$B$93</f>
        <v>0</v>
      </c>
      <c r="P24" s="166">
        <f>O15*'ABP Future Assumptions'!$B$93</f>
        <v>0</v>
      </c>
      <c r="Q24" s="166">
        <f>P15*'ABP Future Assumptions'!$B$93</f>
        <v>0</v>
      </c>
      <c r="R24" s="166">
        <f>Q15*'ABP Future Assumptions'!$B$93</f>
        <v>0</v>
      </c>
      <c r="S24" s="166">
        <f>R15*'ABP Future Assumptions'!$B$93</f>
        <v>0</v>
      </c>
      <c r="T24" s="166">
        <f>S15*'ABP Future Assumptions'!$B$93</f>
        <v>0</v>
      </c>
      <c r="U24" s="166">
        <f>T15*'ABP Future Assumptions'!$B$93</f>
        <v>0</v>
      </c>
    </row>
    <row r="25" spans="1:21" x14ac:dyDescent="0.35">
      <c r="A25" s="164" t="s">
        <v>156</v>
      </c>
      <c r="B25" s="164"/>
      <c r="C25" s="166"/>
      <c r="D25" s="166">
        <f>C16*'ABP Future Assumptions'!$B$93</f>
        <v>17857288.037090551</v>
      </c>
      <c r="E25" s="166">
        <f>D16*'ABP Future Assumptions'!$B$93</f>
        <v>16865216.479474414</v>
      </c>
      <c r="F25" s="166">
        <f>E16*'ABP Future Assumptions'!$B$93</f>
        <v>16865216.479474414</v>
      </c>
      <c r="G25" s="166">
        <f>F16*'ABP Future Assumptions'!$B$93</f>
        <v>16865216.479474414</v>
      </c>
      <c r="H25" s="166">
        <f>G16*'ABP Future Assumptions'!$B$93</f>
        <v>16865216.479474414</v>
      </c>
      <c r="I25" s="166">
        <f>H16*'ABP Future Assumptions'!$B$93</f>
        <v>16865216.479474414</v>
      </c>
      <c r="J25" s="166">
        <f>I16*'ABP Future Assumptions'!$B$93</f>
        <v>16865216.479474414</v>
      </c>
      <c r="K25" s="166">
        <f>J16*'ABP Future Assumptions'!$B$93</f>
        <v>0</v>
      </c>
      <c r="L25" s="166">
        <f>K16*'ABP Future Assumptions'!$B$93</f>
        <v>0</v>
      </c>
      <c r="M25" s="166">
        <f>L16*'ABP Future Assumptions'!$B$93</f>
        <v>0</v>
      </c>
      <c r="N25" s="166">
        <f>M16*'ABP Future Assumptions'!$B$93</f>
        <v>0</v>
      </c>
      <c r="O25" s="166">
        <f>N16*'ABP Future Assumptions'!$B$93</f>
        <v>0</v>
      </c>
      <c r="P25" s="166">
        <f>O16*'ABP Future Assumptions'!$B$93</f>
        <v>0</v>
      </c>
      <c r="Q25" s="166">
        <f>P16*'ABP Future Assumptions'!$B$93</f>
        <v>0</v>
      </c>
      <c r="R25" s="166">
        <f>Q16*'ABP Future Assumptions'!$B$93</f>
        <v>0</v>
      </c>
      <c r="S25" s="166">
        <f>R16*'ABP Future Assumptions'!$B$93</f>
        <v>0</v>
      </c>
      <c r="T25" s="166">
        <f>S16*'ABP Future Assumptions'!$B$93</f>
        <v>0</v>
      </c>
      <c r="U25" s="166">
        <f>T16*'ABP Future Assumptions'!$B$93</f>
        <v>0</v>
      </c>
    </row>
    <row r="26" spans="1:21" x14ac:dyDescent="0.35">
      <c r="A26" s="163" t="s">
        <v>103</v>
      </c>
      <c r="B26" s="163"/>
      <c r="C26" s="18">
        <f t="shared" ref="C26:T26" si="7">SUM(C20:C25)</f>
        <v>0</v>
      </c>
      <c r="D26" s="18">
        <f t="shared" si="7"/>
        <v>196112862.67348099</v>
      </c>
      <c r="E26" s="18">
        <f t="shared" si="7"/>
        <v>58928210.211129129</v>
      </c>
      <c r="F26" s="18">
        <f t="shared" si="7"/>
        <v>58520238.184433773</v>
      </c>
      <c r="G26" s="18">
        <f t="shared" si="7"/>
        <v>58413407.973403484</v>
      </c>
      <c r="H26" s="18">
        <f t="shared" si="7"/>
        <v>58307111.913428336</v>
      </c>
      <c r="I26" s="18">
        <f t="shared" si="7"/>
        <v>58201347.333753079</v>
      </c>
      <c r="J26" s="18">
        <f t="shared" si="7"/>
        <v>58096111.57697618</v>
      </c>
      <c r="K26" s="18">
        <f t="shared" si="7"/>
        <v>25947490.687981792</v>
      </c>
      <c r="L26" s="18">
        <f t="shared" si="7"/>
        <v>20733019.990505081</v>
      </c>
      <c r="M26" s="18">
        <f t="shared" si="7"/>
        <v>20629354.890552551</v>
      </c>
      <c r="N26" s="18">
        <f t="shared" si="7"/>
        <v>20526208.11609979</v>
      </c>
      <c r="O26" s="18">
        <f t="shared" si="7"/>
        <v>20423577.075519294</v>
      </c>
      <c r="P26" s="18">
        <f t="shared" si="7"/>
        <v>20321459.190141693</v>
      </c>
      <c r="Q26" s="18">
        <f t="shared" si="7"/>
        <v>20219851.894190986</v>
      </c>
      <c r="R26" s="18">
        <f t="shared" si="7"/>
        <v>20118752.634720027</v>
      </c>
      <c r="S26" s="18">
        <f t="shared" si="7"/>
        <v>20018158.871546432</v>
      </c>
      <c r="T26" s="18">
        <f t="shared" si="7"/>
        <v>19918068.077188697</v>
      </c>
      <c r="U26" s="18">
        <f t="shared" ref="U26" si="8">SUM(U20:U25)</f>
        <v>19818477.736802753</v>
      </c>
    </row>
    <row r="28" spans="1:21" ht="15.5" x14ac:dyDescent="0.35">
      <c r="A28" s="77">
        <v>2026</v>
      </c>
      <c r="B28" s="220">
        <v>2024</v>
      </c>
      <c r="C28" s="220">
        <v>2025</v>
      </c>
      <c r="D28" s="220">
        <v>2026</v>
      </c>
      <c r="E28" s="220">
        <v>2027</v>
      </c>
      <c r="F28" s="220">
        <v>2028</v>
      </c>
      <c r="G28" s="220">
        <v>2029</v>
      </c>
      <c r="H28" s="220">
        <v>2030</v>
      </c>
      <c r="I28" s="220">
        <v>2031</v>
      </c>
      <c r="J28" s="220">
        <v>2032</v>
      </c>
      <c r="K28" s="220">
        <v>2033</v>
      </c>
      <c r="L28" s="220">
        <v>2034</v>
      </c>
      <c r="M28" s="220">
        <v>2035</v>
      </c>
      <c r="N28" s="220">
        <v>2036</v>
      </c>
      <c r="O28" s="220">
        <v>2037</v>
      </c>
      <c r="P28" s="220">
        <v>2038</v>
      </c>
      <c r="Q28" s="220">
        <v>2039</v>
      </c>
      <c r="R28" s="220">
        <v>2040</v>
      </c>
      <c r="S28" s="220">
        <v>2041</v>
      </c>
      <c r="T28" s="220">
        <v>2042</v>
      </c>
      <c r="U28" s="220">
        <v>2043</v>
      </c>
    </row>
    <row r="29" spans="1:21" x14ac:dyDescent="0.35">
      <c r="A29" s="164" t="s">
        <v>129</v>
      </c>
      <c r="B29" s="164"/>
      <c r="C29" s="166"/>
      <c r="D29" s="166">
        <f>C20*'ABP Future Assumptions'!$B$93</f>
        <v>0</v>
      </c>
      <c r="E29" s="166">
        <f>D20*'ABP Future Assumptions'!$B$93</f>
        <v>147769204.66913545</v>
      </c>
      <c r="F29" s="166">
        <f>E20*'ABP Future Assumptions'!$B$93</f>
        <v>0</v>
      </c>
      <c r="G29" s="166">
        <f>F20*'ABP Future Assumptions'!$B$93</f>
        <v>0</v>
      </c>
      <c r="H29" s="166">
        <f>G20*'ABP Future Assumptions'!$B$93</f>
        <v>0</v>
      </c>
      <c r="I29" s="166">
        <f>H20*'ABP Future Assumptions'!$B$93</f>
        <v>0</v>
      </c>
      <c r="J29" s="166">
        <f>I20*'ABP Future Assumptions'!$B$93</f>
        <v>0</v>
      </c>
      <c r="K29" s="166">
        <f>J20*'ABP Future Assumptions'!$B$93</f>
        <v>0</v>
      </c>
      <c r="L29" s="166">
        <f>K20*'ABP Future Assumptions'!$B$93</f>
        <v>0</v>
      </c>
      <c r="M29" s="166">
        <f>L20*'ABP Future Assumptions'!$B$93</f>
        <v>0</v>
      </c>
      <c r="N29" s="166">
        <f>M20*'ABP Future Assumptions'!$B$93</f>
        <v>0</v>
      </c>
      <c r="O29" s="166">
        <f>N20*'ABP Future Assumptions'!$B$93</f>
        <v>0</v>
      </c>
      <c r="P29" s="166">
        <f>O20*'ABP Future Assumptions'!$B$93</f>
        <v>0</v>
      </c>
      <c r="Q29" s="166">
        <f>P20*'ABP Future Assumptions'!$B$93</f>
        <v>0</v>
      </c>
      <c r="R29" s="166">
        <f>Q20*'ABP Future Assumptions'!$B$93</f>
        <v>0</v>
      </c>
      <c r="S29" s="166">
        <f>R20*'ABP Future Assumptions'!$B$93</f>
        <v>0</v>
      </c>
      <c r="T29" s="166">
        <f>S20*'ABP Future Assumptions'!$B$93</f>
        <v>0</v>
      </c>
      <c r="U29" s="166">
        <f>T20*'ABP Future Assumptions'!$B$93</f>
        <v>0</v>
      </c>
    </row>
    <row r="30" spans="1:21" x14ac:dyDescent="0.35">
      <c r="A30" s="164" t="s">
        <v>135</v>
      </c>
      <c r="B30" s="164"/>
      <c r="C30" s="166"/>
      <c r="D30" s="166">
        <f>C21*'ABP Future Assumptions'!$B$93</f>
        <v>0</v>
      </c>
      <c r="E30" s="166">
        <f>D21*'ABP Future Assumptions'!$B$93</f>
        <v>15428696.864046242</v>
      </c>
      <c r="F30" s="166">
        <f>E21*'ABP Future Assumptions'!$B$93</f>
        <v>14571547.038265895</v>
      </c>
      <c r="G30" s="166">
        <f>F21*'ABP Future Assumptions'!$B$93</f>
        <v>14571547.038265895</v>
      </c>
      <c r="H30" s="166">
        <f>G21*'ABP Future Assumptions'!$B$93</f>
        <v>14571547.038265895</v>
      </c>
      <c r="I30" s="166">
        <f>H21*'ABP Future Assumptions'!$B$93</f>
        <v>14571547.038265895</v>
      </c>
      <c r="J30" s="166">
        <f>I21*'ABP Future Assumptions'!$B$93</f>
        <v>14571547.038265895</v>
      </c>
      <c r="K30" s="166">
        <f>J21*'ABP Future Assumptions'!$B$93</f>
        <v>14571547.038265895</v>
      </c>
      <c r="L30" s="166">
        <f>K21*'ABP Future Assumptions'!$B$93</f>
        <v>0</v>
      </c>
      <c r="M30" s="166">
        <f>L21*'ABP Future Assumptions'!$B$93</f>
        <v>0</v>
      </c>
      <c r="N30" s="166">
        <f>M21*'ABP Future Assumptions'!$B$93</f>
        <v>0</v>
      </c>
      <c r="O30" s="166">
        <f>N21*'ABP Future Assumptions'!$B$93</f>
        <v>0</v>
      </c>
      <c r="P30" s="166">
        <f>O21*'ABP Future Assumptions'!$B$93</f>
        <v>0</v>
      </c>
      <c r="Q30" s="166">
        <f>P21*'ABP Future Assumptions'!$B$93</f>
        <v>0</v>
      </c>
      <c r="R30" s="166">
        <f>Q21*'ABP Future Assumptions'!$B$93</f>
        <v>0</v>
      </c>
      <c r="S30" s="166">
        <f>R21*'ABP Future Assumptions'!$B$93</f>
        <v>0</v>
      </c>
      <c r="T30" s="166">
        <f>S21*'ABP Future Assumptions'!$B$93</f>
        <v>0</v>
      </c>
      <c r="U30" s="166">
        <f>T21*'ABP Future Assumptions'!$B$93</f>
        <v>0</v>
      </c>
    </row>
    <row r="31" spans="1:21" x14ac:dyDescent="0.35">
      <c r="A31" s="164" t="s">
        <v>144</v>
      </c>
      <c r="B31" s="164"/>
      <c r="C31" s="166"/>
      <c r="D31" s="166">
        <f>C22*'ABP Future Assumptions'!$B$93</f>
        <v>0</v>
      </c>
      <c r="E31" s="166">
        <f>D22*'ABP Future Assumptions'!$B$93</f>
        <v>0</v>
      </c>
      <c r="F31" s="166">
        <f>E22*'ABP Future Assumptions'!$B$93</f>
        <v>12726660.015063163</v>
      </c>
      <c r="G31" s="166">
        <f>F22*'ABP Future Assumptions'!$B$93</f>
        <v>12663026.714987848</v>
      </c>
      <c r="H31" s="166">
        <f>G22*'ABP Future Assumptions'!$B$93</f>
        <v>12599711.581412908</v>
      </c>
      <c r="I31" s="166">
        <f>H22*'ABP Future Assumptions'!$B$93</f>
        <v>12536713.023505846</v>
      </c>
      <c r="J31" s="166">
        <f>I22*'ABP Future Assumptions'!$B$93</f>
        <v>12474029.458388314</v>
      </c>
      <c r="K31" s="166">
        <f>J22*'ABP Future Assumptions'!$B$93</f>
        <v>12411659.311096372</v>
      </c>
      <c r="L31" s="166">
        <f>K22*'ABP Future Assumptions'!$B$93</f>
        <v>12349601.014540892</v>
      </c>
      <c r="M31" s="166">
        <f>L22*'ABP Future Assumptions'!$B$93</f>
        <v>12287853.009468189</v>
      </c>
      <c r="N31" s="166">
        <f>M22*'ABP Future Assumptions'!$B$93</f>
        <v>12226413.744420845</v>
      </c>
      <c r="O31" s="166">
        <f>N22*'ABP Future Assumptions'!$B$93</f>
        <v>12165281.675698742</v>
      </c>
      <c r="P31" s="166">
        <f>O22*'ABP Future Assumptions'!$B$93</f>
        <v>12104455.267320247</v>
      </c>
      <c r="Q31" s="166">
        <f>P22*'ABP Future Assumptions'!$B$93</f>
        <v>12043932.990983645</v>
      </c>
      <c r="R31" s="166">
        <f>Q22*'ABP Future Assumptions'!$B$93</f>
        <v>11983713.326028727</v>
      </c>
      <c r="S31" s="166">
        <f>R22*'ABP Future Assumptions'!$B$93</f>
        <v>11923794.759398581</v>
      </c>
      <c r="T31" s="166">
        <f>S22*'ABP Future Assumptions'!$B$93</f>
        <v>11864175.785601592</v>
      </c>
      <c r="U31" s="166">
        <f>T22*'ABP Future Assumptions'!$B$93</f>
        <v>11804854.90667358</v>
      </c>
    </row>
    <row r="32" spans="1:21" x14ac:dyDescent="0.35">
      <c r="A32" s="164" t="s">
        <v>149</v>
      </c>
      <c r="B32" s="164"/>
      <c r="C32" s="166"/>
      <c r="D32" s="166">
        <f>C23*'ABP Future Assumptions'!$B$93</f>
        <v>0</v>
      </c>
      <c r="E32" s="166">
        <f>D23*'ABP Future Assumptions'!$B$93</f>
        <v>7927450.1177531099</v>
      </c>
      <c r="F32" s="166">
        <f>E23*'ABP Future Assumptions'!$B$93</f>
        <v>7887812.8671643427</v>
      </c>
      <c r="G32" s="166">
        <f>F23*'ABP Future Assumptions'!$B$93</f>
        <v>7848373.8028285215</v>
      </c>
      <c r="H32" s="166">
        <f>G23*'ABP Future Assumptions'!$B$93</f>
        <v>7809131.9338143785</v>
      </c>
      <c r="I32" s="166">
        <f>H23*'ABP Future Assumptions'!$B$93</f>
        <v>7770086.2741453061</v>
      </c>
      <c r="J32" s="166">
        <f>I23*'ABP Future Assumptions'!$B$93</f>
        <v>7731235.8427745802</v>
      </c>
      <c r="K32" s="166">
        <f>J23*'ABP Future Assumptions'!$B$93</f>
        <v>7692579.6635607062</v>
      </c>
      <c r="L32" s="166">
        <f>K23*'ABP Future Assumptions'!$B$93</f>
        <v>7654116.7652429026</v>
      </c>
      <c r="M32" s="166">
        <f>L23*'ABP Future Assumptions'!$B$93</f>
        <v>7615846.1814166894</v>
      </c>
      <c r="N32" s="166">
        <f>M23*'ABP Future Assumptions'!$B$93</f>
        <v>7577766.9505096041</v>
      </c>
      <c r="O32" s="166">
        <f>N23*'ABP Future Assumptions'!$B$93</f>
        <v>7539878.1157570565</v>
      </c>
      <c r="P32" s="166">
        <f>O23*'ABP Future Assumptions'!$B$93</f>
        <v>7502178.7251782725</v>
      </c>
      <c r="Q32" s="166">
        <f>P23*'ABP Future Assumptions'!$B$93</f>
        <v>7464667.8315523807</v>
      </c>
      <c r="R32" s="166">
        <f>Q23*'ABP Future Assumptions'!$B$93</f>
        <v>7427344.4923946187</v>
      </c>
      <c r="S32" s="166">
        <f>R23*'ABP Future Assumptions'!$B$93</f>
        <v>7390207.7699326454</v>
      </c>
      <c r="T32" s="166">
        <f>S23*'ABP Future Assumptions'!$B$93</f>
        <v>7353256.7310829824</v>
      </c>
      <c r="U32" s="166">
        <f>T23*'ABP Future Assumptions'!$B$93</f>
        <v>7316490.447427568</v>
      </c>
    </row>
    <row r="33" spans="1:21" x14ac:dyDescent="0.35">
      <c r="A33" s="164" t="s">
        <v>153</v>
      </c>
      <c r="B33" s="164"/>
      <c r="C33" s="166"/>
      <c r="D33" s="166">
        <f>C24*'ABP Future Assumptions'!$B$93</f>
        <v>0</v>
      </c>
      <c r="E33" s="166">
        <f>D24*'ABP Future Assumptions'!$B$93</f>
        <v>0</v>
      </c>
      <c r="F33" s="166">
        <f>E24*'ABP Future Assumptions'!$B$93</f>
        <v>5194454.0618951218</v>
      </c>
      <c r="G33" s="166">
        <f>F24*'ABP Future Assumptions'!$B$93</f>
        <v>4905873.2806787258</v>
      </c>
      <c r="H33" s="166">
        <f>G24*'ABP Future Assumptions'!$B$93</f>
        <v>4905873.2806787258</v>
      </c>
      <c r="I33" s="166">
        <f>H24*'ABP Future Assumptions'!$B$93</f>
        <v>4905873.2806787258</v>
      </c>
      <c r="J33" s="166">
        <f>I24*'ABP Future Assumptions'!$B$93</f>
        <v>4905873.2806787258</v>
      </c>
      <c r="K33" s="166">
        <f>J24*'ABP Future Assumptions'!$B$93</f>
        <v>4905873.2806787258</v>
      </c>
      <c r="L33" s="166">
        <f>K24*'ABP Future Assumptions'!$B$93</f>
        <v>4905873.2806787258</v>
      </c>
      <c r="M33" s="166">
        <f>L24*'ABP Future Assumptions'!$B$93</f>
        <v>0</v>
      </c>
      <c r="N33" s="166">
        <f>M24*'ABP Future Assumptions'!$B$93</f>
        <v>0</v>
      </c>
      <c r="O33" s="166">
        <f>N24*'ABP Future Assumptions'!$B$93</f>
        <v>0</v>
      </c>
      <c r="P33" s="166">
        <f>O24*'ABP Future Assumptions'!$B$93</f>
        <v>0</v>
      </c>
      <c r="Q33" s="166">
        <f>P24*'ABP Future Assumptions'!$B$93</f>
        <v>0</v>
      </c>
      <c r="R33" s="166">
        <f>Q24*'ABP Future Assumptions'!$B$93</f>
        <v>0</v>
      </c>
      <c r="S33" s="166">
        <f>R24*'ABP Future Assumptions'!$B$93</f>
        <v>0</v>
      </c>
      <c r="T33" s="166">
        <f>S24*'ABP Future Assumptions'!$B$93</f>
        <v>0</v>
      </c>
      <c r="U33" s="166">
        <f>T24*'ABP Future Assumptions'!$B$93</f>
        <v>0</v>
      </c>
    </row>
    <row r="34" spans="1:21" x14ac:dyDescent="0.35">
      <c r="A34" s="164" t="s">
        <v>156</v>
      </c>
      <c r="B34" s="164"/>
      <c r="C34" s="166"/>
      <c r="D34" s="166">
        <f>C25*'ABP Future Assumptions'!$B$93</f>
        <v>0</v>
      </c>
      <c r="E34" s="166">
        <f>D25*'ABP Future Assumptions'!$B$93</f>
        <v>17142996.515606929</v>
      </c>
      <c r="F34" s="166">
        <f>E25*'ABP Future Assumptions'!$B$93</f>
        <v>16190607.820295436</v>
      </c>
      <c r="G34" s="166">
        <f>F25*'ABP Future Assumptions'!$B$93</f>
        <v>16190607.820295436</v>
      </c>
      <c r="H34" s="166">
        <f>G25*'ABP Future Assumptions'!$B$93</f>
        <v>16190607.820295436</v>
      </c>
      <c r="I34" s="166">
        <f>H25*'ABP Future Assumptions'!$B$93</f>
        <v>16190607.820295436</v>
      </c>
      <c r="J34" s="166">
        <f>I25*'ABP Future Assumptions'!$B$93</f>
        <v>16190607.820295436</v>
      </c>
      <c r="K34" s="166">
        <f>J25*'ABP Future Assumptions'!$B$93</f>
        <v>16190607.820295436</v>
      </c>
      <c r="L34" s="166">
        <f>K25*'ABP Future Assumptions'!$B$93</f>
        <v>0</v>
      </c>
      <c r="M34" s="166">
        <f>L25*'ABP Future Assumptions'!$B$93</f>
        <v>0</v>
      </c>
      <c r="N34" s="166">
        <f>M25*'ABP Future Assumptions'!$B$93</f>
        <v>0</v>
      </c>
      <c r="O34" s="166">
        <f>N25*'ABP Future Assumptions'!$B$93</f>
        <v>0</v>
      </c>
      <c r="P34" s="166">
        <f>O25*'ABP Future Assumptions'!$B$93</f>
        <v>0</v>
      </c>
      <c r="Q34" s="166">
        <f>P25*'ABP Future Assumptions'!$B$93</f>
        <v>0</v>
      </c>
      <c r="R34" s="166">
        <f>Q25*'ABP Future Assumptions'!$B$93</f>
        <v>0</v>
      </c>
      <c r="S34" s="166">
        <f>R25*'ABP Future Assumptions'!$B$93</f>
        <v>0</v>
      </c>
      <c r="T34" s="166">
        <f>S25*'ABP Future Assumptions'!$B$93</f>
        <v>0</v>
      </c>
      <c r="U34" s="166">
        <f>T25*'ABP Future Assumptions'!$B$93</f>
        <v>0</v>
      </c>
    </row>
    <row r="35" spans="1:21" x14ac:dyDescent="0.35">
      <c r="A35" s="163" t="s">
        <v>103</v>
      </c>
      <c r="B35" s="163"/>
      <c r="C35" s="18">
        <f t="shared" ref="C35:T35" si="9">SUM(C29:C34)</f>
        <v>0</v>
      </c>
      <c r="D35" s="18">
        <f t="shared" si="9"/>
        <v>0</v>
      </c>
      <c r="E35" s="18">
        <f t="shared" si="9"/>
        <v>188268348.16654176</v>
      </c>
      <c r="F35" s="18">
        <f t="shared" si="9"/>
        <v>56571081.802683964</v>
      </c>
      <c r="G35" s="18">
        <f t="shared" si="9"/>
        <v>56179428.657056428</v>
      </c>
      <c r="H35" s="18">
        <f t="shared" si="9"/>
        <v>56076871.654467344</v>
      </c>
      <c r="I35" s="18">
        <f t="shared" si="9"/>
        <v>55974827.436891213</v>
      </c>
      <c r="J35" s="18">
        <f t="shared" si="9"/>
        <v>55873293.440402955</v>
      </c>
      <c r="K35" s="18">
        <f t="shared" si="9"/>
        <v>55772267.113897137</v>
      </c>
      <c r="L35" s="18">
        <f t="shared" si="9"/>
        <v>24909591.06046252</v>
      </c>
      <c r="M35" s="18">
        <f t="shared" si="9"/>
        <v>19903699.190884877</v>
      </c>
      <c r="N35" s="18">
        <f t="shared" si="9"/>
        <v>19804180.694930449</v>
      </c>
      <c r="O35" s="18">
        <f t="shared" si="9"/>
        <v>19705159.791455798</v>
      </c>
      <c r="P35" s="18">
        <f t="shared" si="9"/>
        <v>19606633.992498521</v>
      </c>
      <c r="Q35" s="18">
        <f t="shared" si="9"/>
        <v>19508600.822536025</v>
      </c>
      <c r="R35" s="18">
        <f t="shared" si="9"/>
        <v>19411057.818423346</v>
      </c>
      <c r="S35" s="18">
        <f t="shared" si="9"/>
        <v>19314002.529331226</v>
      </c>
      <c r="T35" s="18">
        <f t="shared" si="9"/>
        <v>19217432.516684573</v>
      </c>
      <c r="U35" s="18">
        <f t="shared" ref="U35" si="10">SUM(U29:U34)</f>
        <v>19121345.354101148</v>
      </c>
    </row>
    <row r="37" spans="1:21" ht="15.5" x14ac:dyDescent="0.35">
      <c r="A37" s="77">
        <v>2027</v>
      </c>
      <c r="B37" s="220">
        <v>2024</v>
      </c>
      <c r="C37" s="220">
        <v>2025</v>
      </c>
      <c r="D37" s="220">
        <v>2026</v>
      </c>
      <c r="E37" s="220">
        <v>2027</v>
      </c>
      <c r="F37" s="220">
        <v>2028</v>
      </c>
      <c r="G37" s="220">
        <v>2029</v>
      </c>
      <c r="H37" s="220">
        <v>2030</v>
      </c>
      <c r="I37" s="220">
        <v>2031</v>
      </c>
      <c r="J37" s="220">
        <v>2032</v>
      </c>
      <c r="K37" s="220">
        <v>2033</v>
      </c>
      <c r="L37" s="220">
        <v>2034</v>
      </c>
      <c r="M37" s="220">
        <v>2035</v>
      </c>
      <c r="N37" s="220">
        <v>2036</v>
      </c>
      <c r="O37" s="220">
        <v>2037</v>
      </c>
      <c r="P37" s="220">
        <v>2038</v>
      </c>
      <c r="Q37" s="220">
        <v>2039</v>
      </c>
      <c r="R37" s="220">
        <v>2040</v>
      </c>
      <c r="S37" s="220">
        <v>2041</v>
      </c>
      <c r="T37" s="220">
        <v>2042</v>
      </c>
      <c r="U37" s="220">
        <v>2043</v>
      </c>
    </row>
    <row r="38" spans="1:21" x14ac:dyDescent="0.35">
      <c r="A38" s="164" t="s">
        <v>129</v>
      </c>
      <c r="B38" s="164"/>
      <c r="C38" s="166"/>
      <c r="D38" s="166"/>
      <c r="E38" s="166">
        <f>D29*'ABP Future Assumptions'!$B$93</f>
        <v>0</v>
      </c>
      <c r="F38" s="166">
        <f>E29*'ABP Future Assumptions'!$B$93</f>
        <v>141858436.48237002</v>
      </c>
      <c r="G38" s="166">
        <f>F29*'ABP Future Assumptions'!$B$93</f>
        <v>0</v>
      </c>
      <c r="H38" s="166">
        <f>G29*'ABP Future Assumptions'!$B$93</f>
        <v>0</v>
      </c>
      <c r="I38" s="166">
        <f>H29*'ABP Future Assumptions'!$B$93</f>
        <v>0</v>
      </c>
      <c r="J38" s="166">
        <f>I29*'ABP Future Assumptions'!$B$93</f>
        <v>0</v>
      </c>
      <c r="K38" s="166">
        <f>J29*'ABP Future Assumptions'!$B$93</f>
        <v>0</v>
      </c>
      <c r="L38" s="166">
        <f>K29*'ABP Future Assumptions'!$B$93</f>
        <v>0</v>
      </c>
      <c r="M38" s="166">
        <f>L29*'ABP Future Assumptions'!$B$93</f>
        <v>0</v>
      </c>
      <c r="N38" s="166">
        <f>M29*'ABP Future Assumptions'!$B$93</f>
        <v>0</v>
      </c>
      <c r="O38" s="166">
        <f>N29*'ABP Future Assumptions'!$B$93</f>
        <v>0</v>
      </c>
      <c r="P38" s="166">
        <f>O29*'ABP Future Assumptions'!$B$93</f>
        <v>0</v>
      </c>
      <c r="Q38" s="166">
        <f>P29*'ABP Future Assumptions'!$B$93</f>
        <v>0</v>
      </c>
      <c r="R38" s="166">
        <f>Q29*'ABP Future Assumptions'!$B$93</f>
        <v>0</v>
      </c>
      <c r="S38" s="166">
        <f>R29*'ABP Future Assumptions'!$B$93</f>
        <v>0</v>
      </c>
      <c r="T38" s="166">
        <f>S29*'ABP Future Assumptions'!$B$93</f>
        <v>0</v>
      </c>
      <c r="U38" s="166">
        <f>T29*'ABP Future Assumptions'!$B$93</f>
        <v>0</v>
      </c>
    </row>
    <row r="39" spans="1:21" x14ac:dyDescent="0.35">
      <c r="A39" s="164" t="s">
        <v>135</v>
      </c>
      <c r="B39" s="164"/>
      <c r="C39" s="166"/>
      <c r="D39" s="166"/>
      <c r="E39" s="166">
        <f>D30*'ABP Future Assumptions'!$B$93</f>
        <v>0</v>
      </c>
      <c r="F39" s="166">
        <f>E30*'ABP Future Assumptions'!$B$93</f>
        <v>14811548.989484392</v>
      </c>
      <c r="G39" s="166">
        <f>F30*'ABP Future Assumptions'!$B$93</f>
        <v>13988685.156735258</v>
      </c>
      <c r="H39" s="166">
        <f>G30*'ABP Future Assumptions'!$B$93</f>
        <v>13988685.156735258</v>
      </c>
      <c r="I39" s="166">
        <f>H30*'ABP Future Assumptions'!$B$93</f>
        <v>13988685.156735258</v>
      </c>
      <c r="J39" s="166">
        <f>I30*'ABP Future Assumptions'!$B$93</f>
        <v>13988685.156735258</v>
      </c>
      <c r="K39" s="166">
        <f>J30*'ABP Future Assumptions'!$B$93</f>
        <v>13988685.156735258</v>
      </c>
      <c r="L39" s="166">
        <f>K30*'ABP Future Assumptions'!$B$93</f>
        <v>13988685.156735258</v>
      </c>
      <c r="M39" s="166">
        <f>L30*'ABP Future Assumptions'!$B$93</f>
        <v>0</v>
      </c>
      <c r="N39" s="166">
        <f>M30*'ABP Future Assumptions'!$B$93</f>
        <v>0</v>
      </c>
      <c r="O39" s="166">
        <f>N30*'ABP Future Assumptions'!$B$93</f>
        <v>0</v>
      </c>
      <c r="P39" s="166">
        <f>O30*'ABP Future Assumptions'!$B$93</f>
        <v>0</v>
      </c>
      <c r="Q39" s="166">
        <f>P30*'ABP Future Assumptions'!$B$93</f>
        <v>0</v>
      </c>
      <c r="R39" s="166">
        <f>Q30*'ABP Future Assumptions'!$B$93</f>
        <v>0</v>
      </c>
      <c r="S39" s="166">
        <f>R30*'ABP Future Assumptions'!$B$93</f>
        <v>0</v>
      </c>
      <c r="T39" s="166">
        <f>S30*'ABP Future Assumptions'!$B$93</f>
        <v>0</v>
      </c>
      <c r="U39" s="166">
        <f>T30*'ABP Future Assumptions'!$B$93</f>
        <v>0</v>
      </c>
    </row>
    <row r="40" spans="1:21" x14ac:dyDescent="0.35">
      <c r="A40" s="164" t="s">
        <v>144</v>
      </c>
      <c r="B40" s="164"/>
      <c r="C40" s="166"/>
      <c r="D40" s="166"/>
      <c r="E40" s="166">
        <f>D31*'ABP Future Assumptions'!$B$93</f>
        <v>0</v>
      </c>
      <c r="F40" s="166">
        <f>E31*'ABP Future Assumptions'!$B$93</f>
        <v>0</v>
      </c>
      <c r="G40" s="166">
        <f>F31*'ABP Future Assumptions'!$B$93</f>
        <v>12217593.614460636</v>
      </c>
      <c r="H40" s="166">
        <f>G31*'ABP Future Assumptions'!$B$93</f>
        <v>12156505.646388333</v>
      </c>
      <c r="I40" s="166">
        <f>H31*'ABP Future Assumptions'!$B$93</f>
        <v>12095723.11815639</v>
      </c>
      <c r="J40" s="166">
        <f>I31*'ABP Future Assumptions'!$B$93</f>
        <v>12035244.502565611</v>
      </c>
      <c r="K40" s="166">
        <f>J31*'ABP Future Assumptions'!$B$93</f>
        <v>11975068.280052781</v>
      </c>
      <c r="L40" s="166">
        <f>K31*'ABP Future Assumptions'!$B$93</f>
        <v>11915192.938652517</v>
      </c>
      <c r="M40" s="166">
        <f>L31*'ABP Future Assumptions'!$B$93</f>
        <v>11855616.973959256</v>
      </c>
      <c r="N40" s="166">
        <f>M31*'ABP Future Assumptions'!$B$93</f>
        <v>11796338.889089461</v>
      </c>
      <c r="O40" s="166">
        <f>N31*'ABP Future Assumptions'!$B$93</f>
        <v>11737357.194644012</v>
      </c>
      <c r="P40" s="166">
        <f>O31*'ABP Future Assumptions'!$B$93</f>
        <v>11678670.408670792</v>
      </c>
      <c r="Q40" s="166">
        <f>P31*'ABP Future Assumptions'!$B$93</f>
        <v>11620277.056627437</v>
      </c>
      <c r="R40" s="166">
        <f>Q31*'ABP Future Assumptions'!$B$93</f>
        <v>11562175.671344299</v>
      </c>
      <c r="S40" s="166">
        <f>R31*'ABP Future Assumptions'!$B$93</f>
        <v>11504364.792987578</v>
      </c>
      <c r="T40" s="166">
        <f>S31*'ABP Future Assumptions'!$B$93</f>
        <v>11446842.969022637</v>
      </c>
      <c r="U40" s="166">
        <f>T31*'ABP Future Assumptions'!$B$93</f>
        <v>11389608.754177528</v>
      </c>
    </row>
    <row r="41" spans="1:21" x14ac:dyDescent="0.35">
      <c r="A41" s="164" t="s">
        <v>149</v>
      </c>
      <c r="B41" s="164"/>
      <c r="C41" s="166"/>
      <c r="D41" s="166"/>
      <c r="E41" s="166">
        <f>D32*'ABP Future Assumptions'!$B$93</f>
        <v>0</v>
      </c>
      <c r="F41" s="166">
        <f>E32*'ABP Future Assumptions'!$B$93</f>
        <v>7610352.1130429851</v>
      </c>
      <c r="G41" s="166">
        <f>F32*'ABP Future Assumptions'!$B$93</f>
        <v>7572300.3524777684</v>
      </c>
      <c r="H41" s="166">
        <f>G32*'ABP Future Assumptions'!$B$93</f>
        <v>7534438.8507153802</v>
      </c>
      <c r="I41" s="166">
        <f>H32*'ABP Future Assumptions'!$B$93</f>
        <v>7496766.6564618032</v>
      </c>
      <c r="J41" s="166">
        <f>I32*'ABP Future Assumptions'!$B$93</f>
        <v>7459282.8231794937</v>
      </c>
      <c r="K41" s="166">
        <f>J32*'ABP Future Assumptions'!$B$93</f>
        <v>7421986.4090635972</v>
      </c>
      <c r="L41" s="166">
        <f>K32*'ABP Future Assumptions'!$B$93</f>
        <v>7384876.4770182781</v>
      </c>
      <c r="M41" s="166">
        <f>L32*'ABP Future Assumptions'!$B$93</f>
        <v>7347952.0946331862</v>
      </c>
      <c r="N41" s="166">
        <f>M32*'ABP Future Assumptions'!$B$93</f>
        <v>7311212.3341600215</v>
      </c>
      <c r="O41" s="166">
        <f>N32*'ABP Future Assumptions'!$B$93</f>
        <v>7274656.2724892199</v>
      </c>
      <c r="P41" s="166">
        <f>O32*'ABP Future Assumptions'!$B$93</f>
        <v>7238282.9911267739</v>
      </c>
      <c r="Q41" s="166">
        <f>P32*'ABP Future Assumptions'!$B$93</f>
        <v>7202091.5761711411</v>
      </c>
      <c r="R41" s="166">
        <f>Q32*'ABP Future Assumptions'!$B$93</f>
        <v>7166081.1182902856</v>
      </c>
      <c r="S41" s="166">
        <f>R32*'ABP Future Assumptions'!$B$93</f>
        <v>7130250.712698834</v>
      </c>
      <c r="T41" s="166">
        <f>S32*'ABP Future Assumptions'!$B$93</f>
        <v>7094599.4591353396</v>
      </c>
      <c r="U41" s="166">
        <f>T32*'ABP Future Assumptions'!$B$93</f>
        <v>7059126.4618396629</v>
      </c>
    </row>
    <row r="42" spans="1:21" x14ac:dyDescent="0.35">
      <c r="A42" s="164" t="s">
        <v>153</v>
      </c>
      <c r="B42" s="164"/>
      <c r="C42" s="166"/>
      <c r="D42" s="166"/>
      <c r="E42" s="166">
        <f>D33*'ABP Future Assumptions'!$B$93</f>
        <v>0</v>
      </c>
      <c r="F42" s="166">
        <f>E33*'ABP Future Assumptions'!$B$93</f>
        <v>0</v>
      </c>
      <c r="G42" s="166">
        <f>F33*'ABP Future Assumptions'!$B$93</f>
        <v>4986675.899419317</v>
      </c>
      <c r="H42" s="166">
        <f>G33*'ABP Future Assumptions'!$B$93</f>
        <v>4709638.3494515764</v>
      </c>
      <c r="I42" s="166">
        <f>H33*'ABP Future Assumptions'!$B$93</f>
        <v>4709638.3494515764</v>
      </c>
      <c r="J42" s="166">
        <f>I33*'ABP Future Assumptions'!$B$93</f>
        <v>4709638.3494515764</v>
      </c>
      <c r="K42" s="166">
        <f>J33*'ABP Future Assumptions'!$B$93</f>
        <v>4709638.3494515764</v>
      </c>
      <c r="L42" s="166">
        <f>K33*'ABP Future Assumptions'!$B$93</f>
        <v>4709638.3494515764</v>
      </c>
      <c r="M42" s="166">
        <f>L33*'ABP Future Assumptions'!$B$93</f>
        <v>4709638.3494515764</v>
      </c>
      <c r="N42" s="166">
        <f>M33*'ABP Future Assumptions'!$B$93</f>
        <v>0</v>
      </c>
      <c r="O42" s="166">
        <f>N33*'ABP Future Assumptions'!$B$93</f>
        <v>0</v>
      </c>
      <c r="P42" s="166">
        <f>O33*'ABP Future Assumptions'!$B$93</f>
        <v>0</v>
      </c>
      <c r="Q42" s="166">
        <f>P33*'ABP Future Assumptions'!$B$93</f>
        <v>0</v>
      </c>
      <c r="R42" s="166">
        <f>Q33*'ABP Future Assumptions'!$B$93</f>
        <v>0</v>
      </c>
      <c r="S42" s="166">
        <f>R33*'ABP Future Assumptions'!$B$93</f>
        <v>0</v>
      </c>
      <c r="T42" s="166">
        <f>S33*'ABP Future Assumptions'!$B$93</f>
        <v>0</v>
      </c>
      <c r="U42" s="166">
        <f>T33*'ABP Future Assumptions'!$B$93</f>
        <v>0</v>
      </c>
    </row>
    <row r="43" spans="1:21" x14ac:dyDescent="0.35">
      <c r="A43" s="164" t="s">
        <v>156</v>
      </c>
      <c r="B43" s="164"/>
      <c r="C43" s="166"/>
      <c r="D43" s="166"/>
      <c r="E43" s="166">
        <f>D34*'ABP Future Assumptions'!$B$93</f>
        <v>0</v>
      </c>
      <c r="F43" s="166">
        <f>E34*'ABP Future Assumptions'!$B$93</f>
        <v>16457276.654982651</v>
      </c>
      <c r="G43" s="166">
        <f>F34*'ABP Future Assumptions'!$B$93</f>
        <v>15542983.507483618</v>
      </c>
      <c r="H43" s="166">
        <f>G34*'ABP Future Assumptions'!$B$93</f>
        <v>15542983.507483618</v>
      </c>
      <c r="I43" s="166">
        <f>H34*'ABP Future Assumptions'!$B$93</f>
        <v>15542983.507483618</v>
      </c>
      <c r="J43" s="166">
        <f>I34*'ABP Future Assumptions'!$B$93</f>
        <v>15542983.507483618</v>
      </c>
      <c r="K43" s="166">
        <f>J34*'ABP Future Assumptions'!$B$93</f>
        <v>15542983.507483618</v>
      </c>
      <c r="L43" s="166">
        <f>K34*'ABP Future Assumptions'!$B$93</f>
        <v>15542983.507483618</v>
      </c>
      <c r="M43" s="166">
        <f>L34*'ABP Future Assumptions'!$B$93</f>
        <v>0</v>
      </c>
      <c r="N43" s="166">
        <f>M34*'ABP Future Assumptions'!$B$93</f>
        <v>0</v>
      </c>
      <c r="O43" s="166">
        <f>N34*'ABP Future Assumptions'!$B$93</f>
        <v>0</v>
      </c>
      <c r="P43" s="166">
        <f>O34*'ABP Future Assumptions'!$B$93</f>
        <v>0</v>
      </c>
      <c r="Q43" s="166">
        <f>P34*'ABP Future Assumptions'!$B$93</f>
        <v>0</v>
      </c>
      <c r="R43" s="166">
        <f>Q34*'ABP Future Assumptions'!$B$93</f>
        <v>0</v>
      </c>
      <c r="S43" s="166">
        <f>R34*'ABP Future Assumptions'!$B$93</f>
        <v>0</v>
      </c>
      <c r="T43" s="166">
        <f>S34*'ABP Future Assumptions'!$B$93</f>
        <v>0</v>
      </c>
      <c r="U43" s="166">
        <f>T34*'ABP Future Assumptions'!$B$93</f>
        <v>0</v>
      </c>
    </row>
    <row r="44" spans="1:21" x14ac:dyDescent="0.35">
      <c r="A44" s="163" t="s">
        <v>103</v>
      </c>
      <c r="B44" s="163"/>
      <c r="C44" s="18">
        <f t="shared" ref="C44:T44" si="11">SUM(C38:C43)</f>
        <v>0</v>
      </c>
      <c r="D44" s="18">
        <f t="shared" si="11"/>
        <v>0</v>
      </c>
      <c r="E44" s="18">
        <f t="shared" si="11"/>
        <v>0</v>
      </c>
      <c r="F44" s="18">
        <f t="shared" si="11"/>
        <v>180737614.23988006</v>
      </c>
      <c r="G44" s="18">
        <f t="shared" si="11"/>
        <v>54308238.530576594</v>
      </c>
      <c r="H44" s="18">
        <f t="shared" si="11"/>
        <v>53932251.510774173</v>
      </c>
      <c r="I44" s="18">
        <f t="shared" si="11"/>
        <v>53833796.788288645</v>
      </c>
      <c r="J44" s="18">
        <f t="shared" si="11"/>
        <v>53735834.339415558</v>
      </c>
      <c r="K44" s="18">
        <f t="shared" si="11"/>
        <v>53638361.702786826</v>
      </c>
      <c r="L44" s="18">
        <f t="shared" si="11"/>
        <v>53541376.429341249</v>
      </c>
      <c r="M44" s="18">
        <f t="shared" si="11"/>
        <v>23913207.418044019</v>
      </c>
      <c r="N44" s="18">
        <f t="shared" si="11"/>
        <v>19107551.223249484</v>
      </c>
      <c r="O44" s="18">
        <f t="shared" si="11"/>
        <v>19012013.467133231</v>
      </c>
      <c r="P44" s="18">
        <f t="shared" si="11"/>
        <v>18916953.399797566</v>
      </c>
      <c r="Q44" s="18">
        <f t="shared" si="11"/>
        <v>18822368.632798579</v>
      </c>
      <c r="R44" s="18">
        <f t="shared" si="11"/>
        <v>18728256.789634585</v>
      </c>
      <c r="S44" s="18">
        <f t="shared" si="11"/>
        <v>18634615.50568641</v>
      </c>
      <c r="T44" s="18">
        <f t="shared" si="11"/>
        <v>18541442.428157978</v>
      </c>
      <c r="U44" s="18">
        <f t="shared" ref="U44" si="12">SUM(U38:U43)</f>
        <v>18448735.21601719</v>
      </c>
    </row>
    <row r="46" spans="1:21" ht="15.5" x14ac:dyDescent="0.35">
      <c r="A46" s="77">
        <v>2028</v>
      </c>
      <c r="B46" s="220">
        <v>2024</v>
      </c>
      <c r="C46" s="220">
        <v>2025</v>
      </c>
      <c r="D46" s="220">
        <v>2026</v>
      </c>
      <c r="E46" s="220">
        <v>2027</v>
      </c>
      <c r="F46" s="220">
        <v>2028</v>
      </c>
      <c r="G46" s="220">
        <v>2029</v>
      </c>
      <c r="H46" s="220">
        <v>2030</v>
      </c>
      <c r="I46" s="220">
        <v>2031</v>
      </c>
      <c r="J46" s="220">
        <v>2032</v>
      </c>
      <c r="K46" s="220">
        <v>2033</v>
      </c>
      <c r="L46" s="220">
        <v>2034</v>
      </c>
      <c r="M46" s="220">
        <v>2035</v>
      </c>
      <c r="N46" s="220">
        <v>2036</v>
      </c>
      <c r="O46" s="220">
        <v>2037</v>
      </c>
      <c r="P46" s="220">
        <v>2038</v>
      </c>
      <c r="Q46" s="220">
        <v>2039</v>
      </c>
      <c r="R46" s="220">
        <v>2040</v>
      </c>
      <c r="S46" s="220">
        <v>2041</v>
      </c>
      <c r="T46" s="220">
        <v>2042</v>
      </c>
      <c r="U46" s="220">
        <v>2043</v>
      </c>
    </row>
    <row r="47" spans="1:21" x14ac:dyDescent="0.35">
      <c r="A47" s="164" t="s">
        <v>129</v>
      </c>
      <c r="B47" s="164"/>
      <c r="C47" s="166"/>
      <c r="D47" s="166"/>
      <c r="E47" s="166"/>
      <c r="F47" s="166">
        <f>E38*'ABP Future Assumptions'!$B$93</f>
        <v>0</v>
      </c>
      <c r="G47" s="166">
        <f>F38*'ABP Future Assumptions'!$B$93</f>
        <v>136184099.02307522</v>
      </c>
      <c r="H47" s="166">
        <f>G38*'ABP Future Assumptions'!$B$93</f>
        <v>0</v>
      </c>
      <c r="I47" s="166">
        <f>H38*'ABP Future Assumptions'!$B$93</f>
        <v>0</v>
      </c>
      <c r="J47" s="166">
        <f>I38*'ABP Future Assumptions'!$B$93</f>
        <v>0</v>
      </c>
      <c r="K47" s="166">
        <f>J38*'ABP Future Assumptions'!$B$93</f>
        <v>0</v>
      </c>
      <c r="L47" s="166">
        <f>K38*'ABP Future Assumptions'!$B$93</f>
        <v>0</v>
      </c>
      <c r="M47" s="166">
        <f>L38*'ABP Future Assumptions'!$B$93</f>
        <v>0</v>
      </c>
      <c r="N47" s="166">
        <f>M38*'ABP Future Assumptions'!$B$93</f>
        <v>0</v>
      </c>
      <c r="O47" s="166">
        <f>N38*'ABP Future Assumptions'!$B$93</f>
        <v>0</v>
      </c>
      <c r="P47" s="166">
        <f>O38*'ABP Future Assumptions'!$B$93</f>
        <v>0</v>
      </c>
      <c r="Q47" s="166">
        <f>P38*'ABP Future Assumptions'!$B$93</f>
        <v>0</v>
      </c>
      <c r="R47" s="166">
        <f>Q38*'ABP Future Assumptions'!$B$93</f>
        <v>0</v>
      </c>
      <c r="S47" s="166">
        <f>R38*'ABP Future Assumptions'!$B$93</f>
        <v>0</v>
      </c>
      <c r="T47" s="166">
        <f>S38*'ABP Future Assumptions'!$B$93</f>
        <v>0</v>
      </c>
      <c r="U47" s="166">
        <f>T38*'ABP Future Assumptions'!$B$93</f>
        <v>0</v>
      </c>
    </row>
    <row r="48" spans="1:21" x14ac:dyDescent="0.35">
      <c r="A48" s="164" t="s">
        <v>135</v>
      </c>
      <c r="B48" s="164"/>
      <c r="C48" s="166"/>
      <c r="D48" s="166"/>
      <c r="E48" s="166"/>
      <c r="F48" s="166">
        <f>E39*'ABP Future Assumptions'!$B$93</f>
        <v>0</v>
      </c>
      <c r="G48" s="166">
        <f>F39*'ABP Future Assumptions'!$B$93</f>
        <v>14219087.029905016</v>
      </c>
      <c r="H48" s="166">
        <f>G39*'ABP Future Assumptions'!$B$93</f>
        <v>13429137.750465848</v>
      </c>
      <c r="I48" s="166">
        <f>H39*'ABP Future Assumptions'!$B$93</f>
        <v>13429137.750465848</v>
      </c>
      <c r="J48" s="166">
        <f>I39*'ABP Future Assumptions'!$B$93</f>
        <v>13429137.750465848</v>
      </c>
      <c r="K48" s="166">
        <f>J39*'ABP Future Assumptions'!$B$93</f>
        <v>13429137.750465848</v>
      </c>
      <c r="L48" s="166">
        <f>K39*'ABP Future Assumptions'!$B$93</f>
        <v>13429137.750465848</v>
      </c>
      <c r="M48" s="166">
        <f>L39*'ABP Future Assumptions'!$B$93</f>
        <v>13429137.750465848</v>
      </c>
      <c r="N48" s="166">
        <f>M39*'ABP Future Assumptions'!$B$93</f>
        <v>0</v>
      </c>
      <c r="O48" s="166">
        <f>N39*'ABP Future Assumptions'!$B$93</f>
        <v>0</v>
      </c>
      <c r="P48" s="166">
        <f>O39*'ABP Future Assumptions'!$B$93</f>
        <v>0</v>
      </c>
      <c r="Q48" s="166">
        <f>P39*'ABP Future Assumptions'!$B$93</f>
        <v>0</v>
      </c>
      <c r="R48" s="166">
        <f>Q39*'ABP Future Assumptions'!$B$93</f>
        <v>0</v>
      </c>
      <c r="S48" s="166">
        <f>R39*'ABP Future Assumptions'!$B$93</f>
        <v>0</v>
      </c>
      <c r="T48" s="166">
        <f>S39*'ABP Future Assumptions'!$B$93</f>
        <v>0</v>
      </c>
      <c r="U48" s="166">
        <f>T39*'ABP Future Assumptions'!$B$93</f>
        <v>0</v>
      </c>
    </row>
    <row r="49" spans="1:21" x14ac:dyDescent="0.35">
      <c r="A49" s="164" t="s">
        <v>144</v>
      </c>
      <c r="B49" s="164"/>
      <c r="C49" s="166"/>
      <c r="D49" s="166"/>
      <c r="E49" s="166"/>
      <c r="F49" s="166">
        <f>E40*'ABP Future Assumptions'!$B$93</f>
        <v>0</v>
      </c>
      <c r="G49" s="166">
        <f>F40*'ABP Future Assumptions'!$B$93</f>
        <v>0</v>
      </c>
      <c r="H49" s="166">
        <f>G40*'ABP Future Assumptions'!$B$93</f>
        <v>11728889.869882209</v>
      </c>
      <c r="I49" s="166">
        <f>H40*'ABP Future Assumptions'!$B$93</f>
        <v>11670245.4205328</v>
      </c>
      <c r="J49" s="166">
        <f>I40*'ABP Future Assumptions'!$B$93</f>
        <v>11611894.193430135</v>
      </c>
      <c r="K49" s="166">
        <f>J40*'ABP Future Assumptions'!$B$93</f>
        <v>11553834.722462986</v>
      </c>
      <c r="L49" s="166">
        <f>K40*'ABP Future Assumptions'!$B$93</f>
        <v>11496065.548850669</v>
      </c>
      <c r="M49" s="166">
        <f>L40*'ABP Future Assumptions'!$B$93</f>
        <v>11438585.221106416</v>
      </c>
      <c r="N49" s="166">
        <f>M40*'ABP Future Assumptions'!$B$93</f>
        <v>11381392.295000885</v>
      </c>
      <c r="O49" s="166">
        <f>N40*'ABP Future Assumptions'!$B$93</f>
        <v>11324485.333525883</v>
      </c>
      <c r="P49" s="166">
        <f>O40*'ABP Future Assumptions'!$B$93</f>
        <v>11267862.90685825</v>
      </c>
      <c r="Q49" s="166">
        <f>P40*'ABP Future Assumptions'!$B$93</f>
        <v>11211523.592323961</v>
      </c>
      <c r="R49" s="166">
        <f>Q40*'ABP Future Assumptions'!$B$93</f>
        <v>11155465.97436234</v>
      </c>
      <c r="S49" s="166">
        <f>R40*'ABP Future Assumptions'!$B$93</f>
        <v>11099688.644490527</v>
      </c>
      <c r="T49" s="166">
        <f>S40*'ABP Future Assumptions'!$B$93</f>
        <v>11044190.201268075</v>
      </c>
      <c r="U49" s="166">
        <f>T40*'ABP Future Assumptions'!$B$93</f>
        <v>10988969.250261731</v>
      </c>
    </row>
    <row r="50" spans="1:21" x14ac:dyDescent="0.35">
      <c r="A50" s="164" t="s">
        <v>149</v>
      </c>
      <c r="B50" s="164"/>
      <c r="C50" s="166"/>
      <c r="D50" s="166"/>
      <c r="E50" s="166"/>
      <c r="F50" s="166">
        <f>E41*'ABP Future Assumptions'!$B$93</f>
        <v>0</v>
      </c>
      <c r="G50" s="166">
        <f>F41*'ABP Future Assumptions'!$B$93</f>
        <v>7305938.0285212658</v>
      </c>
      <c r="H50" s="166">
        <f>G41*'ABP Future Assumptions'!$B$93</f>
        <v>7269408.3383786576</v>
      </c>
      <c r="I50" s="166">
        <f>H41*'ABP Future Assumptions'!$B$93</f>
        <v>7233061.2966867648</v>
      </c>
      <c r="J50" s="166">
        <f>I41*'ABP Future Assumptions'!$B$93</f>
        <v>7196895.9902033312</v>
      </c>
      <c r="K50" s="166">
        <f>J41*'ABP Future Assumptions'!$B$93</f>
        <v>7160911.5102523137</v>
      </c>
      <c r="L50" s="166">
        <f>K41*'ABP Future Assumptions'!$B$93</f>
        <v>7125106.9527010527</v>
      </c>
      <c r="M50" s="166">
        <f>L41*'ABP Future Assumptions'!$B$93</f>
        <v>7089481.417937547</v>
      </c>
      <c r="N50" s="166">
        <f>M41*'ABP Future Assumptions'!$B$93</f>
        <v>7054034.0108478582</v>
      </c>
      <c r="O50" s="166">
        <f>N41*'ABP Future Assumptions'!$B$93</f>
        <v>7018763.8407936208</v>
      </c>
      <c r="P50" s="166">
        <f>O41*'ABP Future Assumptions'!$B$93</f>
        <v>6983670.0215896508</v>
      </c>
      <c r="Q50" s="166">
        <f>P41*'ABP Future Assumptions'!$B$93</f>
        <v>6948751.6714817025</v>
      </c>
      <c r="R50" s="166">
        <f>Q41*'ABP Future Assumptions'!$B$93</f>
        <v>6914007.913124295</v>
      </c>
      <c r="S50" s="166">
        <f>R41*'ABP Future Assumptions'!$B$93</f>
        <v>6879437.873558674</v>
      </c>
      <c r="T50" s="166">
        <f>S41*'ABP Future Assumptions'!$B$93</f>
        <v>6845040.6841908805</v>
      </c>
      <c r="U50" s="166">
        <f>T41*'ABP Future Assumptions'!$B$93</f>
        <v>6810815.4807699258</v>
      </c>
    </row>
    <row r="51" spans="1:21" x14ac:dyDescent="0.35">
      <c r="A51" s="164" t="s">
        <v>153</v>
      </c>
      <c r="B51" s="164"/>
      <c r="C51" s="166"/>
      <c r="D51" s="166"/>
      <c r="E51" s="166"/>
      <c r="F51" s="166">
        <f>E42*'ABP Future Assumptions'!$B$93</f>
        <v>0</v>
      </c>
      <c r="G51" s="166">
        <f>F42*'ABP Future Assumptions'!$B$93</f>
        <v>0</v>
      </c>
      <c r="H51" s="166">
        <f>G42*'ABP Future Assumptions'!$B$93</f>
        <v>4787208.8634425439</v>
      </c>
      <c r="I51" s="166">
        <f>H42*'ABP Future Assumptions'!$B$93</f>
        <v>4521252.8154735127</v>
      </c>
      <c r="J51" s="166">
        <f>I42*'ABP Future Assumptions'!$B$93</f>
        <v>4521252.8154735127</v>
      </c>
      <c r="K51" s="166">
        <f>J42*'ABP Future Assumptions'!$B$93</f>
        <v>4521252.8154735127</v>
      </c>
      <c r="L51" s="166">
        <f>K42*'ABP Future Assumptions'!$B$93</f>
        <v>4521252.8154735127</v>
      </c>
      <c r="M51" s="166">
        <f>L42*'ABP Future Assumptions'!$B$93</f>
        <v>4521252.8154735127</v>
      </c>
      <c r="N51" s="166">
        <f>M42*'ABP Future Assumptions'!$B$93</f>
        <v>4521252.8154735127</v>
      </c>
      <c r="O51" s="166">
        <f>N42*'ABP Future Assumptions'!$B$93</f>
        <v>0</v>
      </c>
      <c r="P51" s="166">
        <f>O42*'ABP Future Assumptions'!$B$93</f>
        <v>0</v>
      </c>
      <c r="Q51" s="166">
        <f>P42*'ABP Future Assumptions'!$B$93</f>
        <v>0</v>
      </c>
      <c r="R51" s="166">
        <f>Q42*'ABP Future Assumptions'!$B$93</f>
        <v>0</v>
      </c>
      <c r="S51" s="166">
        <f>R42*'ABP Future Assumptions'!$B$93</f>
        <v>0</v>
      </c>
      <c r="T51" s="166">
        <f>S42*'ABP Future Assumptions'!$B$93</f>
        <v>0</v>
      </c>
      <c r="U51" s="166">
        <f>T42*'ABP Future Assumptions'!$B$93</f>
        <v>0</v>
      </c>
    </row>
    <row r="52" spans="1:21" x14ac:dyDescent="0.35">
      <c r="A52" s="164" t="s">
        <v>156</v>
      </c>
      <c r="B52" s="164"/>
      <c r="C52" s="166"/>
      <c r="D52" s="166"/>
      <c r="E52" s="166"/>
      <c r="F52" s="166">
        <f>E43*'ABP Future Assumptions'!$B$93</f>
        <v>0</v>
      </c>
      <c r="G52" s="166">
        <f>F43*'ABP Future Assumptions'!$B$93</f>
        <v>15798985.588783344</v>
      </c>
      <c r="H52" s="166">
        <f>G43*'ABP Future Assumptions'!$B$93</f>
        <v>14921264.167184273</v>
      </c>
      <c r="I52" s="166">
        <f>H43*'ABP Future Assumptions'!$B$93</f>
        <v>14921264.167184273</v>
      </c>
      <c r="J52" s="166">
        <f>I43*'ABP Future Assumptions'!$B$93</f>
        <v>14921264.167184273</v>
      </c>
      <c r="K52" s="166">
        <f>J43*'ABP Future Assumptions'!$B$93</f>
        <v>14921264.167184273</v>
      </c>
      <c r="L52" s="166">
        <f>K43*'ABP Future Assumptions'!$B$93</f>
        <v>14921264.167184273</v>
      </c>
      <c r="M52" s="166">
        <f>L43*'ABP Future Assumptions'!$B$93</f>
        <v>14921264.167184273</v>
      </c>
      <c r="N52" s="166">
        <f>M43*'ABP Future Assumptions'!$B$93</f>
        <v>0</v>
      </c>
      <c r="O52" s="166">
        <f>N43*'ABP Future Assumptions'!$B$93</f>
        <v>0</v>
      </c>
      <c r="P52" s="166">
        <f>O43*'ABP Future Assumptions'!$B$93</f>
        <v>0</v>
      </c>
      <c r="Q52" s="166">
        <f>P43*'ABP Future Assumptions'!$B$93</f>
        <v>0</v>
      </c>
      <c r="R52" s="166">
        <f>Q43*'ABP Future Assumptions'!$B$93</f>
        <v>0</v>
      </c>
      <c r="S52" s="166">
        <f>R43*'ABP Future Assumptions'!$B$93</f>
        <v>0</v>
      </c>
      <c r="T52" s="166">
        <f>S43*'ABP Future Assumptions'!$B$93</f>
        <v>0</v>
      </c>
      <c r="U52" s="166">
        <f>T43*'ABP Future Assumptions'!$B$93</f>
        <v>0</v>
      </c>
    </row>
    <row r="53" spans="1:21" x14ac:dyDescent="0.35">
      <c r="A53" s="163" t="s">
        <v>103</v>
      </c>
      <c r="B53" s="163"/>
      <c r="C53" s="18">
        <f t="shared" ref="C53:T53" si="13">SUM(C47:C52)</f>
        <v>0</v>
      </c>
      <c r="D53" s="18">
        <f t="shared" si="13"/>
        <v>0</v>
      </c>
      <c r="E53" s="18">
        <f t="shared" si="13"/>
        <v>0</v>
      </c>
      <c r="F53" s="18">
        <f t="shared" si="13"/>
        <v>0</v>
      </c>
      <c r="G53" s="18">
        <f t="shared" si="13"/>
        <v>173508109.67028487</v>
      </c>
      <c r="H53" s="18">
        <f t="shared" si="13"/>
        <v>52135908.98935353</v>
      </c>
      <c r="I53" s="18">
        <f t="shared" si="13"/>
        <v>51774961.450343199</v>
      </c>
      <c r="J53" s="18">
        <f t="shared" si="13"/>
        <v>51680444.916757099</v>
      </c>
      <c r="K53" s="18">
        <f t="shared" si="13"/>
        <v>51586400.965838932</v>
      </c>
      <c r="L53" s="18">
        <f t="shared" si="13"/>
        <v>51492827.234675355</v>
      </c>
      <c r="M53" s="18">
        <f t="shared" si="13"/>
        <v>51399721.372167595</v>
      </c>
      <c r="N53" s="18">
        <f t="shared" si="13"/>
        <v>22956679.121322256</v>
      </c>
      <c r="O53" s="18">
        <f t="shared" si="13"/>
        <v>18343249.174319506</v>
      </c>
      <c r="P53" s="18">
        <f t="shared" si="13"/>
        <v>18251532.928447902</v>
      </c>
      <c r="Q53" s="18">
        <f t="shared" si="13"/>
        <v>18160275.263805665</v>
      </c>
      <c r="R53" s="18">
        <f t="shared" si="13"/>
        <v>18069473.887486637</v>
      </c>
      <c r="S53" s="18">
        <f t="shared" si="13"/>
        <v>17979126.518049203</v>
      </c>
      <c r="T53" s="18">
        <f t="shared" si="13"/>
        <v>17889230.885458954</v>
      </c>
      <c r="U53" s="18">
        <f t="shared" ref="U53" si="14">SUM(U47:U52)</f>
        <v>17799784.731031656</v>
      </c>
    </row>
    <row r="55" spans="1:21" ht="15.5" x14ac:dyDescent="0.35">
      <c r="A55" s="77">
        <v>2029</v>
      </c>
      <c r="B55" s="220">
        <v>2024</v>
      </c>
      <c r="C55" s="220">
        <v>2025</v>
      </c>
      <c r="D55" s="220">
        <v>2026</v>
      </c>
      <c r="E55" s="220">
        <v>2027</v>
      </c>
      <c r="F55" s="220">
        <v>2028</v>
      </c>
      <c r="G55" s="220">
        <v>2029</v>
      </c>
      <c r="H55" s="220">
        <v>2030</v>
      </c>
      <c r="I55" s="220">
        <v>2031</v>
      </c>
      <c r="J55" s="220">
        <v>2032</v>
      </c>
      <c r="K55" s="220">
        <v>2033</v>
      </c>
      <c r="L55" s="220">
        <v>2034</v>
      </c>
      <c r="M55" s="220">
        <v>2035</v>
      </c>
      <c r="N55" s="220">
        <v>2036</v>
      </c>
      <c r="O55" s="220">
        <v>2037</v>
      </c>
      <c r="P55" s="220">
        <v>2038</v>
      </c>
      <c r="Q55" s="220">
        <v>2039</v>
      </c>
      <c r="R55" s="220">
        <v>2040</v>
      </c>
      <c r="S55" s="220">
        <v>2041</v>
      </c>
      <c r="T55" s="220">
        <v>2042</v>
      </c>
      <c r="U55" s="220">
        <v>2043</v>
      </c>
    </row>
    <row r="56" spans="1:21" x14ac:dyDescent="0.35">
      <c r="A56" s="164" t="s">
        <v>129</v>
      </c>
      <c r="B56" s="164"/>
      <c r="C56" s="166"/>
      <c r="D56" s="166"/>
      <c r="E56" s="166"/>
      <c r="F56" s="166"/>
      <c r="G56" s="166">
        <f>F47*'ABP Future Assumptions'!$B$93</f>
        <v>0</v>
      </c>
      <c r="H56" s="166">
        <f>G47*'ABP Future Assumptions'!$B$93</f>
        <v>130736735.06215221</v>
      </c>
      <c r="I56" s="166">
        <f>H47*'ABP Future Assumptions'!$B$93</f>
        <v>0</v>
      </c>
      <c r="J56" s="166">
        <f>I47*'ABP Future Assumptions'!$B$93</f>
        <v>0</v>
      </c>
      <c r="K56" s="166">
        <f>J47*'ABP Future Assumptions'!$B$93</f>
        <v>0</v>
      </c>
      <c r="L56" s="166">
        <f>K47*'ABP Future Assumptions'!$B$93</f>
        <v>0</v>
      </c>
      <c r="M56" s="166">
        <f>L47*'ABP Future Assumptions'!$B$93</f>
        <v>0</v>
      </c>
      <c r="N56" s="166">
        <f>M47*'ABP Future Assumptions'!$B$93</f>
        <v>0</v>
      </c>
      <c r="O56" s="166">
        <f>N47*'ABP Future Assumptions'!$B$93</f>
        <v>0</v>
      </c>
      <c r="P56" s="166">
        <f>O47*'ABP Future Assumptions'!$B$93</f>
        <v>0</v>
      </c>
      <c r="Q56" s="166">
        <f>P47*'ABP Future Assumptions'!$B$93</f>
        <v>0</v>
      </c>
      <c r="R56" s="166">
        <f>Q47*'ABP Future Assumptions'!$B$93</f>
        <v>0</v>
      </c>
      <c r="S56" s="166">
        <f>R47*'ABP Future Assumptions'!$B$93</f>
        <v>0</v>
      </c>
      <c r="T56" s="166">
        <f>S47*'ABP Future Assumptions'!$B$93</f>
        <v>0</v>
      </c>
      <c r="U56" s="166">
        <f>T47*'ABP Future Assumptions'!$B$93</f>
        <v>0</v>
      </c>
    </row>
    <row r="57" spans="1:21" x14ac:dyDescent="0.35">
      <c r="A57" s="164" t="s">
        <v>135</v>
      </c>
      <c r="B57" s="164"/>
      <c r="C57" s="166"/>
      <c r="D57" s="166"/>
      <c r="E57" s="166"/>
      <c r="F57" s="166"/>
      <c r="G57" s="166">
        <f>F48*'ABP Future Assumptions'!$B$93</f>
        <v>0</v>
      </c>
      <c r="H57" s="166">
        <f>G48*'ABP Future Assumptions'!$B$93</f>
        <v>13650323.548708815</v>
      </c>
      <c r="I57" s="166">
        <f>H48*'ABP Future Assumptions'!$B$93</f>
        <v>12891972.240447214</v>
      </c>
      <c r="J57" s="166">
        <f>I48*'ABP Future Assumptions'!$B$93</f>
        <v>12891972.240447214</v>
      </c>
      <c r="K57" s="166">
        <f>J48*'ABP Future Assumptions'!$B$93</f>
        <v>12891972.240447214</v>
      </c>
      <c r="L57" s="166">
        <f>K48*'ABP Future Assumptions'!$B$93</f>
        <v>12891972.240447214</v>
      </c>
      <c r="M57" s="166">
        <f>L48*'ABP Future Assumptions'!$B$93</f>
        <v>12891972.240447214</v>
      </c>
      <c r="N57" s="166">
        <f>M48*'ABP Future Assumptions'!$B$93</f>
        <v>12891972.240447214</v>
      </c>
      <c r="O57" s="166">
        <f>N48*'ABP Future Assumptions'!$B$93</f>
        <v>0</v>
      </c>
      <c r="P57" s="166">
        <f>O48*'ABP Future Assumptions'!$B$93</f>
        <v>0</v>
      </c>
      <c r="Q57" s="166">
        <f>P48*'ABP Future Assumptions'!$B$93</f>
        <v>0</v>
      </c>
      <c r="R57" s="166">
        <f>Q48*'ABP Future Assumptions'!$B$93</f>
        <v>0</v>
      </c>
      <c r="S57" s="166">
        <f>R48*'ABP Future Assumptions'!$B$93</f>
        <v>0</v>
      </c>
      <c r="T57" s="166">
        <f>S48*'ABP Future Assumptions'!$B$93</f>
        <v>0</v>
      </c>
      <c r="U57" s="166">
        <f>T48*'ABP Future Assumptions'!$B$93</f>
        <v>0</v>
      </c>
    </row>
    <row r="58" spans="1:21" x14ac:dyDescent="0.35">
      <c r="A58" s="164" t="s">
        <v>144</v>
      </c>
      <c r="B58" s="164"/>
      <c r="C58" s="166"/>
      <c r="D58" s="166"/>
      <c r="E58" s="166"/>
      <c r="F58" s="166"/>
      <c r="G58" s="166">
        <f>F49*'ABP Future Assumptions'!$B$93</f>
        <v>0</v>
      </c>
      <c r="H58" s="166">
        <f>G49*'ABP Future Assumptions'!$B$93</f>
        <v>0</v>
      </c>
      <c r="I58" s="166">
        <f>H49*'ABP Future Assumptions'!$B$93</f>
        <v>11259734.275086921</v>
      </c>
      <c r="J58" s="166">
        <f>I49*'ABP Future Assumptions'!$B$93</f>
        <v>11203435.603711488</v>
      </c>
      <c r="K58" s="166">
        <f>J49*'ABP Future Assumptions'!$B$93</f>
        <v>11147418.425692929</v>
      </c>
      <c r="L58" s="166">
        <f>K49*'ABP Future Assumptions'!$B$93</f>
        <v>11091681.333564466</v>
      </c>
      <c r="M58" s="166">
        <f>L49*'ABP Future Assumptions'!$B$93</f>
        <v>11036222.926896641</v>
      </c>
      <c r="N58" s="166">
        <f>M49*'ABP Future Assumptions'!$B$93</f>
        <v>10981041.812262159</v>
      </c>
      <c r="O58" s="166">
        <f>N49*'ABP Future Assumptions'!$B$93</f>
        <v>10926136.603200849</v>
      </c>
      <c r="P58" s="166">
        <f>O49*'ABP Future Assumptions'!$B$93</f>
        <v>10871505.920184847</v>
      </c>
      <c r="Q58" s="166">
        <f>P49*'ABP Future Assumptions'!$B$93</f>
        <v>10817148.390583919</v>
      </c>
      <c r="R58" s="166">
        <f>Q49*'ABP Future Assumptions'!$B$93</f>
        <v>10763062.648631003</v>
      </c>
      <c r="S58" s="166">
        <f>R49*'ABP Future Assumptions'!$B$93</f>
        <v>10709247.335387846</v>
      </c>
      <c r="T58" s="166">
        <f>S49*'ABP Future Assumptions'!$B$93</f>
        <v>10655701.098710906</v>
      </c>
      <c r="U58" s="166">
        <f>T49*'ABP Future Assumptions'!$B$93</f>
        <v>10602422.593217352</v>
      </c>
    </row>
    <row r="59" spans="1:21" x14ac:dyDescent="0.35">
      <c r="A59" s="164" t="s">
        <v>149</v>
      </c>
      <c r="B59" s="164"/>
      <c r="C59" s="166"/>
      <c r="D59" s="166"/>
      <c r="E59" s="166"/>
      <c r="F59" s="166"/>
      <c r="G59" s="166">
        <f>F50*'ABP Future Assumptions'!$B$93</f>
        <v>0</v>
      </c>
      <c r="H59" s="166">
        <f>G50*'ABP Future Assumptions'!$B$93</f>
        <v>7013700.5073804148</v>
      </c>
      <c r="I59" s="166">
        <f>H50*'ABP Future Assumptions'!$B$93</f>
        <v>6978632.0048435107</v>
      </c>
      <c r="J59" s="166">
        <f>I50*'ABP Future Assumptions'!$B$93</f>
        <v>6943738.8448192943</v>
      </c>
      <c r="K59" s="166">
        <f>J50*'ABP Future Assumptions'!$B$93</f>
        <v>6909020.1505951975</v>
      </c>
      <c r="L59" s="166">
        <f>K50*'ABP Future Assumptions'!$B$93</f>
        <v>6874475.0498422207</v>
      </c>
      <c r="M59" s="166">
        <f>L50*'ABP Future Assumptions'!$B$93</f>
        <v>6840102.67459301</v>
      </c>
      <c r="N59" s="166">
        <f>M50*'ABP Future Assumptions'!$B$93</f>
        <v>6805902.1612200448</v>
      </c>
      <c r="O59" s="166">
        <f>N50*'ABP Future Assumptions'!$B$93</f>
        <v>6771872.6504139435</v>
      </c>
      <c r="P59" s="166">
        <f>O50*'ABP Future Assumptions'!$B$93</f>
        <v>6738013.2871618755</v>
      </c>
      <c r="Q59" s="166">
        <f>P50*'ABP Future Assumptions'!$B$93</f>
        <v>6704323.2207260644</v>
      </c>
      <c r="R59" s="166">
        <f>Q50*'ABP Future Assumptions'!$B$93</f>
        <v>6670801.6046224339</v>
      </c>
      <c r="S59" s="166">
        <f>R50*'ABP Future Assumptions'!$B$93</f>
        <v>6637447.5965993227</v>
      </c>
      <c r="T59" s="166">
        <f>S50*'ABP Future Assumptions'!$B$93</f>
        <v>6604260.3586163269</v>
      </c>
      <c r="U59" s="166">
        <f>T50*'ABP Future Assumptions'!$B$93</f>
        <v>6571239.0568232452</v>
      </c>
    </row>
    <row r="60" spans="1:21" x14ac:dyDescent="0.35">
      <c r="A60" s="164" t="s">
        <v>153</v>
      </c>
      <c r="B60" s="164"/>
      <c r="C60" s="166"/>
      <c r="D60" s="166"/>
      <c r="E60" s="166"/>
      <c r="F60" s="166"/>
      <c r="G60" s="166">
        <f>F51*'ABP Future Assumptions'!$B$93</f>
        <v>0</v>
      </c>
      <c r="H60" s="166">
        <f>G51*'ABP Future Assumptions'!$B$93</f>
        <v>0</v>
      </c>
      <c r="I60" s="166">
        <f>H51*'ABP Future Assumptions'!$B$93</f>
        <v>4595720.5089048417</v>
      </c>
      <c r="J60" s="166">
        <f>I51*'ABP Future Assumptions'!$B$93</f>
        <v>4340402.7028545719</v>
      </c>
      <c r="K60" s="166">
        <f>J51*'ABP Future Assumptions'!$B$93</f>
        <v>4340402.7028545719</v>
      </c>
      <c r="L60" s="166">
        <f>K51*'ABP Future Assumptions'!$B$93</f>
        <v>4340402.7028545719</v>
      </c>
      <c r="M60" s="166">
        <f>L51*'ABP Future Assumptions'!$B$93</f>
        <v>4340402.7028545719</v>
      </c>
      <c r="N60" s="166">
        <f>M51*'ABP Future Assumptions'!$B$93</f>
        <v>4340402.7028545719</v>
      </c>
      <c r="O60" s="166">
        <f>N51*'ABP Future Assumptions'!$B$93</f>
        <v>4340402.7028545719</v>
      </c>
      <c r="P60" s="166">
        <f>O51*'ABP Future Assumptions'!$B$93</f>
        <v>0</v>
      </c>
      <c r="Q60" s="166">
        <f>P51*'ABP Future Assumptions'!$B$93</f>
        <v>0</v>
      </c>
      <c r="R60" s="166">
        <f>Q51*'ABP Future Assumptions'!$B$93</f>
        <v>0</v>
      </c>
      <c r="S60" s="166">
        <f>R51*'ABP Future Assumptions'!$B$93</f>
        <v>0</v>
      </c>
      <c r="T60" s="166">
        <f>S51*'ABP Future Assumptions'!$B$93</f>
        <v>0</v>
      </c>
      <c r="U60" s="166">
        <f>T51*'ABP Future Assumptions'!$B$93</f>
        <v>0</v>
      </c>
    </row>
    <row r="61" spans="1:21" x14ac:dyDescent="0.35">
      <c r="A61" s="164" t="s">
        <v>156</v>
      </c>
      <c r="B61" s="164"/>
      <c r="C61" s="166"/>
      <c r="D61" s="166"/>
      <c r="E61" s="166"/>
      <c r="F61" s="166"/>
      <c r="G61" s="166">
        <f>F52*'ABP Future Assumptions'!$B$93</f>
        <v>0</v>
      </c>
      <c r="H61" s="166">
        <f>G52*'ABP Future Assumptions'!$B$93</f>
        <v>15167026.16523201</v>
      </c>
      <c r="I61" s="166">
        <f>H52*'ABP Future Assumptions'!$B$93</f>
        <v>14324413.600496901</v>
      </c>
      <c r="J61" s="166">
        <f>I52*'ABP Future Assumptions'!$B$93</f>
        <v>14324413.600496901</v>
      </c>
      <c r="K61" s="166">
        <f>J52*'ABP Future Assumptions'!$B$93</f>
        <v>14324413.600496901</v>
      </c>
      <c r="L61" s="166">
        <f>K52*'ABP Future Assumptions'!$B$93</f>
        <v>14324413.600496901</v>
      </c>
      <c r="M61" s="166">
        <f>L52*'ABP Future Assumptions'!$B$93</f>
        <v>14324413.600496901</v>
      </c>
      <c r="N61" s="166">
        <f>M52*'ABP Future Assumptions'!$B$93</f>
        <v>14324413.600496901</v>
      </c>
      <c r="O61" s="166">
        <f>N52*'ABP Future Assumptions'!$B$93</f>
        <v>0</v>
      </c>
      <c r="P61" s="166">
        <f>O52*'ABP Future Assumptions'!$B$93</f>
        <v>0</v>
      </c>
      <c r="Q61" s="166">
        <f>P52*'ABP Future Assumptions'!$B$93</f>
        <v>0</v>
      </c>
      <c r="R61" s="166">
        <f>Q52*'ABP Future Assumptions'!$B$93</f>
        <v>0</v>
      </c>
      <c r="S61" s="166">
        <f>R52*'ABP Future Assumptions'!$B$93</f>
        <v>0</v>
      </c>
      <c r="T61" s="166">
        <f>S52*'ABP Future Assumptions'!$B$93</f>
        <v>0</v>
      </c>
      <c r="U61" s="166">
        <f>T52*'ABP Future Assumptions'!$B$93</f>
        <v>0</v>
      </c>
    </row>
    <row r="62" spans="1:21" x14ac:dyDescent="0.35">
      <c r="A62" s="163" t="s">
        <v>103</v>
      </c>
      <c r="B62" s="163"/>
      <c r="C62" s="18">
        <f t="shared" ref="C62:T62" si="15">SUM(C56:C61)</f>
        <v>0</v>
      </c>
      <c r="D62" s="18">
        <f t="shared" si="15"/>
        <v>0</v>
      </c>
      <c r="E62" s="18">
        <f t="shared" si="15"/>
        <v>0</v>
      </c>
      <c r="F62" s="18">
        <f t="shared" si="15"/>
        <v>0</v>
      </c>
      <c r="G62" s="18">
        <f t="shared" si="15"/>
        <v>0</v>
      </c>
      <c r="H62" s="18">
        <f t="shared" si="15"/>
        <v>166567785.28347346</v>
      </c>
      <c r="I62" s="18">
        <f t="shared" si="15"/>
        <v>50050472.629779391</v>
      </c>
      <c r="J62" s="18">
        <f t="shared" si="15"/>
        <v>49703962.992329471</v>
      </c>
      <c r="K62" s="18">
        <f t="shared" si="15"/>
        <v>49613227.120086819</v>
      </c>
      <c r="L62" s="18">
        <f t="shared" si="15"/>
        <v>49522944.927205376</v>
      </c>
      <c r="M62" s="18">
        <f t="shared" si="15"/>
        <v>49433114.145288341</v>
      </c>
      <c r="N62" s="18">
        <f t="shared" si="15"/>
        <v>49343732.517280892</v>
      </c>
      <c r="O62" s="18">
        <f t="shared" si="15"/>
        <v>22038411.956469364</v>
      </c>
      <c r="P62" s="18">
        <f t="shared" si="15"/>
        <v>17609519.207346722</v>
      </c>
      <c r="Q62" s="18">
        <f t="shared" si="15"/>
        <v>17521471.611309983</v>
      </c>
      <c r="R62" s="18">
        <f t="shared" si="15"/>
        <v>17433864.253253438</v>
      </c>
      <c r="S62" s="18">
        <f t="shared" si="15"/>
        <v>17346694.93198717</v>
      </c>
      <c r="T62" s="18">
        <f t="shared" si="15"/>
        <v>17259961.457327232</v>
      </c>
      <c r="U62" s="18">
        <f t="shared" ref="U62" si="16">SUM(U56:U61)</f>
        <v>17173661.650040597</v>
      </c>
    </row>
    <row r="64" spans="1:21" ht="15.5" x14ac:dyDescent="0.35">
      <c r="A64" s="77">
        <v>2030</v>
      </c>
      <c r="B64" s="220">
        <v>2024</v>
      </c>
      <c r="C64" s="220">
        <v>2025</v>
      </c>
      <c r="D64" s="220">
        <v>2026</v>
      </c>
      <c r="E64" s="220">
        <v>2027</v>
      </c>
      <c r="F64" s="220">
        <v>2028</v>
      </c>
      <c r="G64" s="220">
        <v>2029</v>
      </c>
      <c r="H64" s="220">
        <v>2030</v>
      </c>
      <c r="I64" s="220">
        <v>2031</v>
      </c>
      <c r="J64" s="220">
        <v>2032</v>
      </c>
      <c r="K64" s="220">
        <v>2033</v>
      </c>
      <c r="L64" s="220">
        <v>2034</v>
      </c>
      <c r="M64" s="220">
        <v>2035</v>
      </c>
      <c r="N64" s="220">
        <v>2036</v>
      </c>
      <c r="O64" s="220">
        <v>2037</v>
      </c>
      <c r="P64" s="220">
        <v>2038</v>
      </c>
      <c r="Q64" s="220">
        <v>2039</v>
      </c>
      <c r="R64" s="220">
        <v>2040</v>
      </c>
      <c r="S64" s="220">
        <v>2041</v>
      </c>
      <c r="T64" s="220">
        <v>2042</v>
      </c>
      <c r="U64" s="220">
        <v>2043</v>
      </c>
    </row>
    <row r="65" spans="1:21" x14ac:dyDescent="0.35">
      <c r="A65" s="164" t="s">
        <v>129</v>
      </c>
      <c r="B65" s="164"/>
      <c r="C65" s="166"/>
      <c r="D65" s="166"/>
      <c r="E65" s="166"/>
      <c r="F65" s="166"/>
      <c r="G65" s="166"/>
      <c r="H65" s="166">
        <f>G56*'ABP Future Assumptions'!$B$93</f>
        <v>0</v>
      </c>
      <c r="I65" s="166">
        <f>H56*'ABP Future Assumptions'!$B$93</f>
        <v>125507265.65966612</v>
      </c>
      <c r="J65" s="166">
        <f>I56*'ABP Future Assumptions'!$B$93</f>
        <v>0</v>
      </c>
      <c r="K65" s="166">
        <f>J56*'ABP Future Assumptions'!$B$93</f>
        <v>0</v>
      </c>
      <c r="L65" s="166">
        <f>K56*'ABP Future Assumptions'!$B$93</f>
        <v>0</v>
      </c>
      <c r="M65" s="166">
        <f>L56*'ABP Future Assumptions'!$B$93</f>
        <v>0</v>
      </c>
      <c r="N65" s="166">
        <f>M56*'ABP Future Assumptions'!$B$93</f>
        <v>0</v>
      </c>
      <c r="O65" s="166">
        <f>N56*'ABP Future Assumptions'!$B$93</f>
        <v>0</v>
      </c>
      <c r="P65" s="166">
        <f>O56*'ABP Future Assumptions'!$B$93</f>
        <v>0</v>
      </c>
      <c r="Q65" s="166">
        <f>P56*'ABP Future Assumptions'!$B$93</f>
        <v>0</v>
      </c>
      <c r="R65" s="166">
        <f>Q56*'ABP Future Assumptions'!$B$93</f>
        <v>0</v>
      </c>
      <c r="S65" s="166">
        <f>R56*'ABP Future Assumptions'!$B$93</f>
        <v>0</v>
      </c>
      <c r="T65" s="166">
        <f>S56*'ABP Future Assumptions'!$B$93</f>
        <v>0</v>
      </c>
      <c r="U65" s="166">
        <f>T56*'ABP Future Assumptions'!$B$93</f>
        <v>0</v>
      </c>
    </row>
    <row r="66" spans="1:21" x14ac:dyDescent="0.35">
      <c r="A66" s="164" t="s">
        <v>135</v>
      </c>
      <c r="B66" s="164"/>
      <c r="C66" s="166"/>
      <c r="D66" s="166"/>
      <c r="E66" s="166"/>
      <c r="F66" s="166"/>
      <c r="G66" s="166"/>
      <c r="H66" s="166">
        <f>G57*'ABP Future Assumptions'!$B$93</f>
        <v>0</v>
      </c>
      <c r="I66" s="166">
        <f>H57*'ABP Future Assumptions'!$B$93</f>
        <v>13104310.606760463</v>
      </c>
      <c r="J66" s="166">
        <f>I57*'ABP Future Assumptions'!$B$93</f>
        <v>12376293.350829326</v>
      </c>
      <c r="K66" s="166">
        <f>J57*'ABP Future Assumptions'!$B$93</f>
        <v>12376293.350829326</v>
      </c>
      <c r="L66" s="166">
        <f>K57*'ABP Future Assumptions'!$B$93</f>
        <v>12376293.350829326</v>
      </c>
      <c r="M66" s="166">
        <f>L57*'ABP Future Assumptions'!$B$93</f>
        <v>12376293.350829326</v>
      </c>
      <c r="N66" s="166">
        <f>M57*'ABP Future Assumptions'!$B$93</f>
        <v>12376293.350829326</v>
      </c>
      <c r="O66" s="166">
        <f>N57*'ABP Future Assumptions'!$B$93</f>
        <v>12376293.350829326</v>
      </c>
      <c r="P66" s="166">
        <f>O57*'ABP Future Assumptions'!$B$93</f>
        <v>0</v>
      </c>
      <c r="Q66" s="166">
        <f>P57*'ABP Future Assumptions'!$B$93</f>
        <v>0</v>
      </c>
      <c r="R66" s="166">
        <f>Q57*'ABP Future Assumptions'!$B$93</f>
        <v>0</v>
      </c>
      <c r="S66" s="166">
        <f>R57*'ABP Future Assumptions'!$B$93</f>
        <v>0</v>
      </c>
      <c r="T66" s="166">
        <f>S57*'ABP Future Assumptions'!$B$93</f>
        <v>0</v>
      </c>
      <c r="U66" s="166">
        <f>T57*'ABP Future Assumptions'!$B$93</f>
        <v>0</v>
      </c>
    </row>
    <row r="67" spans="1:21" x14ac:dyDescent="0.35">
      <c r="A67" s="164" t="s">
        <v>144</v>
      </c>
      <c r="B67" s="164"/>
      <c r="C67" s="166"/>
      <c r="D67" s="166"/>
      <c r="E67" s="166"/>
      <c r="F67" s="166"/>
      <c r="G67" s="166"/>
      <c r="H67" s="166">
        <f>G58*'ABP Future Assumptions'!$B$93</f>
        <v>0</v>
      </c>
      <c r="I67" s="166">
        <f>H58*'ABP Future Assumptions'!$B$93</f>
        <v>0</v>
      </c>
      <c r="J67" s="166">
        <f>I58*'ABP Future Assumptions'!$B$93</f>
        <v>10809344.904083444</v>
      </c>
      <c r="K67" s="166">
        <f>J58*'ABP Future Assumptions'!$B$93</f>
        <v>10755298.179563029</v>
      </c>
      <c r="L67" s="166">
        <f>K58*'ABP Future Assumptions'!$B$93</f>
        <v>10701521.688665211</v>
      </c>
      <c r="M67" s="166">
        <f>L58*'ABP Future Assumptions'!$B$93</f>
        <v>10648014.080221888</v>
      </c>
      <c r="N67" s="166">
        <f>M58*'ABP Future Assumptions'!$B$93</f>
        <v>10594774.009820774</v>
      </c>
      <c r="O67" s="166">
        <f>N58*'ABP Future Assumptions'!$B$93</f>
        <v>10541800.139771672</v>
      </c>
      <c r="P67" s="166">
        <f>O58*'ABP Future Assumptions'!$B$93</f>
        <v>10489091.139072815</v>
      </c>
      <c r="Q67" s="166">
        <f>P58*'ABP Future Assumptions'!$B$93</f>
        <v>10436645.683377452</v>
      </c>
      <c r="R67" s="166">
        <f>Q58*'ABP Future Assumptions'!$B$93</f>
        <v>10384462.454960562</v>
      </c>
      <c r="S67" s="166">
        <f>R58*'ABP Future Assumptions'!$B$93</f>
        <v>10332540.142685762</v>
      </c>
      <c r="T67" s="166">
        <f>S58*'ABP Future Assumptions'!$B$93</f>
        <v>10280877.441972332</v>
      </c>
      <c r="U67" s="166">
        <f>T58*'ABP Future Assumptions'!$B$93</f>
        <v>10229473.05476247</v>
      </c>
    </row>
    <row r="68" spans="1:21" x14ac:dyDescent="0.35">
      <c r="A68" s="164" t="s">
        <v>149</v>
      </c>
      <c r="B68" s="164"/>
      <c r="C68" s="166"/>
      <c r="D68" s="166"/>
      <c r="E68" s="166"/>
      <c r="F68" s="166"/>
      <c r="G68" s="166"/>
      <c r="H68" s="166">
        <f>G59*'ABP Future Assumptions'!$B$93</f>
        <v>0</v>
      </c>
      <c r="I68" s="166">
        <f>H59*'ABP Future Assumptions'!$B$93</f>
        <v>6733152.4870851981</v>
      </c>
      <c r="J68" s="166">
        <f>I59*'ABP Future Assumptions'!$B$93</f>
        <v>6699486.7246497702</v>
      </c>
      <c r="K68" s="166">
        <f>J59*'ABP Future Assumptions'!$B$93</f>
        <v>6665989.2910265224</v>
      </c>
      <c r="L68" s="166">
        <f>K59*'ABP Future Assumptions'!$B$93</f>
        <v>6632659.3445713893</v>
      </c>
      <c r="M68" s="166">
        <f>L59*'ABP Future Assumptions'!$B$93</f>
        <v>6599496.047848532</v>
      </c>
      <c r="N68" s="166">
        <f>M59*'ABP Future Assumptions'!$B$93</f>
        <v>6566498.5676092897</v>
      </c>
      <c r="O68" s="166">
        <f>N59*'ABP Future Assumptions'!$B$93</f>
        <v>6533666.0747712431</v>
      </c>
      <c r="P68" s="166">
        <f>O59*'ABP Future Assumptions'!$B$93</f>
        <v>6500997.744397385</v>
      </c>
      <c r="Q68" s="166">
        <f>P59*'ABP Future Assumptions'!$B$93</f>
        <v>6468492.7556754006</v>
      </c>
      <c r="R68" s="166">
        <f>Q59*'ABP Future Assumptions'!$B$93</f>
        <v>6436150.2918970212</v>
      </c>
      <c r="S68" s="166">
        <f>R59*'ABP Future Assumptions'!$B$93</f>
        <v>6403969.5404375363</v>
      </c>
      <c r="T68" s="166">
        <f>S59*'ABP Future Assumptions'!$B$93</f>
        <v>6371949.6927353498</v>
      </c>
      <c r="U68" s="166">
        <f>T59*'ABP Future Assumptions'!$B$93</f>
        <v>6340089.9442716734</v>
      </c>
    </row>
    <row r="69" spans="1:21" x14ac:dyDescent="0.35">
      <c r="A69" s="164" t="s">
        <v>153</v>
      </c>
      <c r="B69" s="164"/>
      <c r="C69" s="166"/>
      <c r="D69" s="166"/>
      <c r="E69" s="166"/>
      <c r="F69" s="166"/>
      <c r="G69" s="166"/>
      <c r="H69" s="166">
        <f>G60*'ABP Future Assumptions'!$B$93</f>
        <v>0</v>
      </c>
      <c r="I69" s="166">
        <f>H60*'ABP Future Assumptions'!$B$93</f>
        <v>0</v>
      </c>
      <c r="J69" s="166">
        <f>I60*'ABP Future Assumptions'!$B$93</f>
        <v>4411891.6885486478</v>
      </c>
      <c r="K69" s="166">
        <f>J60*'ABP Future Assumptions'!$B$93</f>
        <v>4166786.5947403889</v>
      </c>
      <c r="L69" s="166">
        <f>K60*'ABP Future Assumptions'!$B$93</f>
        <v>4166786.5947403889</v>
      </c>
      <c r="M69" s="166">
        <f>L60*'ABP Future Assumptions'!$B$93</f>
        <v>4166786.5947403889</v>
      </c>
      <c r="N69" s="166">
        <f>M60*'ABP Future Assumptions'!$B$93</f>
        <v>4166786.5947403889</v>
      </c>
      <c r="O69" s="166">
        <f>N60*'ABP Future Assumptions'!$B$93</f>
        <v>4166786.5947403889</v>
      </c>
      <c r="P69" s="166">
        <f>O60*'ABP Future Assumptions'!$B$93</f>
        <v>4166786.5947403889</v>
      </c>
      <c r="Q69" s="166">
        <f>P60*'ABP Future Assumptions'!$B$93</f>
        <v>0</v>
      </c>
      <c r="R69" s="166">
        <f>Q60*'ABP Future Assumptions'!$B$93</f>
        <v>0</v>
      </c>
      <c r="S69" s="166">
        <f>R60*'ABP Future Assumptions'!$B$93</f>
        <v>0</v>
      </c>
      <c r="T69" s="166">
        <f>S60*'ABP Future Assumptions'!$B$93</f>
        <v>0</v>
      </c>
      <c r="U69" s="166">
        <f>T60*'ABP Future Assumptions'!$B$93</f>
        <v>0</v>
      </c>
    </row>
    <row r="70" spans="1:21" x14ac:dyDescent="0.35">
      <c r="A70" s="164" t="s">
        <v>156</v>
      </c>
      <c r="B70" s="164"/>
      <c r="C70" s="166"/>
      <c r="D70" s="166"/>
      <c r="E70" s="166"/>
      <c r="F70" s="166"/>
      <c r="G70" s="166"/>
      <c r="H70" s="166">
        <f>G61*'ABP Future Assumptions'!$B$93</f>
        <v>0</v>
      </c>
      <c r="I70" s="166">
        <f>H61*'ABP Future Assumptions'!$B$93</f>
        <v>14560345.11862273</v>
      </c>
      <c r="J70" s="166">
        <f>I61*'ABP Future Assumptions'!$B$93</f>
        <v>13751437.056477025</v>
      </c>
      <c r="K70" s="166">
        <f>J61*'ABP Future Assumptions'!$B$93</f>
        <v>13751437.056477025</v>
      </c>
      <c r="L70" s="166">
        <f>K61*'ABP Future Assumptions'!$B$93</f>
        <v>13751437.056477025</v>
      </c>
      <c r="M70" s="166">
        <f>L61*'ABP Future Assumptions'!$B$93</f>
        <v>13751437.056477025</v>
      </c>
      <c r="N70" s="166">
        <f>M61*'ABP Future Assumptions'!$B$93</f>
        <v>13751437.056477025</v>
      </c>
      <c r="O70" s="166">
        <f>N61*'ABP Future Assumptions'!$B$93</f>
        <v>13751437.056477025</v>
      </c>
      <c r="P70" s="166">
        <f>O61*'ABP Future Assumptions'!$B$93</f>
        <v>0</v>
      </c>
      <c r="Q70" s="166">
        <f>P61*'ABP Future Assumptions'!$B$93</f>
        <v>0</v>
      </c>
      <c r="R70" s="166">
        <f>Q61*'ABP Future Assumptions'!$B$93</f>
        <v>0</v>
      </c>
      <c r="S70" s="166">
        <f>R61*'ABP Future Assumptions'!$B$93</f>
        <v>0</v>
      </c>
      <c r="T70" s="166">
        <f>S61*'ABP Future Assumptions'!$B$93</f>
        <v>0</v>
      </c>
      <c r="U70" s="166">
        <f>T61*'ABP Future Assumptions'!$B$93</f>
        <v>0</v>
      </c>
    </row>
    <row r="71" spans="1:21" x14ac:dyDescent="0.35">
      <c r="A71" s="163" t="s">
        <v>103</v>
      </c>
      <c r="B71" s="163"/>
      <c r="C71" s="18">
        <f t="shared" ref="C71:T71" si="17">SUM(C65:C70)</f>
        <v>0</v>
      </c>
      <c r="D71" s="18">
        <f t="shared" si="17"/>
        <v>0</v>
      </c>
      <c r="E71" s="18">
        <f t="shared" si="17"/>
        <v>0</v>
      </c>
      <c r="F71" s="18">
        <f t="shared" si="17"/>
        <v>0</v>
      </c>
      <c r="G71" s="18">
        <f t="shared" si="17"/>
        <v>0</v>
      </c>
      <c r="H71" s="18">
        <f t="shared" si="17"/>
        <v>0</v>
      </c>
      <c r="I71" s="18">
        <f t="shared" si="17"/>
        <v>159905073.87213451</v>
      </c>
      <c r="J71" s="18">
        <f t="shared" si="17"/>
        <v>48048453.724588215</v>
      </c>
      <c r="K71" s="18">
        <f t="shared" si="17"/>
        <v>47715804.47263629</v>
      </c>
      <c r="L71" s="18">
        <f t="shared" si="17"/>
        <v>47628698.035283342</v>
      </c>
      <c r="M71" s="18">
        <f t="shared" si="17"/>
        <v>47542027.130117163</v>
      </c>
      <c r="N71" s="18">
        <f t="shared" si="17"/>
        <v>47455789.579476804</v>
      </c>
      <c r="O71" s="18">
        <f t="shared" si="17"/>
        <v>47369983.216589652</v>
      </c>
      <c r="P71" s="18">
        <f t="shared" si="17"/>
        <v>21156875.478210591</v>
      </c>
      <c r="Q71" s="18">
        <f t="shared" si="17"/>
        <v>16905138.439052854</v>
      </c>
      <c r="R71" s="18">
        <f t="shared" si="17"/>
        <v>16820612.746857584</v>
      </c>
      <c r="S71" s="18">
        <f t="shared" si="17"/>
        <v>16736509.683123298</v>
      </c>
      <c r="T71" s="18">
        <f t="shared" si="17"/>
        <v>16652827.134707682</v>
      </c>
      <c r="U71" s="18">
        <f t="shared" ref="U71" si="18">SUM(U65:U70)</f>
        <v>16569562.999034144</v>
      </c>
    </row>
    <row r="73" spans="1:21" ht="15.5" x14ac:dyDescent="0.35">
      <c r="A73" s="77">
        <v>2031</v>
      </c>
      <c r="B73" s="220">
        <v>2024</v>
      </c>
      <c r="C73" s="220">
        <v>2025</v>
      </c>
      <c r="D73" s="220">
        <v>2026</v>
      </c>
      <c r="E73" s="220">
        <v>2027</v>
      </c>
      <c r="F73" s="220">
        <v>2028</v>
      </c>
      <c r="G73" s="220">
        <v>2029</v>
      </c>
      <c r="H73" s="220">
        <v>2030</v>
      </c>
      <c r="I73" s="220">
        <v>2031</v>
      </c>
      <c r="J73" s="220">
        <v>2032</v>
      </c>
      <c r="K73" s="220">
        <v>2033</v>
      </c>
      <c r="L73" s="220">
        <v>2034</v>
      </c>
      <c r="M73" s="220">
        <v>2035</v>
      </c>
      <c r="N73" s="220">
        <v>2036</v>
      </c>
      <c r="O73" s="220">
        <v>2037</v>
      </c>
      <c r="P73" s="220">
        <v>2038</v>
      </c>
      <c r="Q73" s="220">
        <v>2039</v>
      </c>
      <c r="R73" s="220">
        <v>2040</v>
      </c>
      <c r="S73" s="220">
        <v>2041</v>
      </c>
      <c r="T73" s="220">
        <v>2042</v>
      </c>
      <c r="U73" s="220">
        <v>2043</v>
      </c>
    </row>
    <row r="74" spans="1:21" x14ac:dyDescent="0.35">
      <c r="A74" s="164" t="s">
        <v>129</v>
      </c>
      <c r="B74" s="164"/>
      <c r="C74" s="166"/>
      <c r="D74" s="166"/>
      <c r="E74" s="166"/>
      <c r="F74" s="166"/>
      <c r="G74" s="166"/>
      <c r="H74" s="166"/>
      <c r="I74" s="166">
        <f>H65*'ABP Future Assumptions'!$B$93</f>
        <v>0</v>
      </c>
      <c r="J74" s="166">
        <f>I65*'ABP Future Assumptions'!$B$93</f>
        <v>120486975.03327948</v>
      </c>
      <c r="K74" s="166">
        <f>J65*'ABP Future Assumptions'!$B$93</f>
        <v>0</v>
      </c>
      <c r="L74" s="166">
        <f>K65*'ABP Future Assumptions'!$B$93</f>
        <v>0</v>
      </c>
      <c r="M74" s="166">
        <f>L65*'ABP Future Assumptions'!$B$93</f>
        <v>0</v>
      </c>
      <c r="N74" s="166">
        <f>M65*'ABP Future Assumptions'!$B$93</f>
        <v>0</v>
      </c>
      <c r="O74" s="166">
        <f>N65*'ABP Future Assumptions'!$B$93</f>
        <v>0</v>
      </c>
      <c r="P74" s="166">
        <f>O65*'ABP Future Assumptions'!$B$93</f>
        <v>0</v>
      </c>
      <c r="Q74" s="166">
        <f>P65*'ABP Future Assumptions'!$B$93</f>
        <v>0</v>
      </c>
      <c r="R74" s="166">
        <f>Q65*'ABP Future Assumptions'!$B$93</f>
        <v>0</v>
      </c>
      <c r="S74" s="166">
        <f>R65*'ABP Future Assumptions'!$B$93</f>
        <v>0</v>
      </c>
      <c r="T74" s="166">
        <f>S65*'ABP Future Assumptions'!$B$93</f>
        <v>0</v>
      </c>
      <c r="U74" s="166">
        <f>T65*'ABP Future Assumptions'!$B$93</f>
        <v>0</v>
      </c>
    </row>
    <row r="75" spans="1:21" x14ac:dyDescent="0.35">
      <c r="A75" s="164" t="s">
        <v>135</v>
      </c>
      <c r="B75" s="164"/>
      <c r="C75" s="166"/>
      <c r="D75" s="166"/>
      <c r="E75" s="166"/>
      <c r="F75" s="166"/>
      <c r="G75" s="166"/>
      <c r="H75" s="166"/>
      <c r="I75" s="166">
        <f>H66*'ABP Future Assumptions'!$B$93</f>
        <v>0</v>
      </c>
      <c r="J75" s="166">
        <f>I66*'ABP Future Assumptions'!$B$93</f>
        <v>12580138.182490043</v>
      </c>
      <c r="K75" s="166">
        <f>J66*'ABP Future Assumptions'!$B$93</f>
        <v>11881241.616796153</v>
      </c>
      <c r="L75" s="166">
        <f>K66*'ABP Future Assumptions'!$B$93</f>
        <v>11881241.616796153</v>
      </c>
      <c r="M75" s="166">
        <f>L66*'ABP Future Assumptions'!$B$93</f>
        <v>11881241.616796153</v>
      </c>
      <c r="N75" s="166">
        <f>M66*'ABP Future Assumptions'!$B$93</f>
        <v>11881241.616796153</v>
      </c>
      <c r="O75" s="166">
        <f>N66*'ABP Future Assumptions'!$B$93</f>
        <v>11881241.616796153</v>
      </c>
      <c r="P75" s="166">
        <f>O66*'ABP Future Assumptions'!$B$93</f>
        <v>11881241.616796153</v>
      </c>
      <c r="Q75" s="166">
        <f>P66*'ABP Future Assumptions'!$B$93</f>
        <v>0</v>
      </c>
      <c r="R75" s="166">
        <f>Q66*'ABP Future Assumptions'!$B$93</f>
        <v>0</v>
      </c>
      <c r="S75" s="166">
        <f>R66*'ABP Future Assumptions'!$B$93</f>
        <v>0</v>
      </c>
      <c r="T75" s="166">
        <f>S66*'ABP Future Assumptions'!$B$93</f>
        <v>0</v>
      </c>
      <c r="U75" s="166">
        <f>T66*'ABP Future Assumptions'!$B$93</f>
        <v>0</v>
      </c>
    </row>
    <row r="76" spans="1:21" x14ac:dyDescent="0.35">
      <c r="A76" s="164" t="s">
        <v>144</v>
      </c>
      <c r="B76" s="164"/>
      <c r="C76" s="166"/>
      <c r="D76" s="166"/>
      <c r="E76" s="166"/>
      <c r="F76" s="166"/>
      <c r="G76" s="166"/>
      <c r="H76" s="166"/>
      <c r="I76" s="166">
        <f>H67*'ABP Future Assumptions'!$B$93</f>
        <v>0</v>
      </c>
      <c r="J76" s="166">
        <f>I67*'ABP Future Assumptions'!$B$93</f>
        <v>0</v>
      </c>
      <c r="K76" s="166">
        <f>J67*'ABP Future Assumptions'!$B$93</f>
        <v>10376971.107920107</v>
      </c>
      <c r="L76" s="166">
        <f>K67*'ABP Future Assumptions'!$B$93</f>
        <v>10325086.252380507</v>
      </c>
      <c r="M76" s="166">
        <f>L67*'ABP Future Assumptions'!$B$93</f>
        <v>10273460.821118603</v>
      </c>
      <c r="N76" s="166">
        <f>M67*'ABP Future Assumptions'!$B$93</f>
        <v>10222093.517013012</v>
      </c>
      <c r="O76" s="166">
        <f>N67*'ABP Future Assumptions'!$B$93</f>
        <v>10170983.049427943</v>
      </c>
      <c r="P76" s="166">
        <f>O67*'ABP Future Assumptions'!$B$93</f>
        <v>10120128.134180805</v>
      </c>
      <c r="Q76" s="166">
        <f>P67*'ABP Future Assumptions'!$B$93</f>
        <v>10069527.493509902</v>
      </c>
      <c r="R76" s="166">
        <f>Q67*'ABP Future Assumptions'!$B$93</f>
        <v>10019179.856042353</v>
      </c>
      <c r="S76" s="166">
        <f>R67*'ABP Future Assumptions'!$B$93</f>
        <v>9969083.9567621388</v>
      </c>
      <c r="T76" s="166">
        <f>S67*'ABP Future Assumptions'!$B$93</f>
        <v>9919238.5369783305</v>
      </c>
      <c r="U76" s="166">
        <f>T67*'ABP Future Assumptions'!$B$93</f>
        <v>9869642.3442934379</v>
      </c>
    </row>
    <row r="77" spans="1:21" x14ac:dyDescent="0.35">
      <c r="A77" s="164" t="s">
        <v>149</v>
      </c>
      <c r="B77" s="164"/>
      <c r="C77" s="166"/>
      <c r="D77" s="166"/>
      <c r="E77" s="166"/>
      <c r="F77" s="166"/>
      <c r="G77" s="166"/>
      <c r="H77" s="166"/>
      <c r="I77" s="166">
        <f>H68*'ABP Future Assumptions'!$B$93</f>
        <v>0</v>
      </c>
      <c r="J77" s="166">
        <f>I68*'ABP Future Assumptions'!$B$93</f>
        <v>6463826.38760179</v>
      </c>
      <c r="K77" s="166">
        <f>J68*'ABP Future Assumptions'!$B$93</f>
        <v>6431507.2556637796</v>
      </c>
      <c r="L77" s="166">
        <f>K68*'ABP Future Assumptions'!$B$93</f>
        <v>6399349.719385461</v>
      </c>
      <c r="M77" s="166">
        <f>L68*'ABP Future Assumptions'!$B$93</f>
        <v>6367352.9707885338</v>
      </c>
      <c r="N77" s="166">
        <f>M68*'ABP Future Assumptions'!$B$93</f>
        <v>6335516.2059345907</v>
      </c>
      <c r="O77" s="166">
        <f>N68*'ABP Future Assumptions'!$B$93</f>
        <v>6303838.6249049176</v>
      </c>
      <c r="P77" s="166">
        <f>O68*'ABP Future Assumptions'!$B$93</f>
        <v>6272319.4317803932</v>
      </c>
      <c r="Q77" s="166">
        <f>P68*'ABP Future Assumptions'!$B$93</f>
        <v>6240957.834621489</v>
      </c>
      <c r="R77" s="166">
        <f>Q68*'ABP Future Assumptions'!$B$93</f>
        <v>6209753.0454483842</v>
      </c>
      <c r="S77" s="166">
        <f>R68*'ABP Future Assumptions'!$B$93</f>
        <v>6178704.28022114</v>
      </c>
      <c r="T77" s="166">
        <f>S68*'ABP Future Assumptions'!$B$93</f>
        <v>6147810.7588200346</v>
      </c>
      <c r="U77" s="166">
        <f>T68*'ABP Future Assumptions'!$B$93</f>
        <v>6117071.7050259355</v>
      </c>
    </row>
    <row r="78" spans="1:21" x14ac:dyDescent="0.35">
      <c r="A78" s="164" t="s">
        <v>153</v>
      </c>
      <c r="B78" s="164"/>
      <c r="C78" s="166"/>
      <c r="D78" s="166"/>
      <c r="E78" s="166"/>
      <c r="F78" s="166"/>
      <c r="G78" s="166"/>
      <c r="H78" s="166"/>
      <c r="I78" s="166">
        <f>H69*'ABP Future Assumptions'!$B$93</f>
        <v>0</v>
      </c>
      <c r="J78" s="166">
        <f>I69*'ABP Future Assumptions'!$B$93</f>
        <v>0</v>
      </c>
      <c r="K78" s="166">
        <f>J69*'ABP Future Assumptions'!$B$93</f>
        <v>4235416.0210067015</v>
      </c>
      <c r="L78" s="166">
        <f>K69*'ABP Future Assumptions'!$B$93</f>
        <v>4000115.1309507731</v>
      </c>
      <c r="M78" s="166">
        <f>L69*'ABP Future Assumptions'!$B$93</f>
        <v>4000115.1309507731</v>
      </c>
      <c r="N78" s="166">
        <f>M69*'ABP Future Assumptions'!$B$93</f>
        <v>4000115.1309507731</v>
      </c>
      <c r="O78" s="166">
        <f>N69*'ABP Future Assumptions'!$B$93</f>
        <v>4000115.1309507731</v>
      </c>
      <c r="P78" s="166">
        <f>O69*'ABP Future Assumptions'!$B$93</f>
        <v>4000115.1309507731</v>
      </c>
      <c r="Q78" s="166">
        <f>P69*'ABP Future Assumptions'!$B$93</f>
        <v>4000115.1309507731</v>
      </c>
      <c r="R78" s="166">
        <f>Q69*'ABP Future Assumptions'!$B$93</f>
        <v>0</v>
      </c>
      <c r="S78" s="166">
        <f>R69*'ABP Future Assumptions'!$B$93</f>
        <v>0</v>
      </c>
      <c r="T78" s="166">
        <f>S69*'ABP Future Assumptions'!$B$93</f>
        <v>0</v>
      </c>
      <c r="U78" s="166">
        <f>T69*'ABP Future Assumptions'!$B$93</f>
        <v>0</v>
      </c>
    </row>
    <row r="79" spans="1:21" x14ac:dyDescent="0.35">
      <c r="A79" s="164" t="s">
        <v>156</v>
      </c>
      <c r="B79" s="164"/>
      <c r="C79" s="166"/>
      <c r="D79" s="166"/>
      <c r="E79" s="166"/>
      <c r="F79" s="166"/>
      <c r="G79" s="166"/>
      <c r="H79" s="166"/>
      <c r="I79" s="166">
        <f>H70*'ABP Future Assumptions'!$B$93</f>
        <v>0</v>
      </c>
      <c r="J79" s="166">
        <f>I70*'ABP Future Assumptions'!$B$93</f>
        <v>13977931.313877819</v>
      </c>
      <c r="K79" s="166">
        <f>J70*'ABP Future Assumptions'!$B$93</f>
        <v>13201379.574217943</v>
      </c>
      <c r="L79" s="166">
        <f>K70*'ABP Future Assumptions'!$B$93</f>
        <v>13201379.574217943</v>
      </c>
      <c r="M79" s="166">
        <f>L70*'ABP Future Assumptions'!$B$93</f>
        <v>13201379.574217943</v>
      </c>
      <c r="N79" s="166">
        <f>M70*'ABP Future Assumptions'!$B$93</f>
        <v>13201379.574217943</v>
      </c>
      <c r="O79" s="166">
        <f>N70*'ABP Future Assumptions'!$B$93</f>
        <v>13201379.574217943</v>
      </c>
      <c r="P79" s="166">
        <f>O70*'ABP Future Assumptions'!$B$93</f>
        <v>13201379.574217943</v>
      </c>
      <c r="Q79" s="166">
        <f>P70*'ABP Future Assumptions'!$B$93</f>
        <v>0</v>
      </c>
      <c r="R79" s="166">
        <f>Q70*'ABP Future Assumptions'!$B$93</f>
        <v>0</v>
      </c>
      <c r="S79" s="166">
        <f>R70*'ABP Future Assumptions'!$B$93</f>
        <v>0</v>
      </c>
      <c r="T79" s="166">
        <f>S70*'ABP Future Assumptions'!$B$93</f>
        <v>0</v>
      </c>
      <c r="U79" s="166">
        <f>T70*'ABP Future Assumptions'!$B$93</f>
        <v>0</v>
      </c>
    </row>
    <row r="80" spans="1:21" x14ac:dyDescent="0.35">
      <c r="A80" s="163" t="s">
        <v>103</v>
      </c>
      <c r="B80" s="163"/>
      <c r="C80" s="18">
        <f t="shared" ref="C80:T80" si="19">SUM(C74:C79)</f>
        <v>0</v>
      </c>
      <c r="D80" s="18">
        <f t="shared" si="19"/>
        <v>0</v>
      </c>
      <c r="E80" s="18">
        <f t="shared" si="19"/>
        <v>0</v>
      </c>
      <c r="F80" s="18">
        <f t="shared" si="19"/>
        <v>0</v>
      </c>
      <c r="G80" s="18">
        <f t="shared" si="19"/>
        <v>0</v>
      </c>
      <c r="H80" s="18">
        <f t="shared" si="19"/>
        <v>0</v>
      </c>
      <c r="I80" s="18">
        <f t="shared" si="19"/>
        <v>0</v>
      </c>
      <c r="J80" s="18">
        <f t="shared" si="19"/>
        <v>153508870.91724914</v>
      </c>
      <c r="K80" s="18">
        <f t="shared" si="19"/>
        <v>46126515.575604685</v>
      </c>
      <c r="L80" s="18">
        <f t="shared" si="19"/>
        <v>45807172.29373084</v>
      </c>
      <c r="M80" s="18">
        <f t="shared" si="19"/>
        <v>45723550.113872007</v>
      </c>
      <c r="N80" s="18">
        <f t="shared" si="19"/>
        <v>45640346.044912472</v>
      </c>
      <c r="O80" s="18">
        <f t="shared" si="19"/>
        <v>45557557.996297732</v>
      </c>
      <c r="P80" s="18">
        <f t="shared" si="19"/>
        <v>45475183.887926072</v>
      </c>
      <c r="Q80" s="18">
        <f t="shared" si="19"/>
        <v>20310600.459082164</v>
      </c>
      <c r="R80" s="18">
        <f t="shared" si="19"/>
        <v>16228932.901490737</v>
      </c>
      <c r="S80" s="18">
        <f t="shared" si="19"/>
        <v>16147788.236983279</v>
      </c>
      <c r="T80" s="18">
        <f t="shared" si="19"/>
        <v>16067049.295798365</v>
      </c>
      <c r="U80" s="18">
        <f t="shared" ref="U80" si="20">SUM(U74:U79)</f>
        <v>15986714.049319373</v>
      </c>
    </row>
    <row r="82" spans="1:21" ht="15.5" x14ac:dyDescent="0.35">
      <c r="A82" s="77">
        <v>2032</v>
      </c>
      <c r="B82" s="220">
        <v>2024</v>
      </c>
      <c r="C82" s="220">
        <v>2025</v>
      </c>
      <c r="D82" s="220">
        <v>2026</v>
      </c>
      <c r="E82" s="220">
        <v>2027</v>
      </c>
      <c r="F82" s="220">
        <v>2028</v>
      </c>
      <c r="G82" s="220">
        <v>2029</v>
      </c>
      <c r="H82" s="220">
        <v>2030</v>
      </c>
      <c r="I82" s="220">
        <v>2031</v>
      </c>
      <c r="J82" s="220">
        <v>2032</v>
      </c>
      <c r="K82" s="220">
        <v>2033</v>
      </c>
      <c r="L82" s="220">
        <v>2034</v>
      </c>
      <c r="M82" s="220">
        <v>2035</v>
      </c>
      <c r="N82" s="220">
        <v>2036</v>
      </c>
      <c r="O82" s="220">
        <v>2037</v>
      </c>
      <c r="P82" s="220">
        <v>2038</v>
      </c>
      <c r="Q82" s="220">
        <v>2039</v>
      </c>
      <c r="R82" s="220">
        <v>2040</v>
      </c>
      <c r="S82" s="220">
        <v>2041</v>
      </c>
      <c r="T82" s="220">
        <v>2042</v>
      </c>
      <c r="U82" s="220">
        <v>2043</v>
      </c>
    </row>
    <row r="83" spans="1:21" x14ac:dyDescent="0.35">
      <c r="A83" s="164" t="s">
        <v>129</v>
      </c>
      <c r="B83" s="164"/>
      <c r="C83" s="166"/>
      <c r="D83" s="166"/>
      <c r="E83" s="166"/>
      <c r="F83" s="166"/>
      <c r="G83" s="166"/>
      <c r="H83" s="166"/>
      <c r="I83" s="166"/>
      <c r="J83" s="166">
        <f>I74*'ABP Future Assumptions'!$B$93</f>
        <v>0</v>
      </c>
      <c r="K83" s="166">
        <f>J74*'ABP Future Assumptions'!$B$93</f>
        <v>115667496.0319483</v>
      </c>
      <c r="L83" s="166">
        <f>K74*'ABP Future Assumptions'!$B$93</f>
        <v>0</v>
      </c>
      <c r="M83" s="166">
        <f>L74*'ABP Future Assumptions'!$B$93</f>
        <v>0</v>
      </c>
      <c r="N83" s="166">
        <f>M74*'ABP Future Assumptions'!$B$93</f>
        <v>0</v>
      </c>
      <c r="O83" s="166">
        <f>N74*'ABP Future Assumptions'!$B$93</f>
        <v>0</v>
      </c>
      <c r="P83" s="166">
        <f>O74*'ABP Future Assumptions'!$B$93</f>
        <v>0</v>
      </c>
      <c r="Q83" s="166">
        <f>P74*'ABP Future Assumptions'!$B$93</f>
        <v>0</v>
      </c>
      <c r="R83" s="166">
        <f>Q74*'ABP Future Assumptions'!$B$93</f>
        <v>0</v>
      </c>
      <c r="S83" s="166">
        <f>R74*'ABP Future Assumptions'!$B$93</f>
        <v>0</v>
      </c>
      <c r="T83" s="166">
        <f>S74*'ABP Future Assumptions'!$B$93</f>
        <v>0</v>
      </c>
      <c r="U83" s="166">
        <f>T74*'ABP Future Assumptions'!$B$93</f>
        <v>0</v>
      </c>
    </row>
    <row r="84" spans="1:21" x14ac:dyDescent="0.35">
      <c r="A84" s="164" t="s">
        <v>135</v>
      </c>
      <c r="B84" s="164"/>
      <c r="C84" s="166"/>
      <c r="D84" s="166"/>
      <c r="E84" s="166"/>
      <c r="F84" s="166"/>
      <c r="G84" s="166"/>
      <c r="H84" s="166"/>
      <c r="I84" s="166"/>
      <c r="J84" s="166">
        <f>I75*'ABP Future Assumptions'!$B$93</f>
        <v>0</v>
      </c>
      <c r="K84" s="166">
        <f>J75*'ABP Future Assumptions'!$B$93</f>
        <v>12076932.655190442</v>
      </c>
      <c r="L84" s="166">
        <f>K75*'ABP Future Assumptions'!$B$93</f>
        <v>11405991.952124307</v>
      </c>
      <c r="M84" s="166">
        <f>L75*'ABP Future Assumptions'!$B$93</f>
        <v>11405991.952124307</v>
      </c>
      <c r="N84" s="166">
        <f>M75*'ABP Future Assumptions'!$B$93</f>
        <v>11405991.952124307</v>
      </c>
      <c r="O84" s="166">
        <f>N75*'ABP Future Assumptions'!$B$93</f>
        <v>11405991.952124307</v>
      </c>
      <c r="P84" s="166">
        <f>O75*'ABP Future Assumptions'!$B$93</f>
        <v>11405991.952124307</v>
      </c>
      <c r="Q84" s="166">
        <f>P75*'ABP Future Assumptions'!$B$93</f>
        <v>11405991.952124307</v>
      </c>
      <c r="R84" s="166">
        <f>Q75*'ABP Future Assumptions'!$B$93</f>
        <v>0</v>
      </c>
      <c r="S84" s="166">
        <f>R75*'ABP Future Assumptions'!$B$93</f>
        <v>0</v>
      </c>
      <c r="T84" s="166">
        <f>S75*'ABP Future Assumptions'!$B$93</f>
        <v>0</v>
      </c>
      <c r="U84" s="166">
        <f>T75*'ABP Future Assumptions'!$B$93</f>
        <v>0</v>
      </c>
    </row>
    <row r="85" spans="1:21" x14ac:dyDescent="0.35">
      <c r="A85" s="164" t="s">
        <v>144</v>
      </c>
      <c r="B85" s="164"/>
      <c r="C85" s="166"/>
      <c r="D85" s="166"/>
      <c r="E85" s="166"/>
      <c r="F85" s="166"/>
      <c r="G85" s="166"/>
      <c r="H85" s="166"/>
      <c r="I85" s="166"/>
      <c r="J85" s="166">
        <f>I76*'ABP Future Assumptions'!$B$93</f>
        <v>0</v>
      </c>
      <c r="K85" s="166">
        <f>J76*'ABP Future Assumptions'!$B$93</f>
        <v>0</v>
      </c>
      <c r="L85" s="166">
        <f>K76*'ABP Future Assumptions'!$B$93</f>
        <v>9961892.2636033017</v>
      </c>
      <c r="M85" s="166">
        <f>L76*'ABP Future Assumptions'!$B$93</f>
        <v>9912082.8022852857</v>
      </c>
      <c r="N85" s="166">
        <f>M76*'ABP Future Assumptions'!$B$93</f>
        <v>9862522.3882738575</v>
      </c>
      <c r="O85" s="166">
        <f>N76*'ABP Future Assumptions'!$B$93</f>
        <v>9813209.7763324901</v>
      </c>
      <c r="P85" s="166">
        <f>O76*'ABP Future Assumptions'!$B$93</f>
        <v>9764143.7274508253</v>
      </c>
      <c r="Q85" s="166">
        <f>P76*'ABP Future Assumptions'!$B$93</f>
        <v>9715323.008813573</v>
      </c>
      <c r="R85" s="166">
        <f>Q76*'ABP Future Assumptions'!$B$93</f>
        <v>9666746.3937695045</v>
      </c>
      <c r="S85" s="166">
        <f>R76*'ABP Future Assumptions'!$B$93</f>
        <v>9618412.6618006583</v>
      </c>
      <c r="T85" s="166">
        <f>S76*'ABP Future Assumptions'!$B$93</f>
        <v>9570320.5984916519</v>
      </c>
      <c r="U85" s="166">
        <f>T76*'ABP Future Assumptions'!$B$93</f>
        <v>9522468.9954991974</v>
      </c>
    </row>
    <row r="86" spans="1:21" x14ac:dyDescent="0.35">
      <c r="A86" s="164" t="s">
        <v>149</v>
      </c>
      <c r="B86" s="164"/>
      <c r="C86" s="166"/>
      <c r="D86" s="166"/>
      <c r="E86" s="166"/>
      <c r="F86" s="166"/>
      <c r="G86" s="166"/>
      <c r="H86" s="166"/>
      <c r="I86" s="166"/>
      <c r="J86" s="166">
        <f>I77*'ABP Future Assumptions'!$B$93</f>
        <v>0</v>
      </c>
      <c r="K86" s="166">
        <f>J77*'ABP Future Assumptions'!$B$93</f>
        <v>6205273.3320977185</v>
      </c>
      <c r="L86" s="166">
        <f>K77*'ABP Future Assumptions'!$B$93</f>
        <v>6174246.9654372279</v>
      </c>
      <c r="M86" s="166">
        <f>L77*'ABP Future Assumptions'!$B$93</f>
        <v>6143375.7306100419</v>
      </c>
      <c r="N86" s="166">
        <f>M77*'ABP Future Assumptions'!$B$93</f>
        <v>6112658.8519569924</v>
      </c>
      <c r="O86" s="166">
        <f>N77*'ABP Future Assumptions'!$B$93</f>
        <v>6082095.5576972067</v>
      </c>
      <c r="P86" s="166">
        <f>O77*'ABP Future Assumptions'!$B$93</f>
        <v>6051685.0799087202</v>
      </c>
      <c r="Q86" s="166">
        <f>P77*'ABP Future Assumptions'!$B$93</f>
        <v>6021426.6545091774</v>
      </c>
      <c r="R86" s="166">
        <f>Q77*'ABP Future Assumptions'!$B$93</f>
        <v>5991319.5212366292</v>
      </c>
      <c r="S86" s="166">
        <f>R77*'ABP Future Assumptions'!$B$93</f>
        <v>5961362.923630449</v>
      </c>
      <c r="T86" s="166">
        <f>S77*'ABP Future Assumptions'!$B$93</f>
        <v>5931556.1090122946</v>
      </c>
      <c r="U86" s="166">
        <f>T77*'ABP Future Assumptions'!$B$93</f>
        <v>5901898.3284672331</v>
      </c>
    </row>
    <row r="87" spans="1:21" x14ac:dyDescent="0.35">
      <c r="A87" s="164" t="s">
        <v>153</v>
      </c>
      <c r="B87" s="164"/>
      <c r="C87" s="166"/>
      <c r="D87" s="166"/>
      <c r="E87" s="166"/>
      <c r="F87" s="166"/>
      <c r="G87" s="166"/>
      <c r="H87" s="166"/>
      <c r="I87" s="166"/>
      <c r="J87" s="166">
        <f>I78*'ABP Future Assumptions'!$B$93</f>
        <v>0</v>
      </c>
      <c r="K87" s="166">
        <f>J78*'ABP Future Assumptions'!$B$93</f>
        <v>0</v>
      </c>
      <c r="L87" s="166">
        <f>K78*'ABP Future Assumptions'!$B$93</f>
        <v>4065999.3801664333</v>
      </c>
      <c r="M87" s="166">
        <f>L78*'ABP Future Assumptions'!$B$93</f>
        <v>3840110.525712742</v>
      </c>
      <c r="N87" s="166">
        <f>M78*'ABP Future Assumptions'!$B$93</f>
        <v>3840110.525712742</v>
      </c>
      <c r="O87" s="166">
        <f>N78*'ABP Future Assumptions'!$B$93</f>
        <v>3840110.525712742</v>
      </c>
      <c r="P87" s="166">
        <f>O78*'ABP Future Assumptions'!$B$93</f>
        <v>3840110.525712742</v>
      </c>
      <c r="Q87" s="166">
        <f>P78*'ABP Future Assumptions'!$B$93</f>
        <v>3840110.525712742</v>
      </c>
      <c r="R87" s="166">
        <f>Q78*'ABP Future Assumptions'!$B$93</f>
        <v>3840110.525712742</v>
      </c>
      <c r="S87" s="166">
        <f>R78*'ABP Future Assumptions'!$B$93</f>
        <v>0</v>
      </c>
      <c r="T87" s="166">
        <f>S78*'ABP Future Assumptions'!$B$93</f>
        <v>0</v>
      </c>
      <c r="U87" s="166">
        <f>T78*'ABP Future Assumptions'!$B$93</f>
        <v>0</v>
      </c>
    </row>
    <row r="88" spans="1:21" x14ac:dyDescent="0.35">
      <c r="A88" s="164" t="s">
        <v>156</v>
      </c>
      <c r="B88" s="164"/>
      <c r="C88" s="166"/>
      <c r="D88" s="166"/>
      <c r="E88" s="166"/>
      <c r="F88" s="166"/>
      <c r="G88" s="166"/>
      <c r="H88" s="166"/>
      <c r="I88" s="166"/>
      <c r="J88" s="166">
        <f>I79*'ABP Future Assumptions'!$B$93</f>
        <v>0</v>
      </c>
      <c r="K88" s="166">
        <f>J79*'ABP Future Assumptions'!$B$93</f>
        <v>13418814.061322706</v>
      </c>
      <c r="L88" s="166">
        <f>K79*'ABP Future Assumptions'!$B$93</f>
        <v>12673324.391249225</v>
      </c>
      <c r="M88" s="166">
        <f>L79*'ABP Future Assumptions'!$B$93</f>
        <v>12673324.391249225</v>
      </c>
      <c r="N88" s="166">
        <f>M79*'ABP Future Assumptions'!$B$93</f>
        <v>12673324.391249225</v>
      </c>
      <c r="O88" s="166">
        <f>N79*'ABP Future Assumptions'!$B$93</f>
        <v>12673324.391249225</v>
      </c>
      <c r="P88" s="166">
        <f>O79*'ABP Future Assumptions'!$B$93</f>
        <v>12673324.391249225</v>
      </c>
      <c r="Q88" s="166">
        <f>P79*'ABP Future Assumptions'!$B$93</f>
        <v>12673324.391249225</v>
      </c>
      <c r="R88" s="166">
        <f>Q79*'ABP Future Assumptions'!$B$93</f>
        <v>0</v>
      </c>
      <c r="S88" s="166">
        <f>R79*'ABP Future Assumptions'!$B$93</f>
        <v>0</v>
      </c>
      <c r="T88" s="166">
        <f>S79*'ABP Future Assumptions'!$B$93</f>
        <v>0</v>
      </c>
      <c r="U88" s="166">
        <f>T79*'ABP Future Assumptions'!$B$93</f>
        <v>0</v>
      </c>
    </row>
    <row r="89" spans="1:21" x14ac:dyDescent="0.35">
      <c r="A89" s="163" t="s">
        <v>103</v>
      </c>
      <c r="B89" s="163"/>
      <c r="C89" s="18">
        <f t="shared" ref="C89:T89" si="21">SUM(C83:C88)</f>
        <v>0</v>
      </c>
      <c r="D89" s="18">
        <f t="shared" si="21"/>
        <v>0</v>
      </c>
      <c r="E89" s="18">
        <f t="shared" si="21"/>
        <v>0</v>
      </c>
      <c r="F89" s="18">
        <f t="shared" si="21"/>
        <v>0</v>
      </c>
      <c r="G89" s="18">
        <f t="shared" si="21"/>
        <v>0</v>
      </c>
      <c r="H89" s="18">
        <f t="shared" si="21"/>
        <v>0</v>
      </c>
      <c r="I89" s="18">
        <f t="shared" si="21"/>
        <v>0</v>
      </c>
      <c r="J89" s="18">
        <f t="shared" si="21"/>
        <v>0</v>
      </c>
      <c r="K89" s="18">
        <f t="shared" si="21"/>
        <v>147368516.08055916</v>
      </c>
      <c r="L89" s="18">
        <f t="shared" si="21"/>
        <v>44281454.952580497</v>
      </c>
      <c r="M89" s="18">
        <f t="shared" si="21"/>
        <v>43974885.401981607</v>
      </c>
      <c r="N89" s="18">
        <f t="shared" si="21"/>
        <v>43894608.109317124</v>
      </c>
      <c r="O89" s="18">
        <f t="shared" si="21"/>
        <v>43814732.20311597</v>
      </c>
      <c r="P89" s="18">
        <f t="shared" si="21"/>
        <v>43735255.676445819</v>
      </c>
      <c r="Q89" s="18">
        <f t="shared" si="21"/>
        <v>43656176.532409027</v>
      </c>
      <c r="R89" s="18">
        <f t="shared" si="21"/>
        <v>19498176.440718878</v>
      </c>
      <c r="S89" s="18">
        <f t="shared" si="21"/>
        <v>15579775.585431106</v>
      </c>
      <c r="T89" s="18">
        <f t="shared" si="21"/>
        <v>15501876.707503946</v>
      </c>
      <c r="U89" s="18">
        <f t="shared" ref="U89" si="22">SUM(U83:U88)</f>
        <v>15424367.323966431</v>
      </c>
    </row>
    <row r="91" spans="1:21" ht="15.5" x14ac:dyDescent="0.35">
      <c r="A91" s="77">
        <v>2033</v>
      </c>
      <c r="B91" s="220">
        <v>2024</v>
      </c>
      <c r="C91" s="220">
        <v>2025</v>
      </c>
      <c r="D91" s="220">
        <v>2026</v>
      </c>
      <c r="E91" s="220">
        <v>2027</v>
      </c>
      <c r="F91" s="220">
        <v>2028</v>
      </c>
      <c r="G91" s="220">
        <v>2029</v>
      </c>
      <c r="H91" s="220">
        <v>2030</v>
      </c>
      <c r="I91" s="220">
        <v>2031</v>
      </c>
      <c r="J91" s="220">
        <v>2032</v>
      </c>
      <c r="K91" s="220">
        <v>2033</v>
      </c>
      <c r="L91" s="220">
        <v>2034</v>
      </c>
      <c r="M91" s="220">
        <v>2035</v>
      </c>
      <c r="N91" s="220">
        <v>2036</v>
      </c>
      <c r="O91" s="220">
        <v>2037</v>
      </c>
      <c r="P91" s="220">
        <v>2038</v>
      </c>
      <c r="Q91" s="220">
        <v>2039</v>
      </c>
      <c r="R91" s="220">
        <v>2040</v>
      </c>
      <c r="S91" s="220">
        <v>2041</v>
      </c>
      <c r="T91" s="220">
        <v>2042</v>
      </c>
      <c r="U91" s="220">
        <v>2043</v>
      </c>
    </row>
    <row r="92" spans="1:21" x14ac:dyDescent="0.35">
      <c r="A92" s="164" t="s">
        <v>129</v>
      </c>
      <c r="B92" s="164"/>
      <c r="C92" s="166"/>
      <c r="D92" s="166"/>
      <c r="E92" s="166"/>
      <c r="F92" s="166"/>
      <c r="G92" s="166"/>
      <c r="H92" s="166"/>
      <c r="I92" s="166"/>
      <c r="J92" s="166"/>
      <c r="K92" s="166">
        <f>J83*'ABP Future Assumptions'!$B$93/2</f>
        <v>0</v>
      </c>
      <c r="L92" s="166">
        <f>K83*'ABP Future Assumptions'!$B$93/2</f>
        <v>55520398.095335178</v>
      </c>
      <c r="M92" s="166">
        <f>L83*'ABP Future Assumptions'!$B$93/2</f>
        <v>0</v>
      </c>
      <c r="N92" s="166">
        <f>M83*'ABP Future Assumptions'!$B$93/2</f>
        <v>0</v>
      </c>
      <c r="O92" s="166">
        <f>N83*'ABP Future Assumptions'!$B$93/2</f>
        <v>0</v>
      </c>
      <c r="P92" s="166">
        <f>O83*'ABP Future Assumptions'!$B$93/2</f>
        <v>0</v>
      </c>
      <c r="Q92" s="166">
        <f>P83*'ABP Future Assumptions'!$B$93/2</f>
        <v>0</v>
      </c>
      <c r="R92" s="166">
        <f>Q83*'ABP Future Assumptions'!$B$93/2</f>
        <v>0</v>
      </c>
      <c r="S92" s="166">
        <f>R83*'ABP Future Assumptions'!$B$93/2</f>
        <v>0</v>
      </c>
      <c r="T92" s="166">
        <f>S83*'ABP Future Assumptions'!$B$93/2</f>
        <v>0</v>
      </c>
      <c r="U92" s="166">
        <f>T83*'ABP Future Assumptions'!$B$93/2</f>
        <v>0</v>
      </c>
    </row>
    <row r="93" spans="1:21" x14ac:dyDescent="0.35">
      <c r="A93" s="164" t="s">
        <v>135</v>
      </c>
      <c r="B93" s="164"/>
      <c r="C93" s="166"/>
      <c r="D93" s="166"/>
      <c r="E93" s="166"/>
      <c r="F93" s="166"/>
      <c r="G93" s="166"/>
      <c r="H93" s="166"/>
      <c r="I93" s="166"/>
      <c r="J93" s="166"/>
      <c r="K93" s="166">
        <f>J84*'ABP Future Assumptions'!$B$93/2</f>
        <v>0</v>
      </c>
      <c r="L93" s="166">
        <f>K84*'ABP Future Assumptions'!$B$93/2</f>
        <v>5796927.674491412</v>
      </c>
      <c r="M93" s="166">
        <f>L84*'ABP Future Assumptions'!$B$93/2</f>
        <v>5474876.1370196668</v>
      </c>
      <c r="N93" s="166">
        <f>M84*'ABP Future Assumptions'!$B$93/2</f>
        <v>5474876.1370196668</v>
      </c>
      <c r="O93" s="166">
        <f>N84*'ABP Future Assumptions'!$B$93/2</f>
        <v>5474876.1370196668</v>
      </c>
      <c r="P93" s="166">
        <f>O84*'ABP Future Assumptions'!$B$93/2</f>
        <v>5474876.1370196668</v>
      </c>
      <c r="Q93" s="166">
        <f>P84*'ABP Future Assumptions'!$B$93/2</f>
        <v>5474876.1370196668</v>
      </c>
      <c r="R93" s="166">
        <f>Q84*'ABP Future Assumptions'!$B$93/2</f>
        <v>5474876.1370196668</v>
      </c>
      <c r="S93" s="166">
        <f>R84*'ABP Future Assumptions'!$B$93/2</f>
        <v>0</v>
      </c>
      <c r="T93" s="166">
        <f>S84*'ABP Future Assumptions'!$B$93/2</f>
        <v>0</v>
      </c>
      <c r="U93" s="166">
        <f>T84*'ABP Future Assumptions'!$B$93/2</f>
        <v>0</v>
      </c>
    </row>
    <row r="94" spans="1:21" x14ac:dyDescent="0.35">
      <c r="A94" s="164" t="s">
        <v>144</v>
      </c>
      <c r="B94" s="164"/>
      <c r="C94" s="166"/>
      <c r="D94" s="166"/>
      <c r="E94" s="166"/>
      <c r="F94" s="166"/>
      <c r="G94" s="166"/>
      <c r="H94" s="166"/>
      <c r="I94" s="166"/>
      <c r="J94" s="166"/>
      <c r="K94" s="166">
        <f>J85*'ABP Future Assumptions'!$B$93/2</f>
        <v>0</v>
      </c>
      <c r="L94" s="166">
        <f>K85*'ABP Future Assumptions'!$B$93/2</f>
        <v>0</v>
      </c>
      <c r="M94" s="166">
        <f>L85*'ABP Future Assumptions'!$B$93/2</f>
        <v>4781708.2865295848</v>
      </c>
      <c r="N94" s="166">
        <f>M85*'ABP Future Assumptions'!$B$93/2</f>
        <v>4757799.7450969368</v>
      </c>
      <c r="O94" s="166">
        <f>N85*'ABP Future Assumptions'!$B$93/2</f>
        <v>4734010.7463714518</v>
      </c>
      <c r="P94" s="166">
        <f>O85*'ABP Future Assumptions'!$B$93/2</f>
        <v>4710340.6926395949</v>
      </c>
      <c r="Q94" s="166">
        <f>P85*'ABP Future Assumptions'!$B$93/2</f>
        <v>4686788.9891763963</v>
      </c>
      <c r="R94" s="166">
        <f>Q85*'ABP Future Assumptions'!$B$93/2</f>
        <v>4663355.0442305151</v>
      </c>
      <c r="S94" s="166">
        <f>R85*'ABP Future Assumptions'!$B$93/2</f>
        <v>4640038.269009362</v>
      </c>
      <c r="T94" s="166">
        <f>S85*'ABP Future Assumptions'!$B$93/2</f>
        <v>4616838.0776643157</v>
      </c>
      <c r="U94" s="166">
        <f>T85*'ABP Future Assumptions'!$B$93/2</f>
        <v>4593753.8872759929</v>
      </c>
    </row>
    <row r="95" spans="1:21" x14ac:dyDescent="0.35">
      <c r="A95" s="164" t="s">
        <v>149</v>
      </c>
      <c r="B95" s="164"/>
      <c r="C95" s="166"/>
      <c r="D95" s="166"/>
      <c r="E95" s="166"/>
      <c r="F95" s="166"/>
      <c r="G95" s="166"/>
      <c r="H95" s="166"/>
      <c r="I95" s="166"/>
      <c r="J95" s="166"/>
      <c r="K95" s="166">
        <f>J86*'ABP Future Assumptions'!$B$93/2</f>
        <v>0</v>
      </c>
      <c r="L95" s="166">
        <f>K86*'ABP Future Assumptions'!$B$93/2</f>
        <v>2978531.1994069046</v>
      </c>
      <c r="M95" s="166">
        <f>L86*'ABP Future Assumptions'!$B$93/2</f>
        <v>2963638.5434098691</v>
      </c>
      <c r="N95" s="166">
        <f>M86*'ABP Future Assumptions'!$B$93/2</f>
        <v>2948820.3506928198</v>
      </c>
      <c r="O95" s="166">
        <f>N86*'ABP Future Assumptions'!$B$93/2</f>
        <v>2934076.2489393563</v>
      </c>
      <c r="P95" s="166">
        <f>O86*'ABP Future Assumptions'!$B$93/2</f>
        <v>2919405.8676946592</v>
      </c>
      <c r="Q95" s="166">
        <f>P86*'ABP Future Assumptions'!$B$93/2</f>
        <v>2904808.8383561857</v>
      </c>
      <c r="R95" s="166">
        <f>Q86*'ABP Future Assumptions'!$B$93/2</f>
        <v>2890284.7941644052</v>
      </c>
      <c r="S95" s="166">
        <f>R86*'ABP Future Assumptions'!$B$93/2</f>
        <v>2875833.370193582</v>
      </c>
      <c r="T95" s="166">
        <f>S86*'ABP Future Assumptions'!$B$93/2</f>
        <v>2861454.2033426156</v>
      </c>
      <c r="U95" s="166">
        <f>T86*'ABP Future Assumptions'!$B$93/2</f>
        <v>2847146.9323259015</v>
      </c>
    </row>
    <row r="96" spans="1:21" x14ac:dyDescent="0.35">
      <c r="A96" s="164" t="s">
        <v>153</v>
      </c>
      <c r="B96" s="164"/>
      <c r="C96" s="166"/>
      <c r="D96" s="166"/>
      <c r="E96" s="166"/>
      <c r="F96" s="166"/>
      <c r="G96" s="166"/>
      <c r="H96" s="166"/>
      <c r="I96" s="166"/>
      <c r="J96" s="166"/>
      <c r="K96" s="166">
        <f>J87*'ABP Future Assumptions'!$B$93/2</f>
        <v>0</v>
      </c>
      <c r="L96" s="166">
        <f>K87*'ABP Future Assumptions'!$B$93/2</f>
        <v>0</v>
      </c>
      <c r="M96" s="166">
        <f>L87*'ABP Future Assumptions'!$B$93/2</f>
        <v>1951679.702479888</v>
      </c>
      <c r="N96" s="166">
        <f>M87*'ABP Future Assumptions'!$B$93/2</f>
        <v>1843253.0523421161</v>
      </c>
      <c r="O96" s="166">
        <f>N87*'ABP Future Assumptions'!$B$93/2</f>
        <v>1843253.0523421161</v>
      </c>
      <c r="P96" s="166">
        <f>O87*'ABP Future Assumptions'!$B$93/2</f>
        <v>1843253.0523421161</v>
      </c>
      <c r="Q96" s="166">
        <f>P87*'ABP Future Assumptions'!$B$93/2</f>
        <v>1843253.0523421161</v>
      </c>
      <c r="R96" s="166">
        <f>Q87*'ABP Future Assumptions'!$B$93/2</f>
        <v>1843253.0523421161</v>
      </c>
      <c r="S96" s="166">
        <f>R87*'ABP Future Assumptions'!$B$93/2</f>
        <v>1843253.0523421161</v>
      </c>
      <c r="T96" s="166">
        <f>S87*'ABP Future Assumptions'!$B$93/2</f>
        <v>0</v>
      </c>
      <c r="U96" s="166">
        <f>T87*'ABP Future Assumptions'!$B$93/2</f>
        <v>0</v>
      </c>
    </row>
    <row r="97" spans="1:21" x14ac:dyDescent="0.35">
      <c r="A97" s="164" t="s">
        <v>156</v>
      </c>
      <c r="B97" s="164"/>
      <c r="C97" s="166"/>
      <c r="D97" s="166"/>
      <c r="E97" s="166"/>
      <c r="F97" s="166"/>
      <c r="G97" s="166"/>
      <c r="H97" s="166"/>
      <c r="I97" s="166"/>
      <c r="J97" s="166"/>
      <c r="K97" s="166">
        <f>J88*'ABP Future Assumptions'!$B$93/2</f>
        <v>0</v>
      </c>
      <c r="L97" s="166">
        <f>K88*'ABP Future Assumptions'!$B$93/2</f>
        <v>6441030.7494348986</v>
      </c>
      <c r="M97" s="166">
        <f>L88*'ABP Future Assumptions'!$B$93/2</f>
        <v>6083195.7077996274</v>
      </c>
      <c r="N97" s="166">
        <f>M88*'ABP Future Assumptions'!$B$93/2</f>
        <v>6083195.7077996274</v>
      </c>
      <c r="O97" s="166">
        <f>N88*'ABP Future Assumptions'!$B$93/2</f>
        <v>6083195.7077996274</v>
      </c>
      <c r="P97" s="166">
        <f>O88*'ABP Future Assumptions'!$B$93/2</f>
        <v>6083195.7077996274</v>
      </c>
      <c r="Q97" s="166">
        <f>P88*'ABP Future Assumptions'!$B$93/2</f>
        <v>6083195.7077996274</v>
      </c>
      <c r="R97" s="166">
        <f>Q88*'ABP Future Assumptions'!$B$93/2</f>
        <v>6083195.7077996274</v>
      </c>
      <c r="S97" s="166">
        <f>R88*'ABP Future Assumptions'!$B$93/2</f>
        <v>0</v>
      </c>
      <c r="T97" s="166">
        <f>S88*'ABP Future Assumptions'!$B$93/2</f>
        <v>0</v>
      </c>
      <c r="U97" s="166">
        <f>T88*'ABP Future Assumptions'!$B$93/2</f>
        <v>0</v>
      </c>
    </row>
    <row r="98" spans="1:21" x14ac:dyDescent="0.35">
      <c r="A98" s="163" t="s">
        <v>103</v>
      </c>
      <c r="B98" s="163"/>
      <c r="C98" s="18">
        <f t="shared" ref="C98:T98" si="23">SUM(C92:C97)</f>
        <v>0</v>
      </c>
      <c r="D98" s="18">
        <f t="shared" si="23"/>
        <v>0</v>
      </c>
      <c r="E98" s="18">
        <f t="shared" si="23"/>
        <v>0</v>
      </c>
      <c r="F98" s="18">
        <f t="shared" si="23"/>
        <v>0</v>
      </c>
      <c r="G98" s="18">
        <f t="shared" si="23"/>
        <v>0</v>
      </c>
      <c r="H98" s="18">
        <f t="shared" si="23"/>
        <v>0</v>
      </c>
      <c r="I98" s="18">
        <f t="shared" si="23"/>
        <v>0</v>
      </c>
      <c r="J98" s="18">
        <f t="shared" si="23"/>
        <v>0</v>
      </c>
      <c r="K98" s="18">
        <f t="shared" si="23"/>
        <v>0</v>
      </c>
      <c r="L98" s="18">
        <f t="shared" si="23"/>
        <v>70736887.718668401</v>
      </c>
      <c r="M98" s="18">
        <f t="shared" si="23"/>
        <v>21255098.377238635</v>
      </c>
      <c r="N98" s="18">
        <f t="shared" si="23"/>
        <v>21107944.99295117</v>
      </c>
      <c r="O98" s="18">
        <f t="shared" si="23"/>
        <v>21069411.892472219</v>
      </c>
      <c r="P98" s="18">
        <f t="shared" si="23"/>
        <v>21031071.457495663</v>
      </c>
      <c r="Q98" s="18">
        <f t="shared" si="23"/>
        <v>20992922.724693995</v>
      </c>
      <c r="R98" s="18">
        <f t="shared" si="23"/>
        <v>20954964.735556331</v>
      </c>
      <c r="S98" s="18">
        <f t="shared" si="23"/>
        <v>9359124.6915450599</v>
      </c>
      <c r="T98" s="18">
        <f t="shared" si="23"/>
        <v>7478292.2810069313</v>
      </c>
      <c r="U98" s="18">
        <f t="shared" ref="U98" si="24">SUM(U92:U97)</f>
        <v>7440900.8196018944</v>
      </c>
    </row>
    <row r="100" spans="1:21" ht="15.5" x14ac:dyDescent="0.35">
      <c r="A100" s="77">
        <v>2034</v>
      </c>
      <c r="B100" s="220">
        <v>2024</v>
      </c>
      <c r="C100" s="220">
        <v>2025</v>
      </c>
      <c r="D100" s="220">
        <v>2026</v>
      </c>
      <c r="E100" s="220">
        <v>2027</v>
      </c>
      <c r="F100" s="220">
        <v>2028</v>
      </c>
      <c r="G100" s="220">
        <v>2029</v>
      </c>
      <c r="H100" s="220">
        <v>2030</v>
      </c>
      <c r="I100" s="220">
        <v>2031</v>
      </c>
      <c r="J100" s="220">
        <v>2032</v>
      </c>
      <c r="K100" s="220">
        <v>2033</v>
      </c>
      <c r="L100" s="220">
        <v>2034</v>
      </c>
      <c r="M100" s="220">
        <v>2035</v>
      </c>
      <c r="N100" s="220">
        <v>2036</v>
      </c>
      <c r="O100" s="220">
        <v>2037</v>
      </c>
      <c r="P100" s="220">
        <v>2038</v>
      </c>
      <c r="Q100" s="220">
        <v>2039</v>
      </c>
      <c r="R100" s="220">
        <v>2040</v>
      </c>
      <c r="S100" s="220">
        <v>2041</v>
      </c>
      <c r="T100" s="220">
        <v>2042</v>
      </c>
      <c r="U100" s="220">
        <v>2043</v>
      </c>
    </row>
    <row r="101" spans="1:21" x14ac:dyDescent="0.35">
      <c r="A101" s="164" t="s">
        <v>129</v>
      </c>
      <c r="B101" s="164"/>
      <c r="C101" s="166"/>
      <c r="D101" s="166"/>
      <c r="E101" s="166"/>
      <c r="F101" s="166"/>
      <c r="G101" s="166"/>
      <c r="H101" s="166"/>
      <c r="I101" s="166"/>
      <c r="J101" s="166"/>
      <c r="K101" s="166"/>
      <c r="L101" s="166">
        <f>K92*'ABP Future Assumptions'!$B$93</f>
        <v>0</v>
      </c>
      <c r="M101" s="166">
        <f>L92*'ABP Future Assumptions'!$B$93</f>
        <v>53299582.171521768</v>
      </c>
      <c r="N101" s="166">
        <f>M92*'ABP Future Assumptions'!$B$93</f>
        <v>0</v>
      </c>
      <c r="O101" s="166">
        <f>N92*'ABP Future Assumptions'!$B$93</f>
        <v>0</v>
      </c>
      <c r="P101" s="166">
        <f>O92*'ABP Future Assumptions'!$B$93</f>
        <v>0</v>
      </c>
      <c r="Q101" s="166">
        <f>P92*'ABP Future Assumptions'!$B$93</f>
        <v>0</v>
      </c>
      <c r="R101" s="166">
        <f>Q92*'ABP Future Assumptions'!$B$93</f>
        <v>0</v>
      </c>
      <c r="S101" s="166">
        <f>R92*'ABP Future Assumptions'!$B$93</f>
        <v>0</v>
      </c>
      <c r="T101" s="166">
        <f>S92*'ABP Future Assumptions'!$B$93</f>
        <v>0</v>
      </c>
      <c r="U101" s="166">
        <f>T92*'ABP Future Assumptions'!$B$93</f>
        <v>0</v>
      </c>
    </row>
    <row r="102" spans="1:21" x14ac:dyDescent="0.35">
      <c r="A102" s="164" t="s">
        <v>135</v>
      </c>
      <c r="B102" s="164"/>
      <c r="C102" s="166"/>
      <c r="D102" s="166"/>
      <c r="E102" s="166"/>
      <c r="F102" s="166"/>
      <c r="G102" s="166"/>
      <c r="H102" s="166"/>
      <c r="I102" s="166"/>
      <c r="J102" s="166"/>
      <c r="K102" s="166"/>
      <c r="L102" s="166">
        <f>K93*'ABP Future Assumptions'!$B$93</f>
        <v>0</v>
      </c>
      <c r="M102" s="166">
        <f>L93*'ABP Future Assumptions'!$B$93</f>
        <v>5565050.567511755</v>
      </c>
      <c r="N102" s="166">
        <f>M93*'ABP Future Assumptions'!$B$93</f>
        <v>5255881.09153888</v>
      </c>
      <c r="O102" s="166">
        <f>N93*'ABP Future Assumptions'!$B$93</f>
        <v>5255881.09153888</v>
      </c>
      <c r="P102" s="166">
        <f>O93*'ABP Future Assumptions'!$B$93</f>
        <v>5255881.09153888</v>
      </c>
      <c r="Q102" s="166">
        <f>P93*'ABP Future Assumptions'!$B$93</f>
        <v>5255881.09153888</v>
      </c>
      <c r="R102" s="166">
        <f>Q93*'ABP Future Assumptions'!$B$93</f>
        <v>5255881.09153888</v>
      </c>
      <c r="S102" s="166">
        <f>R93*'ABP Future Assumptions'!$B$93</f>
        <v>5255881.09153888</v>
      </c>
      <c r="T102" s="166">
        <f>S93*'ABP Future Assumptions'!$B$93</f>
        <v>0</v>
      </c>
      <c r="U102" s="166">
        <f>T93*'ABP Future Assumptions'!$B$93</f>
        <v>0</v>
      </c>
    </row>
    <row r="103" spans="1:21" x14ac:dyDescent="0.35">
      <c r="A103" s="164" t="s">
        <v>144</v>
      </c>
      <c r="B103" s="164"/>
      <c r="C103" s="166"/>
      <c r="D103" s="166"/>
      <c r="E103" s="166"/>
      <c r="F103" s="166"/>
      <c r="G103" s="166"/>
      <c r="H103" s="166"/>
      <c r="I103" s="166"/>
      <c r="J103" s="166"/>
      <c r="K103" s="166"/>
      <c r="L103" s="166">
        <f>K94*'ABP Future Assumptions'!$B$93</f>
        <v>0</v>
      </c>
      <c r="M103" s="166">
        <f>L94*'ABP Future Assumptions'!$B$93</f>
        <v>0</v>
      </c>
      <c r="N103" s="166">
        <f>M94*'ABP Future Assumptions'!$B$93</f>
        <v>4590439.9550684011</v>
      </c>
      <c r="O103" s="166">
        <f>N94*'ABP Future Assumptions'!$B$93</f>
        <v>4567487.7552930592</v>
      </c>
      <c r="P103" s="166">
        <f>O94*'ABP Future Assumptions'!$B$93</f>
        <v>4544650.3165165931</v>
      </c>
      <c r="Q103" s="166">
        <f>P94*'ABP Future Assumptions'!$B$93</f>
        <v>4521927.0649340106</v>
      </c>
      <c r="R103" s="166">
        <f>Q94*'ABP Future Assumptions'!$B$93</f>
        <v>4499317.4296093406</v>
      </c>
      <c r="S103" s="166">
        <f>R94*'ABP Future Assumptions'!$B$93</f>
        <v>4476820.8424612945</v>
      </c>
      <c r="T103" s="166">
        <f>S94*'ABP Future Assumptions'!$B$93</f>
        <v>4454436.7382489871</v>
      </c>
      <c r="U103" s="166">
        <f>T94*'ABP Future Assumptions'!$B$93</f>
        <v>4432164.5545577426</v>
      </c>
    </row>
    <row r="104" spans="1:21" x14ac:dyDescent="0.35">
      <c r="A104" s="164" t="s">
        <v>149</v>
      </c>
      <c r="B104" s="164"/>
      <c r="C104" s="166"/>
      <c r="D104" s="166"/>
      <c r="E104" s="166"/>
      <c r="F104" s="166"/>
      <c r="G104" s="166"/>
      <c r="H104" s="166"/>
      <c r="I104" s="166"/>
      <c r="J104" s="166"/>
      <c r="K104" s="166"/>
      <c r="L104" s="166">
        <f>K95*'ABP Future Assumptions'!$B$93</f>
        <v>0</v>
      </c>
      <c r="M104" s="166">
        <f>L95*'ABP Future Assumptions'!$B$93</f>
        <v>2859389.9514306285</v>
      </c>
      <c r="N104" s="166">
        <f>M95*'ABP Future Assumptions'!$B$93</f>
        <v>2845093.001673474</v>
      </c>
      <c r="O104" s="166">
        <f>N95*'ABP Future Assumptions'!$B$93</f>
        <v>2830867.5366651071</v>
      </c>
      <c r="P104" s="166">
        <f>O95*'ABP Future Assumptions'!$B$93</f>
        <v>2816713.198981782</v>
      </c>
      <c r="Q104" s="166">
        <f>P95*'ABP Future Assumptions'!$B$93</f>
        <v>2802629.6329868725</v>
      </c>
      <c r="R104" s="166">
        <f>Q95*'ABP Future Assumptions'!$B$93</f>
        <v>2788616.484821938</v>
      </c>
      <c r="S104" s="166">
        <f>R95*'ABP Future Assumptions'!$B$93</f>
        <v>2774673.4023978291</v>
      </c>
      <c r="T104" s="166">
        <f>S95*'ABP Future Assumptions'!$B$93</f>
        <v>2760800.0353858387</v>
      </c>
      <c r="U104" s="166">
        <f>T95*'ABP Future Assumptions'!$B$93</f>
        <v>2746996.0352089107</v>
      </c>
    </row>
    <row r="105" spans="1:21" x14ac:dyDescent="0.35">
      <c r="A105" s="164" t="s">
        <v>153</v>
      </c>
      <c r="B105" s="164"/>
      <c r="C105" s="166"/>
      <c r="D105" s="166"/>
      <c r="E105" s="166"/>
      <c r="F105" s="166"/>
      <c r="G105" s="166"/>
      <c r="H105" s="166"/>
      <c r="I105" s="166"/>
      <c r="J105" s="166"/>
      <c r="K105" s="166"/>
      <c r="L105" s="166">
        <f>K96*'ABP Future Assumptions'!$B$93</f>
        <v>0</v>
      </c>
      <c r="M105" s="166">
        <f>L96*'ABP Future Assumptions'!$B$93</f>
        <v>0</v>
      </c>
      <c r="N105" s="166">
        <f>M96*'ABP Future Assumptions'!$B$93</f>
        <v>1873612.5143806925</v>
      </c>
      <c r="O105" s="166">
        <f>N96*'ABP Future Assumptions'!$B$93</f>
        <v>1769522.9302484314</v>
      </c>
      <c r="P105" s="166">
        <f>O96*'ABP Future Assumptions'!$B$93</f>
        <v>1769522.9302484314</v>
      </c>
      <c r="Q105" s="166">
        <f>P96*'ABP Future Assumptions'!$B$93</f>
        <v>1769522.9302484314</v>
      </c>
      <c r="R105" s="166">
        <f>Q96*'ABP Future Assumptions'!$B$93</f>
        <v>1769522.9302484314</v>
      </c>
      <c r="S105" s="166">
        <f>R96*'ABP Future Assumptions'!$B$93</f>
        <v>1769522.9302484314</v>
      </c>
      <c r="T105" s="166">
        <f>S96*'ABP Future Assumptions'!$B$93</f>
        <v>1769522.9302484314</v>
      </c>
      <c r="U105" s="166">
        <f>T96*'ABP Future Assumptions'!$B$93</f>
        <v>0</v>
      </c>
    </row>
    <row r="106" spans="1:21" x14ac:dyDescent="0.35">
      <c r="A106" s="164" t="s">
        <v>156</v>
      </c>
      <c r="B106" s="164"/>
      <c r="C106" s="166"/>
      <c r="D106" s="166"/>
      <c r="E106" s="166"/>
      <c r="F106" s="166"/>
      <c r="G106" s="166"/>
      <c r="H106" s="166"/>
      <c r="I106" s="166"/>
      <c r="J106" s="166"/>
      <c r="K106" s="166"/>
      <c r="L106" s="166">
        <f>K97*'ABP Future Assumptions'!$B$93</f>
        <v>0</v>
      </c>
      <c r="M106" s="166">
        <f>L97*'ABP Future Assumptions'!$B$93</f>
        <v>6183389.5194575023</v>
      </c>
      <c r="N106" s="166">
        <f>M97*'ABP Future Assumptions'!$B$93</f>
        <v>5839867.8794876421</v>
      </c>
      <c r="O106" s="166">
        <f>N97*'ABP Future Assumptions'!$B$93</f>
        <v>5839867.8794876421</v>
      </c>
      <c r="P106" s="166">
        <f>O97*'ABP Future Assumptions'!$B$93</f>
        <v>5839867.8794876421</v>
      </c>
      <c r="Q106" s="166">
        <f>P97*'ABP Future Assumptions'!$B$93</f>
        <v>5839867.8794876421</v>
      </c>
      <c r="R106" s="166">
        <f>Q97*'ABP Future Assumptions'!$B$93</f>
        <v>5839867.8794876421</v>
      </c>
      <c r="S106" s="166">
        <f>R97*'ABP Future Assumptions'!$B$93</f>
        <v>5839867.8794876421</v>
      </c>
      <c r="T106" s="166">
        <f>S97*'ABP Future Assumptions'!$B$93</f>
        <v>0</v>
      </c>
      <c r="U106" s="166">
        <f>T97*'ABP Future Assumptions'!$B$93</f>
        <v>0</v>
      </c>
    </row>
    <row r="107" spans="1:21" x14ac:dyDescent="0.35">
      <c r="A107" s="163" t="s">
        <v>103</v>
      </c>
      <c r="B107" s="163"/>
      <c r="C107" s="18">
        <f t="shared" ref="C107:T107" si="25">SUM(C101:C106)</f>
        <v>0</v>
      </c>
      <c r="D107" s="18">
        <f t="shared" si="25"/>
        <v>0</v>
      </c>
      <c r="E107" s="18">
        <f t="shared" si="25"/>
        <v>0</v>
      </c>
      <c r="F107" s="18">
        <f t="shared" si="25"/>
        <v>0</v>
      </c>
      <c r="G107" s="18">
        <f t="shared" si="25"/>
        <v>0</v>
      </c>
      <c r="H107" s="18">
        <f t="shared" si="25"/>
        <v>0</v>
      </c>
      <c r="I107" s="18">
        <f t="shared" si="25"/>
        <v>0</v>
      </c>
      <c r="J107" s="18">
        <f t="shared" si="25"/>
        <v>0</v>
      </c>
      <c r="K107" s="18">
        <f t="shared" si="25"/>
        <v>0</v>
      </c>
      <c r="L107" s="18">
        <f t="shared" si="25"/>
        <v>0</v>
      </c>
      <c r="M107" s="18">
        <f t="shared" si="25"/>
        <v>67907412.209921643</v>
      </c>
      <c r="N107" s="18">
        <f t="shared" si="25"/>
        <v>20404894.442149092</v>
      </c>
      <c r="O107" s="18">
        <f t="shared" si="25"/>
        <v>20263627.193233121</v>
      </c>
      <c r="P107" s="18">
        <f t="shared" si="25"/>
        <v>20226635.41677333</v>
      </c>
      <c r="Q107" s="18">
        <f t="shared" si="25"/>
        <v>20189828.599195838</v>
      </c>
      <c r="R107" s="18">
        <f t="shared" si="25"/>
        <v>20153205.815706231</v>
      </c>
      <c r="S107" s="18">
        <f t="shared" si="25"/>
        <v>20116766.146134079</v>
      </c>
      <c r="T107" s="18">
        <f t="shared" si="25"/>
        <v>8984759.7038832568</v>
      </c>
      <c r="U107" s="18">
        <f t="shared" ref="U107" si="26">SUM(U101:U106)</f>
        <v>7179160.5897666533</v>
      </c>
    </row>
    <row r="109" spans="1:21" ht="15.5" x14ac:dyDescent="0.35">
      <c r="A109" s="77">
        <v>2035</v>
      </c>
      <c r="B109" s="220">
        <v>2024</v>
      </c>
      <c r="C109" s="220">
        <v>2025</v>
      </c>
      <c r="D109" s="220">
        <v>2026</v>
      </c>
      <c r="E109" s="220">
        <v>2027</v>
      </c>
      <c r="F109" s="220">
        <v>2028</v>
      </c>
      <c r="G109" s="220">
        <v>2029</v>
      </c>
      <c r="H109" s="220">
        <v>2030</v>
      </c>
      <c r="I109" s="220">
        <v>2031</v>
      </c>
      <c r="J109" s="220">
        <v>2032</v>
      </c>
      <c r="K109" s="220">
        <v>2033</v>
      </c>
      <c r="L109" s="220">
        <v>2034</v>
      </c>
      <c r="M109" s="220">
        <v>2035</v>
      </c>
      <c r="N109" s="220">
        <v>2036</v>
      </c>
      <c r="O109" s="220">
        <v>2037</v>
      </c>
      <c r="P109" s="220">
        <v>2038</v>
      </c>
      <c r="Q109" s="220">
        <v>2039</v>
      </c>
      <c r="R109" s="220">
        <v>2040</v>
      </c>
      <c r="S109" s="220">
        <v>2041</v>
      </c>
      <c r="T109" s="220">
        <v>2042</v>
      </c>
      <c r="U109" s="220">
        <v>2043</v>
      </c>
    </row>
    <row r="110" spans="1:21" x14ac:dyDescent="0.35">
      <c r="A110" s="164" t="s">
        <v>129</v>
      </c>
      <c r="B110" s="164"/>
      <c r="C110" s="166"/>
      <c r="D110" s="166"/>
      <c r="E110" s="166"/>
      <c r="F110" s="166"/>
      <c r="G110" s="166"/>
      <c r="H110" s="166"/>
      <c r="I110" s="166"/>
      <c r="J110" s="166"/>
      <c r="K110" s="166"/>
      <c r="L110" s="166"/>
      <c r="M110" s="166">
        <f>L101*'ABP Future Assumptions'!$B$93</f>
        <v>0</v>
      </c>
      <c r="N110" s="166">
        <f>M101*'ABP Future Assumptions'!$B$93</f>
        <v>51167598.884660892</v>
      </c>
      <c r="O110" s="166">
        <f>N101*'ABP Future Assumptions'!$B$93</f>
        <v>0</v>
      </c>
      <c r="P110" s="166">
        <f>O101*'ABP Future Assumptions'!$B$93</f>
        <v>0</v>
      </c>
      <c r="Q110" s="166">
        <f>P101*'ABP Future Assumptions'!$B$93</f>
        <v>0</v>
      </c>
      <c r="R110" s="166">
        <f>Q101*'ABP Future Assumptions'!$B$93</f>
        <v>0</v>
      </c>
      <c r="S110" s="166">
        <f>R101*'ABP Future Assumptions'!$B$93</f>
        <v>0</v>
      </c>
      <c r="T110" s="166">
        <f>S101*'ABP Future Assumptions'!$B$93</f>
        <v>0</v>
      </c>
      <c r="U110" s="166">
        <f>T101*'ABP Future Assumptions'!$B$93</f>
        <v>0</v>
      </c>
    </row>
    <row r="111" spans="1:21" x14ac:dyDescent="0.35">
      <c r="A111" s="164" t="s">
        <v>135</v>
      </c>
      <c r="B111" s="164"/>
      <c r="C111" s="166"/>
      <c r="D111" s="166"/>
      <c r="E111" s="166"/>
      <c r="F111" s="166"/>
      <c r="G111" s="166"/>
      <c r="H111" s="166"/>
      <c r="I111" s="166"/>
      <c r="J111" s="166"/>
      <c r="K111" s="166"/>
      <c r="L111" s="166"/>
      <c r="M111" s="166">
        <f>L102*'ABP Future Assumptions'!$B$93</f>
        <v>0</v>
      </c>
      <c r="N111" s="166">
        <f>M102*'ABP Future Assumptions'!$B$93</f>
        <v>5342448.5448112851</v>
      </c>
      <c r="O111" s="166">
        <f>N102*'ABP Future Assumptions'!$B$93</f>
        <v>5045645.8478773246</v>
      </c>
      <c r="P111" s="166">
        <f>O102*'ABP Future Assumptions'!$B$93</f>
        <v>5045645.8478773246</v>
      </c>
      <c r="Q111" s="166">
        <f>P102*'ABP Future Assumptions'!$B$93</f>
        <v>5045645.8478773246</v>
      </c>
      <c r="R111" s="166">
        <f>Q102*'ABP Future Assumptions'!$B$93</f>
        <v>5045645.8478773246</v>
      </c>
      <c r="S111" s="166">
        <f>R102*'ABP Future Assumptions'!$B$93</f>
        <v>5045645.8478773246</v>
      </c>
      <c r="T111" s="166">
        <f>S102*'ABP Future Assumptions'!$B$93</f>
        <v>5045645.8478773246</v>
      </c>
      <c r="U111" s="166">
        <f>T102*'ABP Future Assumptions'!$B$93</f>
        <v>0</v>
      </c>
    </row>
    <row r="112" spans="1:21" x14ac:dyDescent="0.35">
      <c r="A112" s="164" t="s">
        <v>144</v>
      </c>
      <c r="B112" s="164"/>
      <c r="C112" s="166"/>
      <c r="D112" s="166"/>
      <c r="E112" s="166"/>
      <c r="F112" s="166"/>
      <c r="G112" s="166"/>
      <c r="H112" s="166"/>
      <c r="I112" s="166"/>
      <c r="J112" s="166"/>
      <c r="K112" s="166"/>
      <c r="L112" s="166"/>
      <c r="M112" s="166">
        <f>L103*'ABP Future Assumptions'!$B$93</f>
        <v>0</v>
      </c>
      <c r="N112" s="166">
        <f>M103*'ABP Future Assumptions'!$B$93</f>
        <v>0</v>
      </c>
      <c r="O112" s="166">
        <f>N103*'ABP Future Assumptions'!$B$93</f>
        <v>4406822.3568656649</v>
      </c>
      <c r="P112" s="166">
        <f>O103*'ABP Future Assumptions'!$B$93</f>
        <v>4384788.2450813362</v>
      </c>
      <c r="Q112" s="166">
        <f>P103*'ABP Future Assumptions'!$B$93</f>
        <v>4362864.3038559295</v>
      </c>
      <c r="R112" s="166">
        <f>Q103*'ABP Future Assumptions'!$B$93</f>
        <v>4341049.9823366497</v>
      </c>
      <c r="S112" s="166">
        <f>R103*'ABP Future Assumptions'!$B$93</f>
        <v>4319344.732424967</v>
      </c>
      <c r="T112" s="166">
        <f>S103*'ABP Future Assumptions'!$B$93</f>
        <v>4297748.008762843</v>
      </c>
      <c r="U112" s="166">
        <f>T103*'ABP Future Assumptions'!$B$93</f>
        <v>4276259.2687190278</v>
      </c>
    </row>
    <row r="113" spans="1:21" x14ac:dyDescent="0.35">
      <c r="A113" s="164" t="s">
        <v>149</v>
      </c>
      <c r="B113" s="164"/>
      <c r="C113" s="166"/>
      <c r="D113" s="166"/>
      <c r="E113" s="166"/>
      <c r="F113" s="166"/>
      <c r="G113" s="166"/>
      <c r="H113" s="166"/>
      <c r="I113" s="166"/>
      <c r="J113" s="166"/>
      <c r="K113" s="166"/>
      <c r="L113" s="166"/>
      <c r="M113" s="166">
        <f>L104*'ABP Future Assumptions'!$B$93</f>
        <v>0</v>
      </c>
      <c r="N113" s="166">
        <f>M104*'ABP Future Assumptions'!$B$93</f>
        <v>2745014.3533734032</v>
      </c>
      <c r="O113" s="166">
        <f>N104*'ABP Future Assumptions'!$B$93</f>
        <v>2731289.281606535</v>
      </c>
      <c r="P113" s="166">
        <f>O104*'ABP Future Assumptions'!$B$93</f>
        <v>2717632.8351985025</v>
      </c>
      <c r="Q113" s="166">
        <f>P104*'ABP Future Assumptions'!$B$93</f>
        <v>2704044.6710225106</v>
      </c>
      <c r="R113" s="166">
        <f>Q104*'ABP Future Assumptions'!$B$93</f>
        <v>2690524.4476673976</v>
      </c>
      <c r="S113" s="166">
        <f>R104*'ABP Future Assumptions'!$B$93</f>
        <v>2677071.8254290605</v>
      </c>
      <c r="T113" s="166">
        <f>S104*'ABP Future Assumptions'!$B$93</f>
        <v>2663686.4663019157</v>
      </c>
      <c r="U113" s="166">
        <f>T104*'ABP Future Assumptions'!$B$93</f>
        <v>2650368.0339704049</v>
      </c>
    </row>
    <row r="114" spans="1:21" x14ac:dyDescent="0.35">
      <c r="A114" s="164" t="s">
        <v>153</v>
      </c>
      <c r="B114" s="164"/>
      <c r="C114" s="166"/>
      <c r="D114" s="166"/>
      <c r="E114" s="166"/>
      <c r="F114" s="166"/>
      <c r="G114" s="166"/>
      <c r="H114" s="166"/>
      <c r="I114" s="166"/>
      <c r="J114" s="166"/>
      <c r="K114" s="166"/>
      <c r="L114" s="166"/>
      <c r="M114" s="166">
        <f>L105*'ABP Future Assumptions'!$B$93</f>
        <v>0</v>
      </c>
      <c r="N114" s="166">
        <f>M105*'ABP Future Assumptions'!$B$93</f>
        <v>0</v>
      </c>
      <c r="O114" s="166">
        <f>N105*'ABP Future Assumptions'!$B$93</f>
        <v>1798668.0138054648</v>
      </c>
      <c r="P114" s="166">
        <f>O105*'ABP Future Assumptions'!$B$93</f>
        <v>1698742.0130384942</v>
      </c>
      <c r="Q114" s="166">
        <f>P105*'ABP Future Assumptions'!$B$93</f>
        <v>1698742.0130384942</v>
      </c>
      <c r="R114" s="166">
        <f>Q105*'ABP Future Assumptions'!$B$93</f>
        <v>1698742.0130384942</v>
      </c>
      <c r="S114" s="166">
        <f>R105*'ABP Future Assumptions'!$B$93</f>
        <v>1698742.0130384942</v>
      </c>
      <c r="T114" s="166">
        <f>S105*'ABP Future Assumptions'!$B$93</f>
        <v>1698742.0130384942</v>
      </c>
      <c r="U114" s="166">
        <f>T105*'ABP Future Assumptions'!$B$93</f>
        <v>1698742.0130384942</v>
      </c>
    </row>
    <row r="115" spans="1:21" x14ac:dyDescent="0.35">
      <c r="A115" s="164" t="s">
        <v>156</v>
      </c>
      <c r="B115" s="164"/>
      <c r="C115" s="166"/>
      <c r="D115" s="166"/>
      <c r="E115" s="166"/>
      <c r="F115" s="166"/>
      <c r="G115" s="166"/>
      <c r="H115" s="166"/>
      <c r="I115" s="166"/>
      <c r="J115" s="166"/>
      <c r="K115" s="166"/>
      <c r="L115" s="166"/>
      <c r="M115" s="166">
        <f>L106*'ABP Future Assumptions'!$B$93</f>
        <v>0</v>
      </c>
      <c r="N115" s="166">
        <f>M106*'ABP Future Assumptions'!$B$93</f>
        <v>5936053.9386792015</v>
      </c>
      <c r="O115" s="166">
        <f>N106*'ABP Future Assumptions'!$B$93</f>
        <v>5606273.1643081363</v>
      </c>
      <c r="P115" s="166">
        <f>O106*'ABP Future Assumptions'!$B$93</f>
        <v>5606273.1643081363</v>
      </c>
      <c r="Q115" s="166">
        <f>P106*'ABP Future Assumptions'!$B$93</f>
        <v>5606273.1643081363</v>
      </c>
      <c r="R115" s="166">
        <f>Q106*'ABP Future Assumptions'!$B$93</f>
        <v>5606273.1643081363</v>
      </c>
      <c r="S115" s="166">
        <f>R106*'ABP Future Assumptions'!$B$93</f>
        <v>5606273.1643081363</v>
      </c>
      <c r="T115" s="166">
        <f>S106*'ABP Future Assumptions'!$B$93</f>
        <v>5606273.1643081363</v>
      </c>
      <c r="U115" s="166">
        <f>T106*'ABP Future Assumptions'!$B$93</f>
        <v>0</v>
      </c>
    </row>
    <row r="116" spans="1:21" x14ac:dyDescent="0.35">
      <c r="A116" s="163" t="s">
        <v>103</v>
      </c>
      <c r="B116" s="163"/>
      <c r="C116" s="18">
        <f t="shared" ref="C116:T116" si="27">SUM(C110:C115)</f>
        <v>0</v>
      </c>
      <c r="D116" s="18">
        <f t="shared" si="27"/>
        <v>0</v>
      </c>
      <c r="E116" s="18">
        <f t="shared" si="27"/>
        <v>0</v>
      </c>
      <c r="F116" s="18">
        <f t="shared" si="27"/>
        <v>0</v>
      </c>
      <c r="G116" s="18">
        <f t="shared" si="27"/>
        <v>0</v>
      </c>
      <c r="H116" s="18">
        <f t="shared" si="27"/>
        <v>0</v>
      </c>
      <c r="I116" s="18">
        <f t="shared" si="27"/>
        <v>0</v>
      </c>
      <c r="J116" s="18">
        <f t="shared" si="27"/>
        <v>0</v>
      </c>
      <c r="K116" s="18">
        <f t="shared" si="27"/>
        <v>0</v>
      </c>
      <c r="L116" s="18">
        <f t="shared" si="27"/>
        <v>0</v>
      </c>
      <c r="M116" s="18">
        <f t="shared" si="27"/>
        <v>0</v>
      </c>
      <c r="N116" s="18">
        <f t="shared" si="27"/>
        <v>65191115.721524782</v>
      </c>
      <c r="O116" s="18">
        <f t="shared" si="27"/>
        <v>19588698.664463125</v>
      </c>
      <c r="P116" s="18">
        <f t="shared" si="27"/>
        <v>19453082.105503794</v>
      </c>
      <c r="Q116" s="18">
        <f t="shared" si="27"/>
        <v>19417570.000102393</v>
      </c>
      <c r="R116" s="18">
        <f t="shared" si="27"/>
        <v>19382235.455228001</v>
      </c>
      <c r="S116" s="18">
        <f t="shared" si="27"/>
        <v>19347077.583077982</v>
      </c>
      <c r="T116" s="18">
        <f t="shared" si="27"/>
        <v>19312095.500288714</v>
      </c>
      <c r="U116" s="18">
        <f t="shared" ref="U116" si="28">SUM(U110:U115)</f>
        <v>8625369.3157279268</v>
      </c>
    </row>
    <row r="118" spans="1:21" ht="15.5" x14ac:dyDescent="0.35">
      <c r="A118" s="77">
        <v>2036</v>
      </c>
      <c r="B118" s="220">
        <v>2024</v>
      </c>
      <c r="C118" s="220">
        <v>2025</v>
      </c>
      <c r="D118" s="220">
        <v>2026</v>
      </c>
      <c r="E118" s="220">
        <v>2027</v>
      </c>
      <c r="F118" s="220">
        <v>2028</v>
      </c>
      <c r="G118" s="220">
        <v>2029</v>
      </c>
      <c r="H118" s="220">
        <v>2030</v>
      </c>
      <c r="I118" s="220">
        <v>2031</v>
      </c>
      <c r="J118" s="220">
        <v>2032</v>
      </c>
      <c r="K118" s="220">
        <v>2033</v>
      </c>
      <c r="L118" s="220">
        <v>2034</v>
      </c>
      <c r="M118" s="220">
        <v>2035</v>
      </c>
      <c r="N118" s="220">
        <v>2036</v>
      </c>
      <c r="O118" s="220">
        <v>2037</v>
      </c>
      <c r="P118" s="220">
        <v>2038</v>
      </c>
      <c r="Q118" s="220">
        <v>2039</v>
      </c>
      <c r="R118" s="220">
        <v>2040</v>
      </c>
      <c r="S118" s="220">
        <v>2041</v>
      </c>
      <c r="T118" s="220">
        <v>2042</v>
      </c>
      <c r="U118" s="220">
        <v>2043</v>
      </c>
    </row>
    <row r="119" spans="1:21" x14ac:dyDescent="0.35">
      <c r="A119" s="164" t="s">
        <v>129</v>
      </c>
      <c r="B119" s="164"/>
      <c r="C119" s="166"/>
      <c r="D119" s="166"/>
      <c r="E119" s="166"/>
      <c r="F119" s="166"/>
      <c r="G119" s="166"/>
      <c r="H119" s="166"/>
      <c r="I119" s="166"/>
      <c r="J119" s="166"/>
      <c r="K119" s="166"/>
      <c r="L119" s="166"/>
      <c r="M119" s="166"/>
      <c r="N119" s="166">
        <f>M110*'ABP Future Assumptions'!$B$93</f>
        <v>0</v>
      </c>
      <c r="O119" s="166">
        <f>N110*'ABP Future Assumptions'!$B$93</f>
        <v>49120894.929274455</v>
      </c>
      <c r="P119" s="166">
        <f>O110*'ABP Future Assumptions'!$B$93</f>
        <v>0</v>
      </c>
      <c r="Q119" s="166">
        <f>P110*'ABP Future Assumptions'!$B$93</f>
        <v>0</v>
      </c>
      <c r="R119" s="166">
        <f>Q110*'ABP Future Assumptions'!$B$93</f>
        <v>0</v>
      </c>
      <c r="S119" s="166">
        <f>R110*'ABP Future Assumptions'!$B$93</f>
        <v>0</v>
      </c>
      <c r="T119" s="166">
        <f>S110*'ABP Future Assumptions'!$B$93</f>
        <v>0</v>
      </c>
      <c r="U119" s="166">
        <f>T110*'ABP Future Assumptions'!$B$93</f>
        <v>0</v>
      </c>
    </row>
    <row r="120" spans="1:21" x14ac:dyDescent="0.35">
      <c r="A120" s="164" t="s">
        <v>135</v>
      </c>
      <c r="B120" s="164"/>
      <c r="C120" s="166"/>
      <c r="D120" s="166"/>
      <c r="E120" s="166"/>
      <c r="F120" s="166"/>
      <c r="G120" s="166"/>
      <c r="H120" s="166"/>
      <c r="I120" s="166"/>
      <c r="J120" s="166"/>
      <c r="K120" s="166"/>
      <c r="L120" s="166"/>
      <c r="M120" s="166"/>
      <c r="N120" s="166">
        <f>M111*'ABP Future Assumptions'!$B$93</f>
        <v>0</v>
      </c>
      <c r="O120" s="166">
        <f>N111*'ABP Future Assumptions'!$B$93</f>
        <v>5128750.6030188333</v>
      </c>
      <c r="P120" s="166">
        <f>O111*'ABP Future Assumptions'!$B$93</f>
        <v>4843820.0139622316</v>
      </c>
      <c r="Q120" s="166">
        <f>P111*'ABP Future Assumptions'!$B$93</f>
        <v>4843820.0139622316</v>
      </c>
      <c r="R120" s="166">
        <f>Q111*'ABP Future Assumptions'!$B$93</f>
        <v>4843820.0139622316</v>
      </c>
      <c r="S120" s="166">
        <f>R111*'ABP Future Assumptions'!$B$93</f>
        <v>4843820.0139622316</v>
      </c>
      <c r="T120" s="166">
        <f>S111*'ABP Future Assumptions'!$B$93</f>
        <v>4843820.0139622316</v>
      </c>
      <c r="U120" s="166">
        <f>T111*'ABP Future Assumptions'!$B$93</f>
        <v>4843820.0139622316</v>
      </c>
    </row>
    <row r="121" spans="1:21" x14ac:dyDescent="0.35">
      <c r="A121" s="164" t="s">
        <v>144</v>
      </c>
      <c r="B121" s="164"/>
      <c r="C121" s="166"/>
      <c r="D121" s="166"/>
      <c r="E121" s="166"/>
      <c r="F121" s="166"/>
      <c r="G121" s="166"/>
      <c r="H121" s="166"/>
      <c r="I121" s="166"/>
      <c r="J121" s="166"/>
      <c r="K121" s="166"/>
      <c r="L121" s="166"/>
      <c r="M121" s="166"/>
      <c r="N121" s="166">
        <f>M112*'ABP Future Assumptions'!$B$93</f>
        <v>0</v>
      </c>
      <c r="O121" s="166">
        <f>N112*'ABP Future Assumptions'!$B$93</f>
        <v>0</v>
      </c>
      <c r="P121" s="166">
        <f>O112*'ABP Future Assumptions'!$B$93</f>
        <v>4230549.4625910381</v>
      </c>
      <c r="Q121" s="166">
        <f>P112*'ABP Future Assumptions'!$B$93</f>
        <v>4209396.7152780825</v>
      </c>
      <c r="R121" s="166">
        <f>Q112*'ABP Future Assumptions'!$B$93</f>
        <v>4188349.7317016921</v>
      </c>
      <c r="S121" s="166">
        <f>R112*'ABP Future Assumptions'!$B$93</f>
        <v>4167407.9830431836</v>
      </c>
      <c r="T121" s="166">
        <f>S112*'ABP Future Assumptions'!$B$93</f>
        <v>4146570.9431279683</v>
      </c>
      <c r="U121" s="166">
        <f>T112*'ABP Future Assumptions'!$B$93</f>
        <v>4125838.0884123291</v>
      </c>
    </row>
    <row r="122" spans="1:21" x14ac:dyDescent="0.35">
      <c r="A122" s="164" t="s">
        <v>149</v>
      </c>
      <c r="B122" s="164"/>
      <c r="C122" s="166"/>
      <c r="D122" s="166"/>
      <c r="E122" s="166"/>
      <c r="F122" s="166"/>
      <c r="G122" s="166"/>
      <c r="H122" s="166"/>
      <c r="I122" s="166"/>
      <c r="J122" s="166"/>
      <c r="K122" s="166"/>
      <c r="L122" s="166"/>
      <c r="M122" s="166"/>
      <c r="N122" s="166">
        <f>M113*'ABP Future Assumptions'!$B$93</f>
        <v>0</v>
      </c>
      <c r="O122" s="166">
        <f>N113*'ABP Future Assumptions'!$B$93</f>
        <v>2635213.7792384671</v>
      </c>
      <c r="P122" s="166">
        <f>O113*'ABP Future Assumptions'!$B$93</f>
        <v>2622037.7103422736</v>
      </c>
      <c r="Q122" s="166">
        <f>P113*'ABP Future Assumptions'!$B$93</f>
        <v>2608927.5217905622</v>
      </c>
      <c r="R122" s="166">
        <f>Q113*'ABP Future Assumptions'!$B$93</f>
        <v>2595882.8841816103</v>
      </c>
      <c r="S122" s="166">
        <f>R113*'ABP Future Assumptions'!$B$93</f>
        <v>2582903.4697607015</v>
      </c>
      <c r="T122" s="166">
        <f>S113*'ABP Future Assumptions'!$B$93</f>
        <v>2569988.9524118979</v>
      </c>
      <c r="U122" s="166">
        <f>T113*'ABP Future Assumptions'!$B$93</f>
        <v>2557139.0076498389</v>
      </c>
    </row>
    <row r="123" spans="1:21" x14ac:dyDescent="0.35">
      <c r="A123" s="164" t="s">
        <v>153</v>
      </c>
      <c r="B123" s="164"/>
      <c r="C123" s="166"/>
      <c r="D123" s="166"/>
      <c r="E123" s="166"/>
      <c r="F123" s="166"/>
      <c r="G123" s="166"/>
      <c r="H123" s="166"/>
      <c r="I123" s="166"/>
      <c r="J123" s="166"/>
      <c r="K123" s="166"/>
      <c r="L123" s="166"/>
      <c r="M123" s="166"/>
      <c r="N123" s="166">
        <f>M114*'ABP Future Assumptions'!$B$93</f>
        <v>0</v>
      </c>
      <c r="O123" s="166">
        <f>N114*'ABP Future Assumptions'!$B$93</f>
        <v>0</v>
      </c>
      <c r="P123" s="166">
        <f>O114*'ABP Future Assumptions'!$B$93</f>
        <v>1726721.2932532462</v>
      </c>
      <c r="Q123" s="166">
        <f>P114*'ABP Future Assumptions'!$B$93</f>
        <v>1630792.3325169543</v>
      </c>
      <c r="R123" s="166">
        <f>Q114*'ABP Future Assumptions'!$B$93</f>
        <v>1630792.3325169543</v>
      </c>
      <c r="S123" s="166">
        <f>R114*'ABP Future Assumptions'!$B$93</f>
        <v>1630792.3325169543</v>
      </c>
      <c r="T123" s="166">
        <f>S114*'ABP Future Assumptions'!$B$93</f>
        <v>1630792.3325169543</v>
      </c>
      <c r="U123" s="166">
        <f>T114*'ABP Future Assumptions'!$B$93</f>
        <v>1630792.3325169543</v>
      </c>
    </row>
    <row r="124" spans="1:21" x14ac:dyDescent="0.35">
      <c r="A124" s="164" t="s">
        <v>156</v>
      </c>
      <c r="B124" s="164"/>
      <c r="C124" s="166"/>
      <c r="D124" s="166"/>
      <c r="E124" s="166"/>
      <c r="F124" s="166"/>
      <c r="G124" s="166"/>
      <c r="H124" s="166"/>
      <c r="I124" s="166"/>
      <c r="J124" s="166"/>
      <c r="K124" s="166"/>
      <c r="L124" s="166"/>
      <c r="M124" s="166"/>
      <c r="N124" s="166">
        <f>M115*'ABP Future Assumptions'!$B$93</f>
        <v>0</v>
      </c>
      <c r="O124" s="166">
        <f>N115*'ABP Future Assumptions'!$B$93</f>
        <v>5698611.7811320331</v>
      </c>
      <c r="P124" s="166">
        <f>O115*'ABP Future Assumptions'!$B$93</f>
        <v>5382022.2377358107</v>
      </c>
      <c r="Q124" s="166">
        <f>P115*'ABP Future Assumptions'!$B$93</f>
        <v>5382022.2377358107</v>
      </c>
      <c r="R124" s="166">
        <f>Q115*'ABP Future Assumptions'!$B$93</f>
        <v>5382022.2377358107</v>
      </c>
      <c r="S124" s="166">
        <f>R115*'ABP Future Assumptions'!$B$93</f>
        <v>5382022.2377358107</v>
      </c>
      <c r="T124" s="166">
        <f>S115*'ABP Future Assumptions'!$B$93</f>
        <v>5382022.2377358107</v>
      </c>
      <c r="U124" s="166">
        <f>T115*'ABP Future Assumptions'!$B$93</f>
        <v>5382022.2377358107</v>
      </c>
    </row>
    <row r="125" spans="1:21" x14ac:dyDescent="0.35">
      <c r="A125" s="163" t="s">
        <v>103</v>
      </c>
      <c r="B125" s="163"/>
      <c r="C125" s="18">
        <f t="shared" ref="C125:T125" si="29">SUM(C119:C124)</f>
        <v>0</v>
      </c>
      <c r="D125" s="18">
        <f t="shared" si="29"/>
        <v>0</v>
      </c>
      <c r="E125" s="18">
        <f t="shared" si="29"/>
        <v>0</v>
      </c>
      <c r="F125" s="18">
        <f t="shared" si="29"/>
        <v>0</v>
      </c>
      <c r="G125" s="18">
        <f t="shared" si="29"/>
        <v>0</v>
      </c>
      <c r="H125" s="18">
        <f t="shared" si="29"/>
        <v>0</v>
      </c>
      <c r="I125" s="18">
        <f t="shared" si="29"/>
        <v>0</v>
      </c>
      <c r="J125" s="18">
        <f t="shared" si="29"/>
        <v>0</v>
      </c>
      <c r="K125" s="18">
        <f t="shared" si="29"/>
        <v>0</v>
      </c>
      <c r="L125" s="18">
        <f t="shared" si="29"/>
        <v>0</v>
      </c>
      <c r="M125" s="18">
        <f t="shared" si="29"/>
        <v>0</v>
      </c>
      <c r="N125" s="18">
        <f t="shared" si="29"/>
        <v>0</v>
      </c>
      <c r="O125" s="18">
        <f t="shared" si="29"/>
        <v>62583471.092663795</v>
      </c>
      <c r="P125" s="18">
        <f t="shared" si="29"/>
        <v>18805150.7178846</v>
      </c>
      <c r="Q125" s="18">
        <f t="shared" si="29"/>
        <v>18674958.821283642</v>
      </c>
      <c r="R125" s="18">
        <f t="shared" si="29"/>
        <v>18640867.200098298</v>
      </c>
      <c r="S125" s="18">
        <f t="shared" si="29"/>
        <v>18606946.03701888</v>
      </c>
      <c r="T125" s="18">
        <f t="shared" si="29"/>
        <v>18573194.479754861</v>
      </c>
      <c r="U125" s="18">
        <f t="shared" ref="U125" si="30">SUM(U119:U124)</f>
        <v>18539611.680277165</v>
      </c>
    </row>
    <row r="127" spans="1:21" ht="15.5" x14ac:dyDescent="0.35">
      <c r="A127" s="77">
        <v>2037</v>
      </c>
      <c r="B127" s="220">
        <v>2024</v>
      </c>
      <c r="C127" s="220">
        <v>2025</v>
      </c>
      <c r="D127" s="220">
        <v>2026</v>
      </c>
      <c r="E127" s="220">
        <v>2027</v>
      </c>
      <c r="F127" s="220">
        <v>2028</v>
      </c>
      <c r="G127" s="220">
        <v>2029</v>
      </c>
      <c r="H127" s="220">
        <v>2030</v>
      </c>
      <c r="I127" s="220">
        <v>2031</v>
      </c>
      <c r="J127" s="220">
        <v>2032</v>
      </c>
      <c r="K127" s="220">
        <v>2033</v>
      </c>
      <c r="L127" s="220">
        <v>2034</v>
      </c>
      <c r="M127" s="220">
        <v>2035</v>
      </c>
      <c r="N127" s="220">
        <v>2036</v>
      </c>
      <c r="O127" s="220">
        <v>2037</v>
      </c>
      <c r="P127" s="220">
        <v>2038</v>
      </c>
      <c r="Q127" s="220">
        <v>2039</v>
      </c>
      <c r="R127" s="220">
        <v>2040</v>
      </c>
      <c r="S127" s="220">
        <v>2041</v>
      </c>
      <c r="T127" s="220">
        <v>2042</v>
      </c>
      <c r="U127" s="220">
        <v>2043</v>
      </c>
    </row>
    <row r="128" spans="1:21" x14ac:dyDescent="0.35">
      <c r="A128" s="164" t="s">
        <v>129</v>
      </c>
      <c r="B128" s="164"/>
      <c r="C128" s="166"/>
      <c r="D128" s="166"/>
      <c r="E128" s="166"/>
      <c r="F128" s="166"/>
      <c r="G128" s="166"/>
      <c r="H128" s="166"/>
      <c r="I128" s="166"/>
      <c r="J128" s="166"/>
      <c r="K128" s="166"/>
      <c r="L128" s="166"/>
      <c r="M128" s="166"/>
      <c r="N128" s="166"/>
      <c r="O128" s="166">
        <f>N119*'ABP Future Assumptions'!$B$93</f>
        <v>0</v>
      </c>
      <c r="P128" s="166">
        <f>O119*'ABP Future Assumptions'!$B$93</f>
        <v>47156059.132103473</v>
      </c>
      <c r="Q128" s="166">
        <f>P119*'ABP Future Assumptions'!$B$93</f>
        <v>0</v>
      </c>
      <c r="R128" s="166">
        <f>Q119*'ABP Future Assumptions'!$B$93</f>
        <v>0</v>
      </c>
      <c r="S128" s="166">
        <f>R119*'ABP Future Assumptions'!$B$93</f>
        <v>0</v>
      </c>
      <c r="T128" s="166">
        <f>S119*'ABP Future Assumptions'!$B$93</f>
        <v>0</v>
      </c>
      <c r="U128" s="166">
        <f>T119*'ABP Future Assumptions'!$B$93</f>
        <v>0</v>
      </c>
    </row>
    <row r="129" spans="1:21" x14ac:dyDescent="0.35">
      <c r="A129" s="164" t="s">
        <v>135</v>
      </c>
      <c r="B129" s="164"/>
      <c r="C129" s="166"/>
      <c r="D129" s="166"/>
      <c r="E129" s="166"/>
      <c r="F129" s="166"/>
      <c r="G129" s="166"/>
      <c r="H129" s="166"/>
      <c r="I129" s="166"/>
      <c r="J129" s="166"/>
      <c r="K129" s="166"/>
      <c r="L129" s="166"/>
      <c r="M129" s="166"/>
      <c r="N129" s="166"/>
      <c r="O129" s="166">
        <f>N120*'ABP Future Assumptions'!$B$93</f>
        <v>0</v>
      </c>
      <c r="P129" s="166">
        <f>O120*'ABP Future Assumptions'!$B$93</f>
        <v>4923600.5788980797</v>
      </c>
      <c r="Q129" s="166">
        <f>P120*'ABP Future Assumptions'!$B$93</f>
        <v>4650067.2134037418</v>
      </c>
      <c r="R129" s="166">
        <f>Q120*'ABP Future Assumptions'!$B$93</f>
        <v>4650067.2134037418</v>
      </c>
      <c r="S129" s="166">
        <f>R120*'ABP Future Assumptions'!$B$93</f>
        <v>4650067.2134037418</v>
      </c>
      <c r="T129" s="166">
        <f>S120*'ABP Future Assumptions'!$B$93</f>
        <v>4650067.2134037418</v>
      </c>
      <c r="U129" s="166">
        <f>T120*'ABP Future Assumptions'!$B$93</f>
        <v>4650067.2134037418</v>
      </c>
    </row>
    <row r="130" spans="1:21" x14ac:dyDescent="0.35">
      <c r="A130" s="164" t="s">
        <v>144</v>
      </c>
      <c r="B130" s="164"/>
      <c r="C130" s="166"/>
      <c r="D130" s="166"/>
      <c r="E130" s="166"/>
      <c r="F130" s="166"/>
      <c r="G130" s="166"/>
      <c r="H130" s="166"/>
      <c r="I130" s="166"/>
      <c r="J130" s="166"/>
      <c r="K130" s="166"/>
      <c r="L130" s="166"/>
      <c r="M130" s="166"/>
      <c r="N130" s="166"/>
      <c r="O130" s="166">
        <f>N121*'ABP Future Assumptions'!$B$93</f>
        <v>0</v>
      </c>
      <c r="P130" s="166">
        <f>O121*'ABP Future Assumptions'!$B$93</f>
        <v>0</v>
      </c>
      <c r="Q130" s="166">
        <f>P121*'ABP Future Assumptions'!$B$93</f>
        <v>4061327.4840873964</v>
      </c>
      <c r="R130" s="166">
        <f>Q121*'ABP Future Assumptions'!$B$93</f>
        <v>4041020.8466669591</v>
      </c>
      <c r="S130" s="166">
        <f>R121*'ABP Future Assumptions'!$B$93</f>
        <v>4020815.7424336243</v>
      </c>
      <c r="T130" s="166">
        <f>S121*'ABP Future Assumptions'!$B$93</f>
        <v>4000711.6637214562</v>
      </c>
      <c r="U130" s="166">
        <f>T121*'ABP Future Assumptions'!$B$93</f>
        <v>3980708.1054028496</v>
      </c>
    </row>
    <row r="131" spans="1:21" x14ac:dyDescent="0.35">
      <c r="A131" s="164" t="s">
        <v>149</v>
      </c>
      <c r="B131" s="164"/>
      <c r="C131" s="166"/>
      <c r="D131" s="166"/>
      <c r="E131" s="166"/>
      <c r="F131" s="166"/>
      <c r="G131" s="166"/>
      <c r="H131" s="166"/>
      <c r="I131" s="166"/>
      <c r="J131" s="166"/>
      <c r="K131" s="166"/>
      <c r="L131" s="166"/>
      <c r="M131" s="166"/>
      <c r="N131" s="166"/>
      <c r="O131" s="166">
        <f>N122*'ABP Future Assumptions'!$B$93</f>
        <v>0</v>
      </c>
      <c r="P131" s="166">
        <f>O122*'ABP Future Assumptions'!$B$93</f>
        <v>2529805.2280689282</v>
      </c>
      <c r="Q131" s="166">
        <f>P122*'ABP Future Assumptions'!$B$93</f>
        <v>2517156.2019285825</v>
      </c>
      <c r="R131" s="166">
        <f>Q122*'ABP Future Assumptions'!$B$93</f>
        <v>2504570.4209189396</v>
      </c>
      <c r="S131" s="166">
        <f>R122*'ABP Future Assumptions'!$B$93</f>
        <v>2492047.5688143456</v>
      </c>
      <c r="T131" s="166">
        <f>S122*'ABP Future Assumptions'!$B$93</f>
        <v>2479587.3309702734</v>
      </c>
      <c r="U131" s="166">
        <f>T122*'ABP Future Assumptions'!$B$93</f>
        <v>2467189.394315422</v>
      </c>
    </row>
    <row r="132" spans="1:21" x14ac:dyDescent="0.35">
      <c r="A132" s="164" t="s">
        <v>153</v>
      </c>
      <c r="B132" s="164"/>
      <c r="C132" s="166"/>
      <c r="D132" s="166"/>
      <c r="E132" s="166"/>
      <c r="F132" s="166"/>
      <c r="G132" s="166"/>
      <c r="H132" s="166"/>
      <c r="I132" s="166"/>
      <c r="J132" s="166"/>
      <c r="K132" s="166"/>
      <c r="L132" s="166"/>
      <c r="M132" s="166"/>
      <c r="N132" s="166"/>
      <c r="O132" s="166">
        <f>N123*'ABP Future Assumptions'!$B$93</f>
        <v>0</v>
      </c>
      <c r="P132" s="166">
        <f>O123*'ABP Future Assumptions'!$B$93</f>
        <v>0</v>
      </c>
      <c r="Q132" s="166">
        <f>P123*'ABP Future Assumptions'!$B$93</f>
        <v>1657652.4415231163</v>
      </c>
      <c r="R132" s="166">
        <f>Q123*'ABP Future Assumptions'!$B$93</f>
        <v>1565560.6392162761</v>
      </c>
      <c r="S132" s="166">
        <f>R123*'ABP Future Assumptions'!$B$93</f>
        <v>1565560.6392162761</v>
      </c>
      <c r="T132" s="166">
        <f>S123*'ABP Future Assumptions'!$B$93</f>
        <v>1565560.6392162761</v>
      </c>
      <c r="U132" s="166">
        <f>T123*'ABP Future Assumptions'!$B$93</f>
        <v>1565560.6392162761</v>
      </c>
    </row>
    <row r="133" spans="1:21" x14ac:dyDescent="0.35">
      <c r="A133" s="164" t="s">
        <v>156</v>
      </c>
      <c r="B133" s="164"/>
      <c r="C133" s="166"/>
      <c r="D133" s="166"/>
      <c r="E133" s="166"/>
      <c r="F133" s="166"/>
      <c r="G133" s="166"/>
      <c r="H133" s="166"/>
      <c r="I133" s="166"/>
      <c r="J133" s="166"/>
      <c r="K133" s="166"/>
      <c r="L133" s="166"/>
      <c r="M133" s="166"/>
      <c r="N133" s="166"/>
      <c r="O133" s="166">
        <f>N124*'ABP Future Assumptions'!$B$93</f>
        <v>0</v>
      </c>
      <c r="P133" s="166">
        <f>O124*'ABP Future Assumptions'!$B$93</f>
        <v>5470667.3098867517</v>
      </c>
      <c r="Q133" s="166">
        <f>P124*'ABP Future Assumptions'!$B$93</f>
        <v>5166741.3482263777</v>
      </c>
      <c r="R133" s="166">
        <f>Q124*'ABP Future Assumptions'!$B$93</f>
        <v>5166741.3482263777</v>
      </c>
      <c r="S133" s="166">
        <f>R124*'ABP Future Assumptions'!$B$93</f>
        <v>5166741.3482263777</v>
      </c>
      <c r="T133" s="166">
        <f>S124*'ABP Future Assumptions'!$B$93</f>
        <v>5166741.3482263777</v>
      </c>
      <c r="U133" s="166">
        <f>T124*'ABP Future Assumptions'!$B$93</f>
        <v>5166741.3482263777</v>
      </c>
    </row>
    <row r="134" spans="1:21" x14ac:dyDescent="0.35">
      <c r="A134" s="163" t="s">
        <v>103</v>
      </c>
      <c r="B134" s="163"/>
      <c r="C134" s="18">
        <f t="shared" ref="C134:T134" si="31">SUM(C128:C133)</f>
        <v>0</v>
      </c>
      <c r="D134" s="18">
        <f t="shared" si="31"/>
        <v>0</v>
      </c>
      <c r="E134" s="18">
        <f t="shared" si="31"/>
        <v>0</v>
      </c>
      <c r="F134" s="18">
        <f t="shared" si="31"/>
        <v>0</v>
      </c>
      <c r="G134" s="18">
        <f t="shared" si="31"/>
        <v>0</v>
      </c>
      <c r="H134" s="18">
        <f t="shared" si="31"/>
        <v>0</v>
      </c>
      <c r="I134" s="18">
        <f t="shared" si="31"/>
        <v>0</v>
      </c>
      <c r="J134" s="18">
        <f t="shared" si="31"/>
        <v>0</v>
      </c>
      <c r="K134" s="18">
        <f t="shared" si="31"/>
        <v>0</v>
      </c>
      <c r="L134" s="18">
        <f t="shared" si="31"/>
        <v>0</v>
      </c>
      <c r="M134" s="18">
        <f t="shared" si="31"/>
        <v>0</v>
      </c>
      <c r="N134" s="18">
        <f t="shared" si="31"/>
        <v>0</v>
      </c>
      <c r="O134" s="18">
        <f t="shared" si="31"/>
        <v>0</v>
      </c>
      <c r="P134" s="18">
        <f t="shared" si="31"/>
        <v>60080132.248957232</v>
      </c>
      <c r="Q134" s="18">
        <f t="shared" si="31"/>
        <v>18052944.689169213</v>
      </c>
      <c r="R134" s="18">
        <f t="shared" si="31"/>
        <v>17927960.468432292</v>
      </c>
      <c r="S134" s="18">
        <f t="shared" si="31"/>
        <v>17895232.512094364</v>
      </c>
      <c r="T134" s="18">
        <f t="shared" si="31"/>
        <v>17862668.195538126</v>
      </c>
      <c r="U134" s="18">
        <f t="shared" ref="U134" si="32">SUM(U128:U133)</f>
        <v>17830266.700564668</v>
      </c>
    </row>
    <row r="136" spans="1:21" ht="15.5" x14ac:dyDescent="0.35">
      <c r="A136" s="77">
        <v>2038</v>
      </c>
      <c r="B136" s="220">
        <v>2024</v>
      </c>
      <c r="C136" s="220">
        <v>2025</v>
      </c>
      <c r="D136" s="220">
        <v>2026</v>
      </c>
      <c r="E136" s="220">
        <v>2027</v>
      </c>
      <c r="F136" s="220">
        <v>2028</v>
      </c>
      <c r="G136" s="220">
        <v>2029</v>
      </c>
      <c r="H136" s="220">
        <v>2030</v>
      </c>
      <c r="I136" s="220">
        <v>2031</v>
      </c>
      <c r="J136" s="220">
        <v>2032</v>
      </c>
      <c r="K136" s="220">
        <v>2033</v>
      </c>
      <c r="L136" s="220">
        <v>2034</v>
      </c>
      <c r="M136" s="220">
        <v>2035</v>
      </c>
      <c r="N136" s="220">
        <v>2036</v>
      </c>
      <c r="O136" s="220">
        <v>2037</v>
      </c>
      <c r="P136" s="220">
        <v>2038</v>
      </c>
      <c r="Q136" s="220">
        <v>2039</v>
      </c>
      <c r="R136" s="220">
        <v>2040</v>
      </c>
      <c r="S136" s="220">
        <v>2041</v>
      </c>
      <c r="T136" s="220">
        <v>2042</v>
      </c>
      <c r="U136" s="220">
        <v>2043</v>
      </c>
    </row>
    <row r="137" spans="1:21" x14ac:dyDescent="0.35">
      <c r="A137" s="164" t="s">
        <v>129</v>
      </c>
      <c r="B137" s="164"/>
      <c r="C137" s="166"/>
      <c r="D137" s="166"/>
      <c r="E137" s="166"/>
      <c r="F137" s="166"/>
      <c r="G137" s="166"/>
      <c r="H137" s="166"/>
      <c r="I137" s="166"/>
      <c r="J137" s="166"/>
      <c r="K137" s="166"/>
      <c r="L137" s="166"/>
      <c r="M137" s="166"/>
      <c r="N137" s="166"/>
      <c r="O137" s="166"/>
      <c r="P137" s="166">
        <f>O128*'ABP Future Assumptions'!$B$93</f>
        <v>0</v>
      </c>
      <c r="Q137" s="166">
        <f>P128*'ABP Future Assumptions'!$B$93</f>
        <v>45269816.766819336</v>
      </c>
      <c r="R137" s="166">
        <f>Q128*'ABP Future Assumptions'!$B$93</f>
        <v>0</v>
      </c>
      <c r="S137" s="166">
        <f>R128*'ABP Future Assumptions'!$B$93</f>
        <v>0</v>
      </c>
      <c r="T137" s="166">
        <f>S128*'ABP Future Assumptions'!$B$93</f>
        <v>0</v>
      </c>
      <c r="U137" s="166">
        <f>T128*'ABP Future Assumptions'!$B$93</f>
        <v>0</v>
      </c>
    </row>
    <row r="138" spans="1:21" x14ac:dyDescent="0.35">
      <c r="A138" s="164" t="s">
        <v>135</v>
      </c>
      <c r="B138" s="164"/>
      <c r="C138" s="166"/>
      <c r="D138" s="166"/>
      <c r="E138" s="166"/>
      <c r="F138" s="166"/>
      <c r="G138" s="166"/>
      <c r="H138" s="166"/>
      <c r="I138" s="166"/>
      <c r="J138" s="166"/>
      <c r="K138" s="166"/>
      <c r="L138" s="166"/>
      <c r="M138" s="166"/>
      <c r="N138" s="166"/>
      <c r="O138" s="166"/>
      <c r="P138" s="166">
        <f>O129*'ABP Future Assumptions'!$B$93</f>
        <v>0</v>
      </c>
      <c r="Q138" s="166">
        <f>P129*'ABP Future Assumptions'!$B$93</f>
        <v>4726656.5557421567</v>
      </c>
      <c r="R138" s="166">
        <f>Q129*'ABP Future Assumptions'!$B$93</f>
        <v>4464064.5248675924</v>
      </c>
      <c r="S138" s="166">
        <f>R129*'ABP Future Assumptions'!$B$93</f>
        <v>4464064.5248675924</v>
      </c>
      <c r="T138" s="166">
        <f>S129*'ABP Future Assumptions'!$B$93</f>
        <v>4464064.5248675924</v>
      </c>
      <c r="U138" s="166">
        <f>T129*'ABP Future Assumptions'!$B$93</f>
        <v>4464064.5248675924</v>
      </c>
    </row>
    <row r="139" spans="1:21" x14ac:dyDescent="0.35">
      <c r="A139" s="164" t="s">
        <v>144</v>
      </c>
      <c r="B139" s="164"/>
      <c r="C139" s="166"/>
      <c r="D139" s="166"/>
      <c r="E139" s="166"/>
      <c r="F139" s="166"/>
      <c r="G139" s="166"/>
      <c r="H139" s="166"/>
      <c r="I139" s="166"/>
      <c r="J139" s="166"/>
      <c r="K139" s="166"/>
      <c r="L139" s="166"/>
      <c r="M139" s="166"/>
      <c r="N139" s="166"/>
      <c r="O139" s="166"/>
      <c r="P139" s="166">
        <f>O130*'ABP Future Assumptions'!$B$93</f>
        <v>0</v>
      </c>
      <c r="Q139" s="166">
        <f>P130*'ABP Future Assumptions'!$B$93</f>
        <v>0</v>
      </c>
      <c r="R139" s="166">
        <f>Q130*'ABP Future Assumptions'!$B$93</f>
        <v>3898874.3847239004</v>
      </c>
      <c r="S139" s="166">
        <f>R130*'ABP Future Assumptions'!$B$93</f>
        <v>3879380.0128002805</v>
      </c>
      <c r="T139" s="166">
        <f>S130*'ABP Future Assumptions'!$B$93</f>
        <v>3859983.1127362791</v>
      </c>
      <c r="U139" s="166">
        <f>T130*'ABP Future Assumptions'!$B$93</f>
        <v>3840683.197172598</v>
      </c>
    </row>
    <row r="140" spans="1:21" x14ac:dyDescent="0.35">
      <c r="A140" s="164" t="s">
        <v>149</v>
      </c>
      <c r="B140" s="164"/>
      <c r="C140" s="166"/>
      <c r="D140" s="166"/>
      <c r="E140" s="166"/>
      <c r="F140" s="166"/>
      <c r="G140" s="166"/>
      <c r="H140" s="166"/>
      <c r="I140" s="166"/>
      <c r="J140" s="166"/>
      <c r="K140" s="166"/>
      <c r="L140" s="166"/>
      <c r="M140" s="166"/>
      <c r="N140" s="166"/>
      <c r="O140" s="166"/>
      <c r="P140" s="166">
        <f>O131*'ABP Future Assumptions'!$B$93</f>
        <v>0</v>
      </c>
      <c r="Q140" s="166">
        <f>P131*'ABP Future Assumptions'!$B$93</f>
        <v>2428613.0189461708</v>
      </c>
      <c r="R140" s="166">
        <f>Q131*'ABP Future Assumptions'!$B$93</f>
        <v>2416469.9538514391</v>
      </c>
      <c r="S140" s="166">
        <f>R131*'ABP Future Assumptions'!$B$93</f>
        <v>2404387.604082182</v>
      </c>
      <c r="T140" s="166">
        <f>S131*'ABP Future Assumptions'!$B$93</f>
        <v>2392365.6660617716</v>
      </c>
      <c r="U140" s="166">
        <f>T131*'ABP Future Assumptions'!$B$93</f>
        <v>2380403.8377314624</v>
      </c>
    </row>
    <row r="141" spans="1:21" x14ac:dyDescent="0.35">
      <c r="A141" s="164" t="s">
        <v>153</v>
      </c>
      <c r="B141" s="164"/>
      <c r="C141" s="166"/>
      <c r="D141" s="166"/>
      <c r="E141" s="166"/>
      <c r="F141" s="166"/>
      <c r="G141" s="166"/>
      <c r="H141" s="166"/>
      <c r="I141" s="166"/>
      <c r="J141" s="166"/>
      <c r="K141" s="166"/>
      <c r="L141" s="166"/>
      <c r="M141" s="166"/>
      <c r="N141" s="166"/>
      <c r="O141" s="166"/>
      <c r="P141" s="166">
        <f>O132*'ABP Future Assumptions'!$B$93</f>
        <v>0</v>
      </c>
      <c r="Q141" s="166">
        <f>P132*'ABP Future Assumptions'!$B$93</f>
        <v>0</v>
      </c>
      <c r="R141" s="166">
        <f>Q132*'ABP Future Assumptions'!$B$93</f>
        <v>1591346.3438621915</v>
      </c>
      <c r="S141" s="166">
        <f>R132*'ABP Future Assumptions'!$B$93</f>
        <v>1502938.2136476249</v>
      </c>
      <c r="T141" s="166">
        <f>S132*'ABP Future Assumptions'!$B$93</f>
        <v>1502938.2136476249</v>
      </c>
      <c r="U141" s="166">
        <f>T132*'ABP Future Assumptions'!$B$93</f>
        <v>1502938.2136476249</v>
      </c>
    </row>
    <row r="142" spans="1:21" x14ac:dyDescent="0.35">
      <c r="A142" s="164" t="s">
        <v>156</v>
      </c>
      <c r="B142" s="164"/>
      <c r="C142" s="166"/>
      <c r="D142" s="166"/>
      <c r="E142" s="166"/>
      <c r="F142" s="166"/>
      <c r="G142" s="166"/>
      <c r="H142" s="166"/>
      <c r="I142" s="166"/>
      <c r="J142" s="166"/>
      <c r="K142" s="166"/>
      <c r="L142" s="166"/>
      <c r="M142" s="166"/>
      <c r="N142" s="166"/>
      <c r="O142" s="166"/>
      <c r="P142" s="166">
        <f>O133*'ABP Future Assumptions'!$B$93</f>
        <v>0</v>
      </c>
      <c r="Q142" s="166">
        <f>P133*'ABP Future Assumptions'!$B$93</f>
        <v>5251840.6174912816</v>
      </c>
      <c r="R142" s="166">
        <f>Q133*'ABP Future Assumptions'!$B$93</f>
        <v>4960071.6942973221</v>
      </c>
      <c r="S142" s="166">
        <f>R133*'ABP Future Assumptions'!$B$93</f>
        <v>4960071.6942973221</v>
      </c>
      <c r="T142" s="166">
        <f>S133*'ABP Future Assumptions'!$B$93</f>
        <v>4960071.6942973221</v>
      </c>
      <c r="U142" s="166">
        <f>T133*'ABP Future Assumptions'!$B$93</f>
        <v>4960071.6942973221</v>
      </c>
    </row>
    <row r="143" spans="1:21" x14ac:dyDescent="0.35">
      <c r="A143" s="163" t="s">
        <v>103</v>
      </c>
      <c r="B143" s="163"/>
      <c r="C143" s="18">
        <f t="shared" ref="C143:T143" si="33">SUM(C137:C142)</f>
        <v>0</v>
      </c>
      <c r="D143" s="18">
        <f t="shared" si="33"/>
        <v>0</v>
      </c>
      <c r="E143" s="18">
        <f t="shared" si="33"/>
        <v>0</v>
      </c>
      <c r="F143" s="18">
        <f t="shared" si="33"/>
        <v>0</v>
      </c>
      <c r="G143" s="18">
        <f t="shared" si="33"/>
        <v>0</v>
      </c>
      <c r="H143" s="18">
        <f t="shared" si="33"/>
        <v>0</v>
      </c>
      <c r="I143" s="18">
        <f t="shared" si="33"/>
        <v>0</v>
      </c>
      <c r="J143" s="18">
        <f t="shared" si="33"/>
        <v>0</v>
      </c>
      <c r="K143" s="18">
        <f t="shared" si="33"/>
        <v>0</v>
      </c>
      <c r="L143" s="18">
        <f t="shared" si="33"/>
        <v>0</v>
      </c>
      <c r="M143" s="18">
        <f t="shared" si="33"/>
        <v>0</v>
      </c>
      <c r="N143" s="18">
        <f t="shared" si="33"/>
        <v>0</v>
      </c>
      <c r="O143" s="18">
        <f t="shared" si="33"/>
        <v>0</v>
      </c>
      <c r="P143" s="18">
        <f t="shared" si="33"/>
        <v>0</v>
      </c>
      <c r="Q143" s="18">
        <f t="shared" si="33"/>
        <v>57676926.958998948</v>
      </c>
      <c r="R143" s="18">
        <f t="shared" si="33"/>
        <v>17330826.901602443</v>
      </c>
      <c r="S143" s="18">
        <f t="shared" si="33"/>
        <v>17210842.049695</v>
      </c>
      <c r="T143" s="18">
        <f t="shared" si="33"/>
        <v>17179423.211610589</v>
      </c>
      <c r="U143" s="18">
        <f t="shared" ref="U143" si="34">SUM(U137:U142)</f>
        <v>17148161.467716601</v>
      </c>
    </row>
    <row r="145" spans="1:21" ht="15.5" x14ac:dyDescent="0.35">
      <c r="A145" s="77">
        <v>2039</v>
      </c>
      <c r="B145" s="220">
        <v>2024</v>
      </c>
      <c r="C145" s="220">
        <v>2025</v>
      </c>
      <c r="D145" s="220">
        <v>2026</v>
      </c>
      <c r="E145" s="220">
        <v>2027</v>
      </c>
      <c r="F145" s="220">
        <v>2028</v>
      </c>
      <c r="G145" s="220">
        <v>2029</v>
      </c>
      <c r="H145" s="220">
        <v>2030</v>
      </c>
      <c r="I145" s="220">
        <v>2031</v>
      </c>
      <c r="J145" s="220">
        <v>2032</v>
      </c>
      <c r="K145" s="220">
        <v>2033</v>
      </c>
      <c r="L145" s="220">
        <v>2034</v>
      </c>
      <c r="M145" s="220">
        <v>2035</v>
      </c>
      <c r="N145" s="220">
        <v>2036</v>
      </c>
      <c r="O145" s="220">
        <v>2037</v>
      </c>
      <c r="P145" s="220">
        <v>2038</v>
      </c>
      <c r="Q145" s="220">
        <v>2039</v>
      </c>
      <c r="R145" s="220">
        <v>2040</v>
      </c>
      <c r="S145" s="220">
        <v>2041</v>
      </c>
      <c r="T145" s="220">
        <v>2042</v>
      </c>
      <c r="U145" s="220">
        <v>2043</v>
      </c>
    </row>
    <row r="146" spans="1:21" x14ac:dyDescent="0.35">
      <c r="A146" s="164" t="s">
        <v>129</v>
      </c>
      <c r="B146" s="164"/>
      <c r="C146" s="166"/>
      <c r="D146" s="166"/>
      <c r="E146" s="166"/>
      <c r="F146" s="166"/>
      <c r="G146" s="166"/>
      <c r="H146" s="166"/>
      <c r="I146" s="166"/>
      <c r="J146" s="166"/>
      <c r="K146" s="166"/>
      <c r="L146" s="166"/>
      <c r="M146" s="166"/>
      <c r="N146" s="166"/>
      <c r="O146" s="166"/>
      <c r="P146" s="166"/>
      <c r="Q146" s="166">
        <f>P137*'ABP Future Assumptions'!$B$93</f>
        <v>0</v>
      </c>
      <c r="R146" s="166">
        <f>Q137*'ABP Future Assumptions'!$B$93</f>
        <v>43459024.096146561</v>
      </c>
      <c r="S146" s="166">
        <f>R137*'ABP Future Assumptions'!$B$93</f>
        <v>0</v>
      </c>
      <c r="T146" s="166">
        <f>S137*'ABP Future Assumptions'!$B$93</f>
        <v>0</v>
      </c>
      <c r="U146" s="166">
        <f>T137*'ABP Future Assumptions'!$B$93</f>
        <v>0</v>
      </c>
    </row>
    <row r="147" spans="1:21" x14ac:dyDescent="0.35">
      <c r="A147" s="164" t="s">
        <v>135</v>
      </c>
      <c r="B147" s="164"/>
      <c r="C147" s="166"/>
      <c r="D147" s="166"/>
      <c r="E147" s="166"/>
      <c r="F147" s="166"/>
      <c r="G147" s="166"/>
      <c r="H147" s="166"/>
      <c r="I147" s="166"/>
      <c r="J147" s="166"/>
      <c r="K147" s="166"/>
      <c r="L147" s="166"/>
      <c r="M147" s="166"/>
      <c r="N147" s="166"/>
      <c r="O147" s="166"/>
      <c r="P147" s="166"/>
      <c r="Q147" s="166">
        <f>P138*'ABP Future Assumptions'!$B$93</f>
        <v>0</v>
      </c>
      <c r="R147" s="166">
        <f>Q138*'ABP Future Assumptions'!$B$93</f>
        <v>4537590.2935124701</v>
      </c>
      <c r="S147" s="166">
        <f>R138*'ABP Future Assumptions'!$B$93</f>
        <v>4285501.9438728886</v>
      </c>
      <c r="T147" s="166">
        <f>S138*'ABP Future Assumptions'!$B$93</f>
        <v>4285501.9438728886</v>
      </c>
      <c r="U147" s="166">
        <f>T138*'ABP Future Assumptions'!$B$93</f>
        <v>4285501.9438728886</v>
      </c>
    </row>
    <row r="148" spans="1:21" x14ac:dyDescent="0.35">
      <c r="A148" s="164" t="s">
        <v>144</v>
      </c>
      <c r="B148" s="164"/>
      <c r="C148" s="166"/>
      <c r="D148" s="166"/>
      <c r="E148" s="166"/>
      <c r="F148" s="166"/>
      <c r="G148" s="166"/>
      <c r="H148" s="166"/>
      <c r="I148" s="166"/>
      <c r="J148" s="166"/>
      <c r="K148" s="166"/>
      <c r="L148" s="166"/>
      <c r="M148" s="166"/>
      <c r="N148" s="166"/>
      <c r="O148" s="166"/>
      <c r="P148" s="166"/>
      <c r="Q148" s="166">
        <f>P139*'ABP Future Assumptions'!$B$93</f>
        <v>0</v>
      </c>
      <c r="R148" s="166">
        <f>Q139*'ABP Future Assumptions'!$B$93</f>
        <v>0</v>
      </c>
      <c r="S148" s="166">
        <f>R139*'ABP Future Assumptions'!$B$93</f>
        <v>3742919.4093349441</v>
      </c>
      <c r="T148" s="166">
        <f>S139*'ABP Future Assumptions'!$B$93</f>
        <v>3724204.8122882689</v>
      </c>
      <c r="U148" s="166">
        <f>T139*'ABP Future Assumptions'!$B$93</f>
        <v>3705583.788226828</v>
      </c>
    </row>
    <row r="149" spans="1:21" x14ac:dyDescent="0.35">
      <c r="A149" s="164" t="s">
        <v>149</v>
      </c>
      <c r="B149" s="164"/>
      <c r="C149" s="166"/>
      <c r="D149" s="166"/>
      <c r="E149" s="166"/>
      <c r="F149" s="166"/>
      <c r="G149" s="166"/>
      <c r="H149" s="166"/>
      <c r="I149" s="166"/>
      <c r="J149" s="166"/>
      <c r="K149" s="166"/>
      <c r="L149" s="166"/>
      <c r="M149" s="166"/>
      <c r="N149" s="166"/>
      <c r="O149" s="166"/>
      <c r="P149" s="166"/>
      <c r="Q149" s="166">
        <f>P140*'ABP Future Assumptions'!$B$93</f>
        <v>0</v>
      </c>
      <c r="R149" s="166">
        <f>Q140*'ABP Future Assumptions'!$B$93</f>
        <v>2331468.4981883238</v>
      </c>
      <c r="S149" s="166">
        <f>R140*'ABP Future Assumptions'!$B$93</f>
        <v>2319811.1556973816</v>
      </c>
      <c r="T149" s="166">
        <f>S140*'ABP Future Assumptions'!$B$93</f>
        <v>2308212.0999188945</v>
      </c>
      <c r="U149" s="166">
        <f>T140*'ABP Future Assumptions'!$B$93</f>
        <v>2296671.0394193004</v>
      </c>
    </row>
    <row r="150" spans="1:21" x14ac:dyDescent="0.35">
      <c r="A150" s="164" t="s">
        <v>153</v>
      </c>
      <c r="B150" s="164"/>
      <c r="C150" s="166"/>
      <c r="D150" s="166"/>
      <c r="E150" s="166"/>
      <c r="F150" s="166"/>
      <c r="G150" s="166"/>
      <c r="H150" s="166"/>
      <c r="I150" s="166"/>
      <c r="J150" s="166"/>
      <c r="K150" s="166"/>
      <c r="L150" s="166"/>
      <c r="M150" s="166"/>
      <c r="N150" s="166"/>
      <c r="O150" s="166"/>
      <c r="P150" s="166"/>
      <c r="Q150" s="166">
        <f>P141*'ABP Future Assumptions'!$B$93</f>
        <v>0</v>
      </c>
      <c r="R150" s="166">
        <f>Q141*'ABP Future Assumptions'!$B$93</f>
        <v>0</v>
      </c>
      <c r="S150" s="166">
        <f>R141*'ABP Future Assumptions'!$B$93</f>
        <v>1527692.4901077037</v>
      </c>
      <c r="T150" s="166">
        <f>S141*'ABP Future Assumptions'!$B$93</f>
        <v>1442820.6851017198</v>
      </c>
      <c r="U150" s="166">
        <f>T141*'ABP Future Assumptions'!$B$93</f>
        <v>1442820.6851017198</v>
      </c>
    </row>
    <row r="151" spans="1:21" x14ac:dyDescent="0.35">
      <c r="A151" s="164" t="s">
        <v>156</v>
      </c>
      <c r="B151" s="164"/>
      <c r="C151" s="166"/>
      <c r="D151" s="166"/>
      <c r="E151" s="166"/>
      <c r="F151" s="166"/>
      <c r="G151" s="166"/>
      <c r="H151" s="166"/>
      <c r="I151" s="166"/>
      <c r="J151" s="166"/>
      <c r="K151" s="166"/>
      <c r="L151" s="166"/>
      <c r="M151" s="166"/>
      <c r="N151" s="166"/>
      <c r="O151" s="166"/>
      <c r="P151" s="166"/>
      <c r="Q151" s="166">
        <f>P142*'ABP Future Assumptions'!$B$93</f>
        <v>0</v>
      </c>
      <c r="R151" s="166">
        <f>Q142*'ABP Future Assumptions'!$B$93</f>
        <v>5041766.9927916303</v>
      </c>
      <c r="S151" s="166">
        <f>R142*'ABP Future Assumptions'!$B$93</f>
        <v>4761668.8265254293</v>
      </c>
      <c r="T151" s="166">
        <f>S142*'ABP Future Assumptions'!$B$93</f>
        <v>4761668.8265254293</v>
      </c>
      <c r="U151" s="166">
        <f>T142*'ABP Future Assumptions'!$B$93</f>
        <v>4761668.8265254293</v>
      </c>
    </row>
    <row r="152" spans="1:21" x14ac:dyDescent="0.35">
      <c r="A152" s="163" t="s">
        <v>103</v>
      </c>
      <c r="B152" s="163"/>
      <c r="C152" s="18">
        <f t="shared" ref="C152:T152" si="35">SUM(C146:C151)</f>
        <v>0</v>
      </c>
      <c r="D152" s="18">
        <f t="shared" si="35"/>
        <v>0</v>
      </c>
      <c r="E152" s="18">
        <f t="shared" si="35"/>
        <v>0</v>
      </c>
      <c r="F152" s="18">
        <f t="shared" si="35"/>
        <v>0</v>
      </c>
      <c r="G152" s="18">
        <f t="shared" si="35"/>
        <v>0</v>
      </c>
      <c r="H152" s="18">
        <f t="shared" si="35"/>
        <v>0</v>
      </c>
      <c r="I152" s="18">
        <f t="shared" si="35"/>
        <v>0</v>
      </c>
      <c r="J152" s="18">
        <f t="shared" si="35"/>
        <v>0</v>
      </c>
      <c r="K152" s="18">
        <f t="shared" si="35"/>
        <v>0</v>
      </c>
      <c r="L152" s="18">
        <f t="shared" si="35"/>
        <v>0</v>
      </c>
      <c r="M152" s="18">
        <f t="shared" si="35"/>
        <v>0</v>
      </c>
      <c r="N152" s="18">
        <f t="shared" si="35"/>
        <v>0</v>
      </c>
      <c r="O152" s="18">
        <f t="shared" si="35"/>
        <v>0</v>
      </c>
      <c r="P152" s="18">
        <f t="shared" si="35"/>
        <v>0</v>
      </c>
      <c r="Q152" s="18">
        <f t="shared" si="35"/>
        <v>0</v>
      </c>
      <c r="R152" s="18">
        <f t="shared" si="35"/>
        <v>55369849.880638987</v>
      </c>
      <c r="S152" s="18">
        <f t="shared" si="35"/>
        <v>16637593.825538347</v>
      </c>
      <c r="T152" s="18">
        <f t="shared" si="35"/>
        <v>16522408.3677072</v>
      </c>
      <c r="U152" s="18">
        <f t="shared" ref="U152" si="36">SUM(U146:U151)</f>
        <v>16492246.283146165</v>
      </c>
    </row>
    <row r="154" spans="1:21" ht="15.5" x14ac:dyDescent="0.35">
      <c r="A154" s="77">
        <v>2040</v>
      </c>
      <c r="B154" s="220">
        <v>2024</v>
      </c>
      <c r="C154" s="220">
        <v>2025</v>
      </c>
      <c r="D154" s="220">
        <v>2026</v>
      </c>
      <c r="E154" s="220">
        <v>2027</v>
      </c>
      <c r="F154" s="220">
        <v>2028</v>
      </c>
      <c r="G154" s="220">
        <v>2029</v>
      </c>
      <c r="H154" s="220">
        <v>2030</v>
      </c>
      <c r="I154" s="220">
        <v>2031</v>
      </c>
      <c r="J154" s="220">
        <v>2032</v>
      </c>
      <c r="K154" s="220">
        <v>2033</v>
      </c>
      <c r="L154" s="220">
        <v>2034</v>
      </c>
      <c r="M154" s="220">
        <v>2035</v>
      </c>
      <c r="N154" s="220">
        <v>2036</v>
      </c>
      <c r="O154" s="220">
        <v>2037</v>
      </c>
      <c r="P154" s="220">
        <v>2038</v>
      </c>
      <c r="Q154" s="220">
        <v>2039</v>
      </c>
      <c r="R154" s="220">
        <v>2040</v>
      </c>
      <c r="S154" s="220">
        <v>2041</v>
      </c>
      <c r="T154" s="220">
        <v>2042</v>
      </c>
      <c r="U154" s="220">
        <v>2043</v>
      </c>
    </row>
    <row r="155" spans="1:21" x14ac:dyDescent="0.35">
      <c r="A155" s="164" t="s">
        <v>129</v>
      </c>
      <c r="B155" s="164"/>
      <c r="C155" s="166"/>
      <c r="D155" s="166"/>
      <c r="E155" s="166"/>
      <c r="F155" s="166"/>
      <c r="G155" s="166"/>
      <c r="H155" s="166"/>
      <c r="I155" s="166"/>
      <c r="J155" s="166"/>
      <c r="K155" s="166"/>
      <c r="L155" s="166"/>
      <c r="M155" s="166"/>
      <c r="N155" s="166"/>
      <c r="O155" s="166"/>
      <c r="P155" s="166"/>
      <c r="Q155" s="166"/>
      <c r="R155" s="166">
        <f>Q146*'ABP Future Assumptions'!$B$93</f>
        <v>0</v>
      </c>
      <c r="S155" s="166">
        <f>R146*'ABP Future Assumptions'!$B$93</f>
        <v>41720663.132300697</v>
      </c>
      <c r="T155" s="166">
        <f>S146*'ABP Future Assumptions'!$B$93</f>
        <v>0</v>
      </c>
      <c r="U155" s="166">
        <f>T146*'ABP Future Assumptions'!$B$93</f>
        <v>0</v>
      </c>
    </row>
    <row r="156" spans="1:21" x14ac:dyDescent="0.35">
      <c r="A156" s="164" t="s">
        <v>135</v>
      </c>
      <c r="B156" s="164"/>
      <c r="C156" s="166"/>
      <c r="D156" s="166"/>
      <c r="E156" s="166"/>
      <c r="F156" s="166"/>
      <c r="G156" s="166"/>
      <c r="H156" s="166"/>
      <c r="I156" s="166"/>
      <c r="J156" s="166"/>
      <c r="K156" s="166"/>
      <c r="L156" s="166"/>
      <c r="M156" s="166"/>
      <c r="N156" s="166"/>
      <c r="O156" s="166"/>
      <c r="P156" s="166"/>
      <c r="Q156" s="166"/>
      <c r="R156" s="166">
        <f>Q147*'ABP Future Assumptions'!$B$93</f>
        <v>0</v>
      </c>
      <c r="S156" s="166">
        <f>R147*'ABP Future Assumptions'!$B$93</f>
        <v>4356086.6817719713</v>
      </c>
      <c r="T156" s="166">
        <f>S147*'ABP Future Assumptions'!$B$93</f>
        <v>4114081.8661179729</v>
      </c>
      <c r="U156" s="166">
        <f>T147*'ABP Future Assumptions'!$B$93</f>
        <v>4114081.8661179729</v>
      </c>
    </row>
    <row r="157" spans="1:21" x14ac:dyDescent="0.35">
      <c r="A157" s="164" t="s">
        <v>144</v>
      </c>
      <c r="B157" s="164"/>
      <c r="C157" s="166"/>
      <c r="D157" s="166"/>
      <c r="E157" s="166"/>
      <c r="F157" s="166"/>
      <c r="G157" s="166"/>
      <c r="H157" s="166"/>
      <c r="I157" s="166"/>
      <c r="J157" s="166"/>
      <c r="K157" s="166"/>
      <c r="L157" s="166"/>
      <c r="M157" s="166"/>
      <c r="N157" s="166"/>
      <c r="O157" s="166"/>
      <c r="P157" s="166"/>
      <c r="Q157" s="166"/>
      <c r="R157" s="166">
        <f>Q148*'ABP Future Assumptions'!$B$93</f>
        <v>0</v>
      </c>
      <c r="S157" s="166">
        <f>R148*'ABP Future Assumptions'!$B$93</f>
        <v>0</v>
      </c>
      <c r="T157" s="166">
        <f>S148*'ABP Future Assumptions'!$B$93</f>
        <v>3593202.6329615461</v>
      </c>
      <c r="U157" s="166">
        <f>T148*'ABP Future Assumptions'!$B$93</f>
        <v>3575236.619796738</v>
      </c>
    </row>
    <row r="158" spans="1:21" x14ac:dyDescent="0.35">
      <c r="A158" s="164" t="s">
        <v>149</v>
      </c>
      <c r="B158" s="164"/>
      <c r="C158" s="166"/>
      <c r="D158" s="166"/>
      <c r="E158" s="166"/>
      <c r="F158" s="166"/>
      <c r="G158" s="166"/>
      <c r="H158" s="166"/>
      <c r="I158" s="166"/>
      <c r="J158" s="166"/>
      <c r="K158" s="166"/>
      <c r="L158" s="166"/>
      <c r="M158" s="166"/>
      <c r="N158" s="166"/>
      <c r="O158" s="166"/>
      <c r="P158" s="166"/>
      <c r="Q158" s="166"/>
      <c r="R158" s="166">
        <f>Q149*'ABP Future Assumptions'!$B$93</f>
        <v>0</v>
      </c>
      <c r="S158" s="166">
        <f>R149*'ABP Future Assumptions'!$B$93</f>
        <v>2238209.7582607907</v>
      </c>
      <c r="T158" s="166">
        <f>S149*'ABP Future Assumptions'!$B$93</f>
        <v>2227018.709469486</v>
      </c>
      <c r="U158" s="166">
        <f>T149*'ABP Future Assumptions'!$B$93</f>
        <v>2215883.6159221386</v>
      </c>
    </row>
    <row r="159" spans="1:21" x14ac:dyDescent="0.35">
      <c r="A159" s="164" t="s">
        <v>153</v>
      </c>
      <c r="B159" s="164"/>
      <c r="C159" s="166"/>
      <c r="D159" s="166"/>
      <c r="E159" s="166"/>
      <c r="F159" s="166"/>
      <c r="G159" s="166"/>
      <c r="H159" s="166"/>
      <c r="I159" s="166"/>
      <c r="J159" s="166"/>
      <c r="K159" s="166"/>
      <c r="L159" s="166"/>
      <c r="M159" s="166"/>
      <c r="N159" s="166"/>
      <c r="O159" s="166"/>
      <c r="P159" s="166"/>
      <c r="Q159" s="166"/>
      <c r="R159" s="166">
        <f>Q150*'ABP Future Assumptions'!$B$93</f>
        <v>0</v>
      </c>
      <c r="S159" s="166">
        <f>R150*'ABP Future Assumptions'!$B$93</f>
        <v>0</v>
      </c>
      <c r="T159" s="166">
        <f>S150*'ABP Future Assumptions'!$B$93</f>
        <v>1466584.7905033955</v>
      </c>
      <c r="U159" s="166">
        <f>T150*'ABP Future Assumptions'!$B$93</f>
        <v>1385107.857697651</v>
      </c>
    </row>
    <row r="160" spans="1:21" x14ac:dyDescent="0.35">
      <c r="A160" s="164" t="s">
        <v>156</v>
      </c>
      <c r="B160" s="164"/>
      <c r="C160" s="166"/>
      <c r="D160" s="166"/>
      <c r="E160" s="166"/>
      <c r="F160" s="166"/>
      <c r="G160" s="166"/>
      <c r="H160" s="166"/>
      <c r="I160" s="166"/>
      <c r="J160" s="166"/>
      <c r="K160" s="166"/>
      <c r="L160" s="166"/>
      <c r="M160" s="166"/>
      <c r="N160" s="166"/>
      <c r="O160" s="166"/>
      <c r="P160" s="166"/>
      <c r="Q160" s="166"/>
      <c r="R160" s="166">
        <f>Q151*'ABP Future Assumptions'!$B$93</f>
        <v>0</v>
      </c>
      <c r="S160" s="166">
        <f>R151*'ABP Future Assumptions'!$B$93</f>
        <v>4840096.3130799653</v>
      </c>
      <c r="T160" s="166">
        <f>S151*'ABP Future Assumptions'!$B$93</f>
        <v>4571202.0734644122</v>
      </c>
      <c r="U160" s="166">
        <f>T151*'ABP Future Assumptions'!$B$93</f>
        <v>4571202.0734644122</v>
      </c>
    </row>
    <row r="161" spans="1:21" x14ac:dyDescent="0.35">
      <c r="A161" s="163" t="s">
        <v>103</v>
      </c>
      <c r="B161" s="163"/>
      <c r="C161" s="18">
        <f t="shared" ref="C161:T161" si="37">SUM(C155:C160)</f>
        <v>0</v>
      </c>
      <c r="D161" s="18">
        <f t="shared" si="37"/>
        <v>0</v>
      </c>
      <c r="E161" s="18">
        <f t="shared" si="37"/>
        <v>0</v>
      </c>
      <c r="F161" s="18">
        <f t="shared" si="37"/>
        <v>0</v>
      </c>
      <c r="G161" s="18">
        <f t="shared" si="37"/>
        <v>0</v>
      </c>
      <c r="H161" s="18">
        <f t="shared" si="37"/>
        <v>0</v>
      </c>
      <c r="I161" s="18">
        <f t="shared" si="37"/>
        <v>0</v>
      </c>
      <c r="J161" s="18">
        <f t="shared" si="37"/>
        <v>0</v>
      </c>
      <c r="K161" s="18">
        <f t="shared" si="37"/>
        <v>0</v>
      </c>
      <c r="L161" s="18">
        <f t="shared" si="37"/>
        <v>0</v>
      </c>
      <c r="M161" s="18">
        <f t="shared" si="37"/>
        <v>0</v>
      </c>
      <c r="N161" s="18">
        <f t="shared" si="37"/>
        <v>0</v>
      </c>
      <c r="O161" s="18">
        <f t="shared" si="37"/>
        <v>0</v>
      </c>
      <c r="P161" s="18">
        <f t="shared" si="37"/>
        <v>0</v>
      </c>
      <c r="Q161" s="18">
        <f t="shared" si="37"/>
        <v>0</v>
      </c>
      <c r="R161" s="18">
        <f t="shared" si="37"/>
        <v>0</v>
      </c>
      <c r="S161" s="18">
        <f t="shared" si="37"/>
        <v>53155055.885413431</v>
      </c>
      <c r="T161" s="18">
        <f t="shared" si="37"/>
        <v>15972090.072516812</v>
      </c>
      <c r="U161" s="18">
        <f t="shared" ref="U161" si="38">SUM(U155:U160)</f>
        <v>15861512.032998912</v>
      </c>
    </row>
    <row r="164" spans="1:21" ht="15.5" x14ac:dyDescent="0.35">
      <c r="A164" s="165" t="s">
        <v>102</v>
      </c>
      <c r="B164" s="220">
        <v>2024</v>
      </c>
      <c r="C164" s="220">
        <v>2025</v>
      </c>
      <c r="D164" s="220">
        <v>2026</v>
      </c>
      <c r="E164" s="220">
        <v>2027</v>
      </c>
      <c r="F164" s="220">
        <v>2028</v>
      </c>
      <c r="G164" s="220">
        <v>2029</v>
      </c>
      <c r="H164" s="220">
        <v>2030</v>
      </c>
      <c r="I164" s="220">
        <v>2031</v>
      </c>
      <c r="J164" s="220">
        <v>2032</v>
      </c>
      <c r="K164" s="220">
        <v>2033</v>
      </c>
      <c r="L164" s="220">
        <v>2034</v>
      </c>
      <c r="M164" s="220">
        <v>2035</v>
      </c>
      <c r="N164" s="220">
        <v>2036</v>
      </c>
      <c r="O164" s="220">
        <v>2037</v>
      </c>
      <c r="P164" s="220">
        <v>2038</v>
      </c>
      <c r="Q164" s="220">
        <v>2039</v>
      </c>
      <c r="R164" s="220">
        <v>2040</v>
      </c>
      <c r="S164" s="220">
        <v>2041</v>
      </c>
      <c r="T164" s="220">
        <v>2042</v>
      </c>
      <c r="U164" s="220">
        <v>2043</v>
      </c>
    </row>
    <row r="165" spans="1:21" x14ac:dyDescent="0.35">
      <c r="A165" s="164" t="s">
        <v>129</v>
      </c>
      <c r="B165" s="181">
        <f>SUMIFS(B2:B161, $A$2:$A$161, $A$165)</f>
        <v>0</v>
      </c>
      <c r="C165" s="181">
        <f t="shared" ref="C165:D165" si="39">SUMIFS(C2:C161, $A$2:$A$161, $A$165)</f>
        <v>160339848.81633624</v>
      </c>
      <c r="D165" s="181">
        <f t="shared" si="39"/>
        <v>153926254.86368278</v>
      </c>
      <c r="E165" s="181">
        <f>SUMIFS(E2:E161, $A$2:$A$161, $A$165)</f>
        <v>147769204.66913545</v>
      </c>
      <c r="F165" s="181">
        <f t="shared" ref="F165:U165" si="40">SUMIFS(F2:F161, $A$2:$A$161, $A$165)</f>
        <v>141858436.48237002</v>
      </c>
      <c r="G165" s="181">
        <f t="shared" si="40"/>
        <v>136184099.02307522</v>
      </c>
      <c r="H165" s="181">
        <f t="shared" si="40"/>
        <v>130736735.06215221</v>
      </c>
      <c r="I165" s="181">
        <f t="shared" si="40"/>
        <v>125507265.65966612</v>
      </c>
      <c r="J165" s="181">
        <f t="shared" si="40"/>
        <v>120486975.03327948</v>
      </c>
      <c r="K165" s="181">
        <f t="shared" si="40"/>
        <v>115667496.0319483</v>
      </c>
      <c r="L165" s="181">
        <f t="shared" si="40"/>
        <v>55520398.095335178</v>
      </c>
      <c r="M165" s="181">
        <f t="shared" si="40"/>
        <v>53299582.171521768</v>
      </c>
      <c r="N165" s="181">
        <f t="shared" si="40"/>
        <v>51167598.884660892</v>
      </c>
      <c r="O165" s="181">
        <f t="shared" si="40"/>
        <v>49120894.929274455</v>
      </c>
      <c r="P165" s="181">
        <f t="shared" si="40"/>
        <v>47156059.132103473</v>
      </c>
      <c r="Q165" s="181">
        <f t="shared" si="40"/>
        <v>45269816.766819336</v>
      </c>
      <c r="R165" s="181">
        <f t="shared" si="40"/>
        <v>43459024.096146561</v>
      </c>
      <c r="S165" s="181">
        <f t="shared" si="40"/>
        <v>41720663.132300697</v>
      </c>
      <c r="T165" s="181">
        <f t="shared" si="40"/>
        <v>0</v>
      </c>
      <c r="U165" s="181">
        <f t="shared" si="40"/>
        <v>0</v>
      </c>
    </row>
    <row r="166" spans="1:21" x14ac:dyDescent="0.35">
      <c r="A166" s="164" t="s">
        <v>135</v>
      </c>
      <c r="B166" s="181">
        <f>SUMIFS(B2:B161, $A$2:$A$161, $A$166)</f>
        <v>6634162.8171102703</v>
      </c>
      <c r="C166" s="181">
        <f t="shared" ref="C166:D166" si="41">SUMIFS(C2:C161, $A$2:$A$161, $A$166)</f>
        <v>23006805.750932097</v>
      </c>
      <c r="D166" s="181">
        <f t="shared" si="41"/>
        <v>38148297.89904847</v>
      </c>
      <c r="E166" s="181">
        <f>SUMIFS(E2:E161, $A$2:$A$161, $A$166)</f>
        <v>52684130.361240178</v>
      </c>
      <c r="F166" s="181">
        <f t="shared" ref="F166:U166" si="42">SUMIFS(F2:F161, $A$2:$A$161, $A$166)</f>
        <v>66638529.524944223</v>
      </c>
      <c r="G166" s="181">
        <f t="shared" si="42"/>
        <v>80034752.722100109</v>
      </c>
      <c r="H166" s="181">
        <f t="shared" si="42"/>
        <v>92895126.991369739</v>
      </c>
      <c r="I166" s="181">
        <f t="shared" si="42"/>
        <v>98975488.073708892</v>
      </c>
      <c r="J166" s="181">
        <f t="shared" si="42"/>
        <v>95016468.550760567</v>
      </c>
      <c r="K166" s="181">
        <f t="shared" si="42"/>
        <v>91215809.80873014</v>
      </c>
      <c r="L166" s="181">
        <f t="shared" si="42"/>
        <v>81770249.741889507</v>
      </c>
      <c r="M166" s="181">
        <f t="shared" si="42"/>
        <v>73024563.615194261</v>
      </c>
      <c r="N166" s="181">
        <f t="shared" si="42"/>
        <v>64628704.933566831</v>
      </c>
      <c r="O166" s="181">
        <f t="shared" si="42"/>
        <v>56568680.599204481</v>
      </c>
      <c r="P166" s="181">
        <f t="shared" si="42"/>
        <v>48831057.238216639</v>
      </c>
      <c r="Q166" s="181">
        <f t="shared" si="42"/>
        <v>41402938.811668307</v>
      </c>
      <c r="R166" s="181">
        <f t="shared" si="42"/>
        <v>34271945.122181907</v>
      </c>
      <c r="S166" s="181">
        <f t="shared" si="42"/>
        <v>32901067.317294631</v>
      </c>
      <c r="T166" s="181">
        <f t="shared" si="42"/>
        <v>27403181.410101749</v>
      </c>
      <c r="U166" s="181">
        <f t="shared" si="42"/>
        <v>22357535.562224429</v>
      </c>
    </row>
    <row r="167" spans="1:21" x14ac:dyDescent="0.35">
      <c r="A167" s="164" t="s">
        <v>144</v>
      </c>
      <c r="B167" s="181">
        <f>SUMIFS(B2:B161, $A$2:$A$161, $A$167)</f>
        <v>0</v>
      </c>
      <c r="C167" s="181">
        <f t="shared" ref="C167:D167" si="43">SUMIFS(C2:C161, $A$2:$A$161, $A$167)</f>
        <v>0</v>
      </c>
      <c r="D167" s="181">
        <f t="shared" si="43"/>
        <v>13809309.912177913</v>
      </c>
      <c r="E167" s="181">
        <f>SUMIFS(E2:E161, $A$2:$A$161, $A$167)</f>
        <v>26997200.878307819</v>
      </c>
      <c r="F167" s="181">
        <f t="shared" ref="F167:U167" si="44">SUMIFS(F2:F161, $A$2:$A$161, $A$167)</f>
        <v>39588874.888979442</v>
      </c>
      <c r="G167" s="181">
        <f t="shared" si="44"/>
        <v>51608524.12899518</v>
      </c>
      <c r="H167" s="181">
        <f t="shared" si="44"/>
        <v>63079371.378232419</v>
      </c>
      <c r="I167" s="181">
        <f t="shared" si="44"/>
        <v>74023708.796428174</v>
      </c>
      <c r="J167" s="181">
        <f t="shared" si="44"/>
        <v>84462935.156529486</v>
      </c>
      <c r="K167" s="181">
        <f t="shared" si="44"/>
        <v>94417591.588666946</v>
      </c>
      <c r="L167" s="181">
        <f t="shared" si="44"/>
        <v>103907395.8943269</v>
      </c>
      <c r="M167" s="181">
        <f t="shared" si="44"/>
        <v>108169567.20138487</v>
      </c>
      <c r="N167" s="181">
        <f t="shared" si="44"/>
        <v>112219159.32044634</v>
      </c>
      <c r="O167" s="181">
        <f t="shared" si="44"/>
        <v>116064885.88070974</v>
      </c>
      <c r="P167" s="181">
        <f t="shared" si="44"/>
        <v>119715110.91389725</v>
      </c>
      <c r="Q167" s="181">
        <f t="shared" si="44"/>
        <v>123177862.84341516</v>
      </c>
      <c r="R167" s="181">
        <f t="shared" si="44"/>
        <v>126460847.913922</v>
      </c>
      <c r="S167" s="181">
        <f t="shared" si="44"/>
        <v>129571463.08368729</v>
      </c>
      <c r="T167" s="181">
        <f t="shared" si="44"/>
        <v>132516808.40123044</v>
      </c>
      <c r="U167" s="181">
        <f t="shared" si="44"/>
        <v>131854224.35922427</v>
      </c>
    </row>
    <row r="168" spans="1:21" x14ac:dyDescent="0.35">
      <c r="A168" s="164" t="s">
        <v>149</v>
      </c>
      <c r="B168" s="181">
        <f>SUMIFS(B2:B161, $A$2:$A$161, $A$168)</f>
        <v>0</v>
      </c>
      <c r="C168" s="181">
        <f t="shared" ref="C168:D168" si="45">SUMIFS(C2:C161, $A$2:$A$161, $A$168)</f>
        <v>22749618.675816096</v>
      </c>
      <c r="D168" s="181">
        <f t="shared" si="45"/>
        <v>30893631.121763173</v>
      </c>
      <c r="E168" s="181">
        <f>SUMIFS(E2:E161, $A$2:$A$161, $A$168)</f>
        <v>38666613.083907463</v>
      </c>
      <c r="F168" s="181">
        <f t="shared" ref="F168:U168" si="46">SUMIFS(F2:F161, $A$2:$A$161, $A$168)</f>
        <v>46083632.131530911</v>
      </c>
      <c r="G168" s="181">
        <f t="shared" si="46"/>
        <v>53159151.999394521</v>
      </c>
      <c r="H168" s="181">
        <f t="shared" si="46"/>
        <v>59907056.746777967</v>
      </c>
      <c r="I168" s="181">
        <f t="shared" si="46"/>
        <v>66340673.950129271</v>
      </c>
      <c r="J168" s="181">
        <f t="shared" si="46"/>
        <v>72472796.9679804</v>
      </c>
      <c r="K168" s="181">
        <f t="shared" si="46"/>
        <v>78315706.315238222</v>
      </c>
      <c r="L168" s="181">
        <f t="shared" si="46"/>
        <v>80902658.983068943</v>
      </c>
      <c r="M168" s="181">
        <f t="shared" si="46"/>
        <v>83357535.639584213</v>
      </c>
      <c r="N168" s="181">
        <f t="shared" si="46"/>
        <v>85685762.314759701</v>
      </c>
      <c r="O168" s="181">
        <f t="shared" si="46"/>
        <v>87892547.282424361</v>
      </c>
      <c r="P168" s="181">
        <f t="shared" si="46"/>
        <v>89982889.774081171</v>
      </c>
      <c r="Q168" s="181">
        <f t="shared" si="46"/>
        <v>91961588.344156921</v>
      </c>
      <c r="R168" s="181">
        <f t="shared" si="46"/>
        <v>93833248.900624454</v>
      </c>
      <c r="S168" s="181">
        <f t="shared" si="46"/>
        <v>95602292.41438213</v>
      </c>
      <c r="T168" s="181">
        <f t="shared" si="46"/>
        <v>95124280.952310219</v>
      </c>
      <c r="U168" s="181">
        <f t="shared" si="46"/>
        <v>94648659.547548667</v>
      </c>
    </row>
    <row r="169" spans="1:21" x14ac:dyDescent="0.35">
      <c r="A169" s="164" t="s">
        <v>153</v>
      </c>
      <c r="B169" s="181">
        <f>SUMIFS(B2:B161, $A$2:$A$161, $A$169)</f>
        <v>0</v>
      </c>
      <c r="C169" s="181">
        <f t="shared" ref="C169:D169" si="47">SUMIFS(C2:C161, $A$2:$A$161, $A$169)</f>
        <v>0</v>
      </c>
      <c r="D169" s="181">
        <f t="shared" si="47"/>
        <v>5636343.3831327278</v>
      </c>
      <c r="E169" s="181">
        <f>SUMIFS(E2:E161, $A$2:$A$161, $A$169)</f>
        <v>10734102.842988327</v>
      </c>
      <c r="F169" s="181">
        <f t="shared" ref="F169:U169" si="48">SUMIFS(F2:F161, $A$2:$A$161, $A$169)</f>
        <v>15627951.924449705</v>
      </c>
      <c r="G169" s="181">
        <f t="shared" si="48"/>
        <v>20326047.042652629</v>
      </c>
      <c r="H169" s="181">
        <f t="shared" si="48"/>
        <v>24836218.35612743</v>
      </c>
      <c r="I169" s="181">
        <f t="shared" si="48"/>
        <v>29165982.817063238</v>
      </c>
      <c r="J169" s="181">
        <f t="shared" si="48"/>
        <v>33322556.699561618</v>
      </c>
      <c r="K169" s="181">
        <f t="shared" si="48"/>
        <v>31989654.43157915</v>
      </c>
      <c r="L169" s="181">
        <f t="shared" si="48"/>
        <v>30710068.25431598</v>
      </c>
      <c r="M169" s="181">
        <f t="shared" si="48"/>
        <v>27529985.82166345</v>
      </c>
      <c r="N169" s="181">
        <f t="shared" si="48"/>
        <v>24585533.336454801</v>
      </c>
      <c r="O169" s="181">
        <f t="shared" si="48"/>
        <v>21758858.950654488</v>
      </c>
      <c r="P169" s="181">
        <f t="shared" si="48"/>
        <v>19045251.540286195</v>
      </c>
      <c r="Q169" s="181">
        <f t="shared" si="48"/>
        <v>16440188.426332626</v>
      </c>
      <c r="R169" s="181">
        <f t="shared" si="48"/>
        <v>13939327.836937206</v>
      </c>
      <c r="S169" s="181">
        <f t="shared" si="48"/>
        <v>11538501.671117602</v>
      </c>
      <c r="T169" s="181">
        <f t="shared" si="48"/>
        <v>11076961.604272896</v>
      </c>
      <c r="U169" s="181">
        <f t="shared" si="48"/>
        <v>9225961.7412187196</v>
      </c>
    </row>
    <row r="170" spans="1:21" x14ac:dyDescent="0.35">
      <c r="A170" s="164" t="s">
        <v>156</v>
      </c>
      <c r="B170" s="181">
        <f>SUMIFS(B2:B161, $A$2:$A$161, $A$170)</f>
        <v>0</v>
      </c>
      <c r="C170" s="181">
        <f t="shared" ref="C170:D170" si="49">SUMIFS(C2:C161, $A$2:$A$161, $A$170)</f>
        <v>18601341.705302659</v>
      </c>
      <c r="D170" s="181">
        <f t="shared" si="49"/>
        <v>35425221.8698764</v>
      </c>
      <c r="E170" s="181">
        <f>SUMIFS(E2:E161, $A$2:$A$161, $A$170)</f>
        <v>51576146.827867195</v>
      </c>
      <c r="F170" s="181">
        <f t="shared" ref="F170:U170" si="50">SUMIFS(F2:F161, $A$2:$A$161, $A$170)</f>
        <v>67081034.78753835</v>
      </c>
      <c r="G170" s="181">
        <f t="shared" si="50"/>
        <v>81965727.228822663</v>
      </c>
      <c r="H170" s="181">
        <f t="shared" si="50"/>
        <v>96255031.972455591</v>
      </c>
      <c r="I170" s="181">
        <f t="shared" si="50"/>
        <v>109972764.52634323</v>
      </c>
      <c r="J170" s="181">
        <f t="shared" si="50"/>
        <v>105573853.94528948</v>
      </c>
      <c r="K170" s="181">
        <f t="shared" si="50"/>
        <v>101350899.7874779</v>
      </c>
      <c r="L170" s="181">
        <f t="shared" si="50"/>
        <v>90855833.046543881</v>
      </c>
      <c r="M170" s="181">
        <f t="shared" si="50"/>
        <v>81138404.016882509</v>
      </c>
      <c r="N170" s="181">
        <f t="shared" si="50"/>
        <v>71809672.148407564</v>
      </c>
      <c r="O170" s="181">
        <f t="shared" si="50"/>
        <v>62854089.554671638</v>
      </c>
      <c r="P170" s="181">
        <f t="shared" si="50"/>
        <v>54256730.264685139</v>
      </c>
      <c r="Q170" s="181">
        <f t="shared" si="50"/>
        <v>46003265.346298099</v>
      </c>
      <c r="R170" s="181">
        <f t="shared" si="50"/>
        <v>38079939.02464655</v>
      </c>
      <c r="S170" s="181">
        <f t="shared" si="50"/>
        <v>36556741.463660687</v>
      </c>
      <c r="T170" s="181">
        <f t="shared" si="50"/>
        <v>30447979.34455749</v>
      </c>
      <c r="U170" s="181">
        <f t="shared" si="50"/>
        <v>24841706.180249352</v>
      </c>
    </row>
    <row r="171" spans="1:21" x14ac:dyDescent="0.35">
      <c r="A171" s="163" t="s">
        <v>103</v>
      </c>
      <c r="B171" s="181">
        <f>SUMIFS(B2:B161, $A$2:$A$161, $A$171)</f>
        <v>6634162.8171102703</v>
      </c>
      <c r="C171" s="181">
        <f t="shared" ref="C171:U171" si="51">SUMIFS(C2:C161, $A$2:$A$161, $A$171)</f>
        <v>224697614.94838709</v>
      </c>
      <c r="D171" s="181">
        <f t="shared" si="51"/>
        <v>277839059.04968143</v>
      </c>
      <c r="E171" s="181">
        <f t="shared" si="51"/>
        <v>328427398.66344643</v>
      </c>
      <c r="F171" s="181">
        <f t="shared" si="51"/>
        <v>376878459.73981261</v>
      </c>
      <c r="G171" s="181">
        <f t="shared" si="51"/>
        <v>423278302.14504027</v>
      </c>
      <c r="H171" s="181">
        <f t="shared" si="51"/>
        <v>467709540.50711536</v>
      </c>
      <c r="I171" s="181">
        <f t="shared" si="51"/>
        <v>503985883.82333893</v>
      </c>
      <c r="J171" s="181">
        <f t="shared" si="51"/>
        <v>511335586.35340106</v>
      </c>
      <c r="K171" s="181">
        <f t="shared" si="51"/>
        <v>512957157.96364069</v>
      </c>
      <c r="L171" s="181">
        <f t="shared" si="51"/>
        <v>443666604.01548046</v>
      </c>
      <c r="M171" s="181">
        <f t="shared" si="51"/>
        <v>426519638.46623105</v>
      </c>
      <c r="N171" s="181">
        <f t="shared" si="51"/>
        <v>410096430.93829614</v>
      </c>
      <c r="O171" s="181">
        <f t="shared" si="51"/>
        <v>394259957.19693911</v>
      </c>
      <c r="P171" s="181">
        <f t="shared" si="51"/>
        <v>378987098.86326987</v>
      </c>
      <c r="Q171" s="181">
        <f t="shared" si="51"/>
        <v>364255660.53869045</v>
      </c>
      <c r="R171" s="181">
        <f t="shared" si="51"/>
        <v>350044332.89445865</v>
      </c>
      <c r="S171" s="181">
        <f t="shared" si="51"/>
        <v>347890729.08244306</v>
      </c>
      <c r="T171" s="181">
        <f t="shared" si="51"/>
        <v>296569211.7124728</v>
      </c>
      <c r="U171" s="181">
        <f t="shared" si="51"/>
        <v>282928087.3904655</v>
      </c>
    </row>
    <row r="173" spans="1:21" x14ac:dyDescent="0.35">
      <c r="A173" s="177"/>
      <c r="B173" s="177">
        <v>2024</v>
      </c>
      <c r="C173" s="177">
        <f>C164</f>
        <v>2025</v>
      </c>
      <c r="D173" s="177">
        <f t="shared" ref="D173:U173" si="52">D164</f>
        <v>2026</v>
      </c>
      <c r="E173" s="177">
        <f t="shared" si="52"/>
        <v>2027</v>
      </c>
      <c r="F173" s="177">
        <f t="shared" si="52"/>
        <v>2028</v>
      </c>
      <c r="G173" s="177">
        <f t="shared" si="52"/>
        <v>2029</v>
      </c>
      <c r="H173" s="177">
        <f t="shared" si="52"/>
        <v>2030</v>
      </c>
      <c r="I173" s="177">
        <f t="shared" si="52"/>
        <v>2031</v>
      </c>
      <c r="J173" s="177">
        <f t="shared" si="52"/>
        <v>2032</v>
      </c>
      <c r="K173" s="177">
        <f t="shared" si="52"/>
        <v>2033</v>
      </c>
      <c r="L173" s="177">
        <f t="shared" si="52"/>
        <v>2034</v>
      </c>
      <c r="M173" s="177">
        <f t="shared" si="52"/>
        <v>2035</v>
      </c>
      <c r="N173" s="177">
        <f t="shared" si="52"/>
        <v>2036</v>
      </c>
      <c r="O173" s="177">
        <f t="shared" si="52"/>
        <v>2037</v>
      </c>
      <c r="P173" s="177">
        <f t="shared" si="52"/>
        <v>2038</v>
      </c>
      <c r="Q173" s="177">
        <f t="shared" si="52"/>
        <v>2039</v>
      </c>
      <c r="R173" s="177">
        <f t="shared" si="52"/>
        <v>2040</v>
      </c>
      <c r="S173" s="177">
        <f t="shared" si="52"/>
        <v>2041</v>
      </c>
      <c r="T173" s="177">
        <f t="shared" si="52"/>
        <v>2042</v>
      </c>
      <c r="U173" s="177">
        <f t="shared" si="52"/>
        <v>2043</v>
      </c>
    </row>
    <row r="174" spans="1:21" x14ac:dyDescent="0.35">
      <c r="A174" s="177" t="s">
        <v>172</v>
      </c>
      <c r="B174" s="256">
        <f>B8</f>
        <v>6634162.8171102703</v>
      </c>
      <c r="C174" s="256">
        <f>C8</f>
        <v>20413382.996844385</v>
      </c>
      <c r="D174" s="256">
        <f t="shared" ref="D174:U174" si="53">D8</f>
        <v>20342644.072940961</v>
      </c>
      <c r="E174" s="256">
        <f t="shared" si="53"/>
        <v>20272258.843657054</v>
      </c>
      <c r="F174" s="256">
        <f t="shared" si="53"/>
        <v>20202225.540519565</v>
      </c>
      <c r="G174" s="256">
        <f t="shared" si="53"/>
        <v>20132542.403897766</v>
      </c>
      <c r="H174" s="256">
        <f t="shared" si="53"/>
        <v>20063207.682959076</v>
      </c>
      <c r="I174" s="256">
        <f t="shared" si="53"/>
        <v>13728621.41946538</v>
      </c>
      <c r="J174" s="256">
        <f t="shared" si="53"/>
        <v>13659978.312368052</v>
      </c>
      <c r="K174" s="256">
        <f t="shared" si="53"/>
        <v>13591678.420806212</v>
      </c>
      <c r="L174" s="256">
        <f t="shared" si="53"/>
        <v>13523720.028702181</v>
      </c>
      <c r="M174" s="256">
        <f t="shared" si="53"/>
        <v>13456101.42855867</v>
      </c>
      <c r="N174" s="256">
        <f t="shared" si="53"/>
        <v>13388820.921415877</v>
      </c>
      <c r="O174" s="256">
        <f t="shared" si="53"/>
        <v>13321876.816808797</v>
      </c>
      <c r="P174" s="256">
        <f t="shared" si="53"/>
        <v>13255267.432724753</v>
      </c>
      <c r="Q174" s="256">
        <f t="shared" si="53"/>
        <v>13188991.09556113</v>
      </c>
      <c r="R174" s="256">
        <f t="shared" si="53"/>
        <v>13123046.140083324</v>
      </c>
      <c r="S174" s="256">
        <f t="shared" si="53"/>
        <v>13057430.909382908</v>
      </c>
      <c r="T174" s="256">
        <f t="shared" si="53"/>
        <v>12992143.754835993</v>
      </c>
      <c r="U174" s="256">
        <f t="shared" si="53"/>
        <v>12927183.036061812</v>
      </c>
    </row>
    <row r="175" spans="1:21" x14ac:dyDescent="0.35">
      <c r="A175" s="177" t="s">
        <v>93</v>
      </c>
      <c r="B175" s="256"/>
      <c r="C175" s="182">
        <f>C17+C26</f>
        <v>204284231.95154271</v>
      </c>
      <c r="D175" s="182">
        <f t="shared" ref="D175:U175" si="54">D17+D26</f>
        <v>257496414.97674048</v>
      </c>
      <c r="E175" s="182">
        <f t="shared" si="54"/>
        <v>119886791.65324765</v>
      </c>
      <c r="F175" s="182">
        <f t="shared" si="54"/>
        <v>119367538.15672907</v>
      </c>
      <c r="G175" s="182">
        <f t="shared" si="54"/>
        <v>119149982.88322468</v>
      </c>
      <c r="H175" s="182">
        <f t="shared" si="54"/>
        <v>118933515.38608779</v>
      </c>
      <c r="I175" s="182">
        <f t="shared" si="54"/>
        <v>118718130.2264366</v>
      </c>
      <c r="J175" s="182">
        <f t="shared" si="54"/>
        <v>85124747.710290551</v>
      </c>
      <c r="K175" s="182">
        <f t="shared" si="54"/>
        <v>47544386.511424586</v>
      </c>
      <c r="L175" s="182">
        <f t="shared" si="54"/>
        <v>42221931.334830657</v>
      </c>
      <c r="M175" s="182">
        <f t="shared" si="54"/>
        <v>42010821.678156503</v>
      </c>
      <c r="N175" s="182">
        <f t="shared" si="54"/>
        <v>41800767.569765717</v>
      </c>
      <c r="O175" s="182">
        <f t="shared" si="54"/>
        <v>41591763.73191689</v>
      </c>
      <c r="P175" s="182">
        <f t="shared" si="54"/>
        <v>41383804.913257301</v>
      </c>
      <c r="Q175" s="182">
        <f t="shared" si="54"/>
        <v>41176885.888691016</v>
      </c>
      <c r="R175" s="182">
        <f t="shared" si="54"/>
        <v>40971001.459247559</v>
      </c>
      <c r="S175" s="182">
        <f t="shared" si="54"/>
        <v>40766146.451951325</v>
      </c>
      <c r="T175" s="182">
        <f t="shared" si="54"/>
        <v>40562315.719691567</v>
      </c>
      <c r="U175" s="182">
        <f t="shared" si="54"/>
        <v>40359504.141093105</v>
      </c>
    </row>
    <row r="176" spans="1:21" x14ac:dyDescent="0.35">
      <c r="A176" s="177" t="s">
        <v>94</v>
      </c>
      <c r="B176" s="256"/>
      <c r="C176" s="257">
        <f>C35+C44</f>
        <v>0</v>
      </c>
      <c r="D176" s="257">
        <f t="shared" ref="D176:U176" si="55">D35+D44</f>
        <v>0</v>
      </c>
      <c r="E176" s="257">
        <f t="shared" si="55"/>
        <v>188268348.16654176</v>
      </c>
      <c r="F176" s="257">
        <f t="shared" si="55"/>
        <v>237308696.04256403</v>
      </c>
      <c r="G176" s="257">
        <f t="shared" si="55"/>
        <v>110487667.18763302</v>
      </c>
      <c r="H176" s="257">
        <f t="shared" si="55"/>
        <v>110009123.16524151</v>
      </c>
      <c r="I176" s="257">
        <f t="shared" si="55"/>
        <v>109808624.22517985</v>
      </c>
      <c r="J176" s="257">
        <f t="shared" si="55"/>
        <v>109609127.77981851</v>
      </c>
      <c r="K176" s="257">
        <f t="shared" si="55"/>
        <v>109410628.81668396</v>
      </c>
      <c r="L176" s="257">
        <f t="shared" si="55"/>
        <v>78450967.489803761</v>
      </c>
      <c r="M176" s="257">
        <f t="shared" si="55"/>
        <v>43816906.608928896</v>
      </c>
      <c r="N176" s="257">
        <f t="shared" si="55"/>
        <v>38911731.918179929</v>
      </c>
      <c r="O176" s="257">
        <f t="shared" si="55"/>
        <v>38717173.258589029</v>
      </c>
      <c r="P176" s="257">
        <f t="shared" si="55"/>
        <v>38523587.392296091</v>
      </c>
      <c r="Q176" s="257">
        <f t="shared" si="55"/>
        <v>38330969.455334604</v>
      </c>
      <c r="R176" s="257">
        <f t="shared" si="55"/>
        <v>38139314.608057931</v>
      </c>
      <c r="S176" s="257">
        <f t="shared" si="55"/>
        <v>37948618.035017639</v>
      </c>
      <c r="T176" s="257">
        <f t="shared" si="55"/>
        <v>37758874.944842547</v>
      </c>
      <c r="U176" s="257">
        <f t="shared" si="55"/>
        <v>37570080.570118338</v>
      </c>
    </row>
    <row r="177" spans="1:21" x14ac:dyDescent="0.35">
      <c r="A177" s="177" t="s">
        <v>95</v>
      </c>
      <c r="B177" s="177"/>
      <c r="C177" s="257">
        <f>C53+C62</f>
        <v>0</v>
      </c>
      <c r="D177" s="257">
        <f t="shared" ref="D177:U177" si="56">D53+D62</f>
        <v>0</v>
      </c>
      <c r="E177" s="257">
        <f t="shared" si="56"/>
        <v>0</v>
      </c>
      <c r="F177" s="257">
        <f t="shared" si="56"/>
        <v>0</v>
      </c>
      <c r="G177" s="257">
        <f t="shared" si="56"/>
        <v>173508109.67028487</v>
      </c>
      <c r="H177" s="257">
        <f t="shared" si="56"/>
        <v>218703694.272827</v>
      </c>
      <c r="I177" s="257">
        <f t="shared" si="56"/>
        <v>101825434.08012259</v>
      </c>
      <c r="J177" s="257">
        <f t="shared" si="56"/>
        <v>101384407.90908657</v>
      </c>
      <c r="K177" s="257">
        <f t="shared" si="56"/>
        <v>101199628.08592576</v>
      </c>
      <c r="L177" s="257">
        <f t="shared" si="56"/>
        <v>101015772.16188073</v>
      </c>
      <c r="M177" s="257">
        <f t="shared" si="56"/>
        <v>100832835.51745594</v>
      </c>
      <c r="N177" s="257">
        <f t="shared" si="56"/>
        <v>72300411.638603151</v>
      </c>
      <c r="O177" s="257">
        <f t="shared" si="56"/>
        <v>40381661.13078887</v>
      </c>
      <c r="P177" s="257">
        <f t="shared" si="56"/>
        <v>35861052.135794625</v>
      </c>
      <c r="Q177" s="257">
        <f t="shared" si="56"/>
        <v>35681746.875115648</v>
      </c>
      <c r="R177" s="257">
        <f t="shared" si="56"/>
        <v>35503338.140740074</v>
      </c>
      <c r="S177" s="257">
        <f t="shared" si="56"/>
        <v>35325821.450036377</v>
      </c>
      <c r="T177" s="257">
        <f t="shared" si="56"/>
        <v>35149192.342786185</v>
      </c>
      <c r="U177" s="257">
        <f t="shared" si="56"/>
        <v>34973446.381072253</v>
      </c>
    </row>
    <row r="178" spans="1:21" x14ac:dyDescent="0.35">
      <c r="A178" s="177" t="s">
        <v>96</v>
      </c>
      <c r="B178" s="177"/>
      <c r="C178" s="257">
        <f>C71+C80</f>
        <v>0</v>
      </c>
      <c r="D178" s="257">
        <f t="shared" ref="D178:U178" si="57">D71+D80</f>
        <v>0</v>
      </c>
      <c r="E178" s="257">
        <f t="shared" si="57"/>
        <v>0</v>
      </c>
      <c r="F178" s="257">
        <f t="shared" si="57"/>
        <v>0</v>
      </c>
      <c r="G178" s="257">
        <f t="shared" si="57"/>
        <v>0</v>
      </c>
      <c r="H178" s="257">
        <f t="shared" si="57"/>
        <v>0</v>
      </c>
      <c r="I178" s="257">
        <f t="shared" si="57"/>
        <v>159905073.87213451</v>
      </c>
      <c r="J178" s="257">
        <f t="shared" si="57"/>
        <v>201557324.64183736</v>
      </c>
      <c r="K178" s="257">
        <f t="shared" si="57"/>
        <v>93842320.048240975</v>
      </c>
      <c r="L178" s="257">
        <f t="shared" si="57"/>
        <v>93435870.329014182</v>
      </c>
      <c r="M178" s="257">
        <f t="shared" si="57"/>
        <v>93265577.24398917</v>
      </c>
      <c r="N178" s="257">
        <f t="shared" si="57"/>
        <v>93096135.624389276</v>
      </c>
      <c r="O178" s="257">
        <f t="shared" si="57"/>
        <v>92927541.212887377</v>
      </c>
      <c r="P178" s="257">
        <f t="shared" si="57"/>
        <v>66632059.366136663</v>
      </c>
      <c r="Q178" s="257">
        <f t="shared" si="57"/>
        <v>37215738.898135021</v>
      </c>
      <c r="R178" s="257">
        <f t="shared" si="57"/>
        <v>33049545.64834832</v>
      </c>
      <c r="S178" s="257">
        <f t="shared" si="57"/>
        <v>32884297.920106575</v>
      </c>
      <c r="T178" s="257">
        <f t="shared" si="57"/>
        <v>32719876.430506047</v>
      </c>
      <c r="U178" s="257">
        <f t="shared" si="57"/>
        <v>32556277.048353516</v>
      </c>
    </row>
    <row r="179" spans="1:21" x14ac:dyDescent="0.35">
      <c r="A179" s="177" t="s">
        <v>97</v>
      </c>
      <c r="B179" s="177"/>
      <c r="C179" s="257">
        <f>C89+C98</f>
        <v>0</v>
      </c>
      <c r="D179" s="257">
        <f t="shared" ref="D179:U179" si="58">D89+D98</f>
        <v>0</v>
      </c>
      <c r="E179" s="257">
        <f t="shared" si="58"/>
        <v>0</v>
      </c>
      <c r="F179" s="257">
        <f t="shared" si="58"/>
        <v>0</v>
      </c>
      <c r="G179" s="257">
        <f t="shared" si="58"/>
        <v>0</v>
      </c>
      <c r="H179" s="257">
        <f t="shared" si="58"/>
        <v>0</v>
      </c>
      <c r="I179" s="257">
        <f t="shared" si="58"/>
        <v>0</v>
      </c>
      <c r="J179" s="257">
        <f t="shared" si="58"/>
        <v>0</v>
      </c>
      <c r="K179" s="257">
        <f t="shared" si="58"/>
        <v>147368516.08055916</v>
      </c>
      <c r="L179" s="257">
        <f t="shared" si="58"/>
        <v>115018342.6712489</v>
      </c>
      <c r="M179" s="257">
        <f t="shared" si="58"/>
        <v>65229983.779220238</v>
      </c>
      <c r="N179" s="257">
        <f t="shared" si="58"/>
        <v>65002553.102268293</v>
      </c>
      <c r="O179" s="257">
        <f t="shared" si="58"/>
        <v>64884144.095588192</v>
      </c>
      <c r="P179" s="257">
        <f t="shared" si="58"/>
        <v>64766327.133941486</v>
      </c>
      <c r="Q179" s="257">
        <f t="shared" si="58"/>
        <v>64649099.257103026</v>
      </c>
      <c r="R179" s="257">
        <f t="shared" si="58"/>
        <v>40453141.176275209</v>
      </c>
      <c r="S179" s="257">
        <f t="shared" si="58"/>
        <v>24938900.276976168</v>
      </c>
      <c r="T179" s="257">
        <f t="shared" si="58"/>
        <v>22980168.988510877</v>
      </c>
      <c r="U179" s="257">
        <f t="shared" si="58"/>
        <v>22865268.143568326</v>
      </c>
    </row>
    <row r="180" spans="1:21" x14ac:dyDescent="0.35">
      <c r="A180" s="177" t="s">
        <v>98</v>
      </c>
      <c r="B180" s="177"/>
      <c r="C180" s="257">
        <f>C107+C116</f>
        <v>0</v>
      </c>
      <c r="D180" s="257">
        <f t="shared" ref="D180:U180" si="59">D107+D116</f>
        <v>0</v>
      </c>
      <c r="E180" s="257">
        <f t="shared" si="59"/>
        <v>0</v>
      </c>
      <c r="F180" s="257">
        <f t="shared" si="59"/>
        <v>0</v>
      </c>
      <c r="G180" s="257">
        <f t="shared" si="59"/>
        <v>0</v>
      </c>
      <c r="H180" s="257">
        <f t="shared" si="59"/>
        <v>0</v>
      </c>
      <c r="I180" s="257">
        <f t="shared" si="59"/>
        <v>0</v>
      </c>
      <c r="J180" s="257">
        <f t="shared" si="59"/>
        <v>0</v>
      </c>
      <c r="K180" s="257">
        <f t="shared" si="59"/>
        <v>0</v>
      </c>
      <c r="L180" s="257">
        <f t="shared" si="59"/>
        <v>0</v>
      </c>
      <c r="M180" s="257">
        <f t="shared" si="59"/>
        <v>67907412.209921643</v>
      </c>
      <c r="N180" s="257">
        <f t="shared" si="59"/>
        <v>85596010.163673878</v>
      </c>
      <c r="O180" s="257">
        <f t="shared" si="59"/>
        <v>39852325.85769625</v>
      </c>
      <c r="P180" s="257">
        <f t="shared" si="59"/>
        <v>39679717.522277124</v>
      </c>
      <c r="Q180" s="257">
        <f t="shared" si="59"/>
        <v>39607398.599298231</v>
      </c>
      <c r="R180" s="257">
        <f t="shared" si="59"/>
        <v>39535441.270934232</v>
      </c>
      <c r="S180" s="257">
        <f t="shared" si="59"/>
        <v>39463843.729212061</v>
      </c>
      <c r="T180" s="257">
        <f t="shared" si="59"/>
        <v>28296855.20417197</v>
      </c>
      <c r="U180" s="257">
        <f t="shared" si="59"/>
        <v>15804529.90549458</v>
      </c>
    </row>
    <row r="181" spans="1:21" x14ac:dyDescent="0.35">
      <c r="A181" s="177" t="s">
        <v>99</v>
      </c>
      <c r="B181" s="177"/>
      <c r="C181" s="257">
        <f>C125+C134</f>
        <v>0</v>
      </c>
      <c r="D181" s="257">
        <f t="shared" ref="D181:U181" si="60">D125+D134</f>
        <v>0</v>
      </c>
      <c r="E181" s="257">
        <f t="shared" si="60"/>
        <v>0</v>
      </c>
      <c r="F181" s="257">
        <f t="shared" si="60"/>
        <v>0</v>
      </c>
      <c r="G181" s="257">
        <f t="shared" si="60"/>
        <v>0</v>
      </c>
      <c r="H181" s="257">
        <f t="shared" si="60"/>
        <v>0</v>
      </c>
      <c r="I181" s="257">
        <f t="shared" si="60"/>
        <v>0</v>
      </c>
      <c r="J181" s="257">
        <f t="shared" si="60"/>
        <v>0</v>
      </c>
      <c r="K181" s="257">
        <f t="shared" si="60"/>
        <v>0</v>
      </c>
      <c r="L181" s="257">
        <f t="shared" si="60"/>
        <v>0</v>
      </c>
      <c r="M181" s="257">
        <f t="shared" si="60"/>
        <v>0</v>
      </c>
      <c r="N181" s="257">
        <f t="shared" si="60"/>
        <v>0</v>
      </c>
      <c r="O181" s="257">
        <f t="shared" si="60"/>
        <v>62583471.092663795</v>
      </c>
      <c r="P181" s="257">
        <f t="shared" si="60"/>
        <v>78885282.966841832</v>
      </c>
      <c r="Q181" s="257">
        <f t="shared" si="60"/>
        <v>36727903.510452852</v>
      </c>
      <c r="R181" s="257">
        <f t="shared" si="60"/>
        <v>36568827.668530591</v>
      </c>
      <c r="S181" s="257">
        <f t="shared" si="60"/>
        <v>36502178.549113244</v>
      </c>
      <c r="T181" s="257">
        <f t="shared" si="60"/>
        <v>36435862.675292984</v>
      </c>
      <c r="U181" s="257">
        <f t="shared" si="60"/>
        <v>36369878.380841836</v>
      </c>
    </row>
    <row r="182" spans="1:21" x14ac:dyDescent="0.35">
      <c r="A182" s="177" t="s">
        <v>100</v>
      </c>
      <c r="B182" s="177"/>
      <c r="C182" s="257">
        <f>C143+C152</f>
        <v>0</v>
      </c>
      <c r="D182" s="257">
        <f t="shared" ref="D182:U182" si="61">D143+D152</f>
        <v>0</v>
      </c>
      <c r="E182" s="257">
        <f t="shared" si="61"/>
        <v>0</v>
      </c>
      <c r="F182" s="257">
        <f t="shared" si="61"/>
        <v>0</v>
      </c>
      <c r="G182" s="257">
        <f t="shared" si="61"/>
        <v>0</v>
      </c>
      <c r="H182" s="257">
        <f t="shared" si="61"/>
        <v>0</v>
      </c>
      <c r="I182" s="257">
        <f t="shared" si="61"/>
        <v>0</v>
      </c>
      <c r="J182" s="257">
        <f t="shared" si="61"/>
        <v>0</v>
      </c>
      <c r="K182" s="257">
        <f t="shared" si="61"/>
        <v>0</v>
      </c>
      <c r="L182" s="257">
        <f t="shared" si="61"/>
        <v>0</v>
      </c>
      <c r="M182" s="257">
        <f t="shared" si="61"/>
        <v>0</v>
      </c>
      <c r="N182" s="257">
        <f t="shared" si="61"/>
        <v>0</v>
      </c>
      <c r="O182" s="257">
        <f t="shared" si="61"/>
        <v>0</v>
      </c>
      <c r="P182" s="257">
        <f t="shared" si="61"/>
        <v>0</v>
      </c>
      <c r="Q182" s="257">
        <f t="shared" si="61"/>
        <v>57676926.958998948</v>
      </c>
      <c r="R182" s="257">
        <f t="shared" si="61"/>
        <v>72700676.782241434</v>
      </c>
      <c r="S182" s="257">
        <f t="shared" si="61"/>
        <v>33848435.875233345</v>
      </c>
      <c r="T182" s="257">
        <f t="shared" si="61"/>
        <v>33701831.579317793</v>
      </c>
      <c r="U182" s="257">
        <f t="shared" si="61"/>
        <v>33640407.750862762</v>
      </c>
    </row>
    <row r="183" spans="1:21" x14ac:dyDescent="0.35">
      <c r="A183" s="177" t="s">
        <v>101</v>
      </c>
      <c r="B183" s="177"/>
      <c r="C183" s="257">
        <f>C161*2</f>
        <v>0</v>
      </c>
      <c r="D183" s="257">
        <f t="shared" ref="D183:U183" si="62">D161*2</f>
        <v>0</v>
      </c>
      <c r="E183" s="257">
        <f t="shared" si="62"/>
        <v>0</v>
      </c>
      <c r="F183" s="257">
        <f t="shared" si="62"/>
        <v>0</v>
      </c>
      <c r="G183" s="257">
        <f t="shared" si="62"/>
        <v>0</v>
      </c>
      <c r="H183" s="257">
        <f t="shared" si="62"/>
        <v>0</v>
      </c>
      <c r="I183" s="257">
        <f t="shared" si="62"/>
        <v>0</v>
      </c>
      <c r="J183" s="257">
        <f t="shared" si="62"/>
        <v>0</v>
      </c>
      <c r="K183" s="257">
        <f t="shared" si="62"/>
        <v>0</v>
      </c>
      <c r="L183" s="257">
        <f t="shared" si="62"/>
        <v>0</v>
      </c>
      <c r="M183" s="257">
        <f t="shared" si="62"/>
        <v>0</v>
      </c>
      <c r="N183" s="257">
        <f t="shared" si="62"/>
        <v>0</v>
      </c>
      <c r="O183" s="257">
        <f t="shared" si="62"/>
        <v>0</v>
      </c>
      <c r="P183" s="257">
        <f t="shared" si="62"/>
        <v>0</v>
      </c>
      <c r="Q183" s="257">
        <f t="shared" si="62"/>
        <v>0</v>
      </c>
      <c r="R183" s="257">
        <f t="shared" si="62"/>
        <v>0</v>
      </c>
      <c r="S183" s="257">
        <f t="shared" si="62"/>
        <v>106310111.77082686</v>
      </c>
      <c r="T183" s="257">
        <f t="shared" si="62"/>
        <v>31944180.145033624</v>
      </c>
      <c r="U183" s="257">
        <f t="shared" si="62"/>
        <v>31723024.065997824</v>
      </c>
    </row>
    <row r="185" spans="1:21" x14ac:dyDescent="0.35">
      <c r="A185" s="181" cm="1">
        <f t="array" ref="A185:K205">TRANSPOSE(A173:U183)</f>
        <v>0</v>
      </c>
      <c r="B185" s="181" t="str">
        <v>2023 TBD</v>
      </c>
      <c r="C185" s="181" t="str">
        <v>24-25 Plan</v>
      </c>
      <c r="D185" s="181" t="str">
        <v>26-27 Plan</v>
      </c>
      <c r="E185" s="181" t="str">
        <v>28-29 Plan</v>
      </c>
      <c r="F185" s="181" t="str">
        <v>30-31 Plan</v>
      </c>
      <c r="G185" s="181" t="str">
        <v>32-33 Plan</v>
      </c>
      <c r="H185" s="181" t="str">
        <v>34-35 Plan</v>
      </c>
      <c r="I185" s="181" t="str">
        <v>36-37 Plan</v>
      </c>
      <c r="J185" s="181" t="str">
        <v>38-39 Plan</v>
      </c>
      <c r="K185" s="181" t="str">
        <v>40-41 Plan</v>
      </c>
    </row>
    <row r="186" spans="1:21" x14ac:dyDescent="0.35">
      <c r="A186" s="177">
        <v>2024</v>
      </c>
      <c r="B186" s="181">
        <v>6634162.8171102703</v>
      </c>
      <c r="C186" s="181">
        <v>0</v>
      </c>
      <c r="D186" s="181">
        <v>0</v>
      </c>
      <c r="E186" s="181">
        <v>0</v>
      </c>
      <c r="F186" s="181">
        <v>0</v>
      </c>
      <c r="G186" s="181">
        <v>0</v>
      </c>
      <c r="H186" s="181">
        <v>0</v>
      </c>
      <c r="I186" s="181">
        <v>0</v>
      </c>
      <c r="J186" s="181">
        <v>0</v>
      </c>
      <c r="K186" s="181">
        <v>0</v>
      </c>
    </row>
    <row r="187" spans="1:21" x14ac:dyDescent="0.35">
      <c r="A187" s="177">
        <v>2025</v>
      </c>
      <c r="B187" s="181">
        <v>20413382.996844385</v>
      </c>
      <c r="C187" s="181">
        <v>204284231.95154271</v>
      </c>
      <c r="D187" s="181">
        <v>0</v>
      </c>
      <c r="E187" s="181">
        <v>0</v>
      </c>
      <c r="F187" s="181">
        <v>0</v>
      </c>
      <c r="G187" s="181">
        <v>0</v>
      </c>
      <c r="H187" s="181">
        <v>0</v>
      </c>
      <c r="I187" s="181">
        <v>0</v>
      </c>
      <c r="J187" s="181">
        <v>0</v>
      </c>
      <c r="K187" s="181">
        <v>0</v>
      </c>
    </row>
    <row r="188" spans="1:21" x14ac:dyDescent="0.35">
      <c r="A188" s="177">
        <v>2026</v>
      </c>
      <c r="B188" s="181">
        <v>20342644.072940961</v>
      </c>
      <c r="C188" s="181">
        <v>257496414.97674048</v>
      </c>
      <c r="D188" s="181">
        <v>0</v>
      </c>
      <c r="E188" s="181">
        <v>0</v>
      </c>
      <c r="F188" s="181">
        <v>0</v>
      </c>
      <c r="G188" s="181">
        <v>0</v>
      </c>
      <c r="H188" s="181">
        <v>0</v>
      </c>
      <c r="I188" s="181">
        <v>0</v>
      </c>
      <c r="J188" s="181">
        <v>0</v>
      </c>
      <c r="K188" s="181">
        <v>0</v>
      </c>
    </row>
    <row r="189" spans="1:21" x14ac:dyDescent="0.35">
      <c r="A189" s="177">
        <v>2027</v>
      </c>
      <c r="B189" s="181">
        <v>20272258.843657054</v>
      </c>
      <c r="C189" s="181">
        <v>119886791.65324765</v>
      </c>
      <c r="D189" s="181">
        <v>188268348.16654176</v>
      </c>
      <c r="E189" s="181">
        <v>0</v>
      </c>
      <c r="F189" s="181">
        <v>0</v>
      </c>
      <c r="G189" s="181">
        <v>0</v>
      </c>
      <c r="H189" s="181">
        <v>0</v>
      </c>
      <c r="I189" s="181">
        <v>0</v>
      </c>
      <c r="J189" s="181">
        <v>0</v>
      </c>
      <c r="K189" s="181">
        <v>0</v>
      </c>
    </row>
    <row r="190" spans="1:21" x14ac:dyDescent="0.35">
      <c r="A190" s="177">
        <v>2028</v>
      </c>
      <c r="B190" s="181">
        <v>20202225.540519565</v>
      </c>
      <c r="C190" s="181">
        <v>119367538.15672907</v>
      </c>
      <c r="D190" s="181">
        <v>237308696.04256403</v>
      </c>
      <c r="E190" s="181">
        <v>0</v>
      </c>
      <c r="F190" s="181">
        <v>0</v>
      </c>
      <c r="G190" s="181">
        <v>0</v>
      </c>
      <c r="H190" s="181">
        <v>0</v>
      </c>
      <c r="I190" s="181">
        <v>0</v>
      </c>
      <c r="J190" s="181">
        <v>0</v>
      </c>
      <c r="K190" s="181">
        <v>0</v>
      </c>
    </row>
    <row r="191" spans="1:21" x14ac:dyDescent="0.35">
      <c r="A191" s="177">
        <v>2029</v>
      </c>
      <c r="B191" s="181">
        <v>20132542.403897766</v>
      </c>
      <c r="C191" s="181">
        <v>119149982.88322468</v>
      </c>
      <c r="D191" s="181">
        <v>110487667.18763302</v>
      </c>
      <c r="E191" s="181">
        <v>173508109.67028487</v>
      </c>
      <c r="F191" s="181">
        <v>0</v>
      </c>
      <c r="G191" s="181">
        <v>0</v>
      </c>
      <c r="H191" s="181">
        <v>0</v>
      </c>
      <c r="I191" s="181">
        <v>0</v>
      </c>
      <c r="J191" s="181">
        <v>0</v>
      </c>
      <c r="K191" s="181">
        <v>0</v>
      </c>
    </row>
    <row r="192" spans="1:21" x14ac:dyDescent="0.35">
      <c r="A192" s="177">
        <v>2030</v>
      </c>
      <c r="B192" s="181">
        <v>20063207.682959076</v>
      </c>
      <c r="C192" s="181">
        <v>118933515.38608779</v>
      </c>
      <c r="D192" s="181">
        <v>110009123.16524151</v>
      </c>
      <c r="E192" s="181">
        <v>218703694.272827</v>
      </c>
      <c r="F192" s="181">
        <v>0</v>
      </c>
      <c r="G192" s="181">
        <v>0</v>
      </c>
      <c r="H192" s="181">
        <v>0</v>
      </c>
      <c r="I192" s="181">
        <v>0</v>
      </c>
      <c r="J192" s="181">
        <v>0</v>
      </c>
      <c r="K192" s="181">
        <v>0</v>
      </c>
    </row>
    <row r="193" spans="1:11" x14ac:dyDescent="0.35">
      <c r="A193" s="177">
        <v>2031</v>
      </c>
      <c r="B193" s="181">
        <v>13728621.41946538</v>
      </c>
      <c r="C193" s="181">
        <v>118718130.2264366</v>
      </c>
      <c r="D193" s="181">
        <v>109808624.22517985</v>
      </c>
      <c r="E193" s="181">
        <v>101825434.08012259</v>
      </c>
      <c r="F193" s="181">
        <v>159905073.87213451</v>
      </c>
      <c r="G193" s="181">
        <v>0</v>
      </c>
      <c r="H193" s="181">
        <v>0</v>
      </c>
      <c r="I193" s="181">
        <v>0</v>
      </c>
      <c r="J193" s="181">
        <v>0</v>
      </c>
      <c r="K193" s="181">
        <v>0</v>
      </c>
    </row>
    <row r="194" spans="1:11" x14ac:dyDescent="0.35">
      <c r="A194" s="177">
        <v>2032</v>
      </c>
      <c r="B194" s="181">
        <v>13659978.312368052</v>
      </c>
      <c r="C194" s="181">
        <v>85124747.710290551</v>
      </c>
      <c r="D194" s="181">
        <v>109609127.77981851</v>
      </c>
      <c r="E194" s="181">
        <v>101384407.90908657</v>
      </c>
      <c r="F194" s="181">
        <v>201557324.64183736</v>
      </c>
      <c r="G194" s="181">
        <v>0</v>
      </c>
      <c r="H194" s="181">
        <v>0</v>
      </c>
      <c r="I194" s="181">
        <v>0</v>
      </c>
      <c r="J194" s="181">
        <v>0</v>
      </c>
      <c r="K194" s="181">
        <v>0</v>
      </c>
    </row>
    <row r="195" spans="1:11" x14ac:dyDescent="0.35">
      <c r="A195" s="177">
        <v>2033</v>
      </c>
      <c r="B195" s="181">
        <v>13591678.420806212</v>
      </c>
      <c r="C195" s="181">
        <v>47544386.511424586</v>
      </c>
      <c r="D195" s="181">
        <v>109410628.81668396</v>
      </c>
      <c r="E195" s="181">
        <v>101199628.08592576</v>
      </c>
      <c r="F195" s="181">
        <v>93842320.048240975</v>
      </c>
      <c r="G195" s="181">
        <v>147368516.08055916</v>
      </c>
      <c r="H195" s="181">
        <v>0</v>
      </c>
      <c r="I195" s="181">
        <v>0</v>
      </c>
      <c r="J195" s="181">
        <v>0</v>
      </c>
      <c r="K195" s="181">
        <v>0</v>
      </c>
    </row>
    <row r="196" spans="1:11" x14ac:dyDescent="0.35">
      <c r="A196" s="177">
        <v>2034</v>
      </c>
      <c r="B196" s="181">
        <v>13523720.028702181</v>
      </c>
      <c r="C196" s="181">
        <v>42221931.334830657</v>
      </c>
      <c r="D196" s="181">
        <v>78450967.489803761</v>
      </c>
      <c r="E196" s="181">
        <v>101015772.16188073</v>
      </c>
      <c r="F196" s="181">
        <v>93435870.329014182</v>
      </c>
      <c r="G196" s="181">
        <v>115018342.6712489</v>
      </c>
      <c r="H196" s="181">
        <v>0</v>
      </c>
      <c r="I196" s="181">
        <v>0</v>
      </c>
      <c r="J196" s="181">
        <v>0</v>
      </c>
      <c r="K196" s="181">
        <v>0</v>
      </c>
    </row>
    <row r="197" spans="1:11" x14ac:dyDescent="0.35">
      <c r="A197" s="177">
        <v>2035</v>
      </c>
      <c r="B197" s="181">
        <v>13456101.42855867</v>
      </c>
      <c r="C197" s="181">
        <v>42010821.678156503</v>
      </c>
      <c r="D197" s="181">
        <v>43816906.608928896</v>
      </c>
      <c r="E197" s="181">
        <v>100832835.51745594</v>
      </c>
      <c r="F197" s="181">
        <v>93265577.24398917</v>
      </c>
      <c r="G197" s="181">
        <v>65229983.779220238</v>
      </c>
      <c r="H197" s="181">
        <v>67907412.209921643</v>
      </c>
      <c r="I197" s="181">
        <v>0</v>
      </c>
      <c r="J197" s="181">
        <v>0</v>
      </c>
      <c r="K197" s="181">
        <v>0</v>
      </c>
    </row>
    <row r="198" spans="1:11" x14ac:dyDescent="0.35">
      <c r="A198" s="177">
        <v>2036</v>
      </c>
      <c r="B198" s="181">
        <v>13388820.921415877</v>
      </c>
      <c r="C198" s="181">
        <v>41800767.569765717</v>
      </c>
      <c r="D198" s="181">
        <v>38911731.918179929</v>
      </c>
      <c r="E198" s="181">
        <v>72300411.638603151</v>
      </c>
      <c r="F198" s="181">
        <v>93096135.624389276</v>
      </c>
      <c r="G198" s="181">
        <v>65002553.102268293</v>
      </c>
      <c r="H198" s="181">
        <v>85596010.163673878</v>
      </c>
      <c r="I198" s="181">
        <v>0</v>
      </c>
      <c r="J198" s="181">
        <v>0</v>
      </c>
      <c r="K198" s="181">
        <v>0</v>
      </c>
    </row>
    <row r="199" spans="1:11" x14ac:dyDescent="0.35">
      <c r="A199" s="177">
        <v>2037</v>
      </c>
      <c r="B199" s="181">
        <v>13321876.816808797</v>
      </c>
      <c r="C199" s="181">
        <v>41591763.73191689</v>
      </c>
      <c r="D199" s="181">
        <v>38717173.258589029</v>
      </c>
      <c r="E199" s="181">
        <v>40381661.13078887</v>
      </c>
      <c r="F199" s="181">
        <v>92927541.212887377</v>
      </c>
      <c r="G199" s="181">
        <v>64884144.095588192</v>
      </c>
      <c r="H199" s="181">
        <v>39852325.85769625</v>
      </c>
      <c r="I199" s="181">
        <v>62583471.092663795</v>
      </c>
      <c r="J199" s="181">
        <v>0</v>
      </c>
      <c r="K199" s="181">
        <v>0</v>
      </c>
    </row>
    <row r="200" spans="1:11" x14ac:dyDescent="0.35">
      <c r="A200" s="177">
        <v>2038</v>
      </c>
      <c r="B200" s="181">
        <v>13255267.432724753</v>
      </c>
      <c r="C200" s="181">
        <v>41383804.913257301</v>
      </c>
      <c r="D200" s="181">
        <v>38523587.392296091</v>
      </c>
      <c r="E200" s="181">
        <v>35861052.135794625</v>
      </c>
      <c r="F200" s="181">
        <v>66632059.366136663</v>
      </c>
      <c r="G200" s="181">
        <v>64766327.133941486</v>
      </c>
      <c r="H200" s="181">
        <v>39679717.522277124</v>
      </c>
      <c r="I200" s="181">
        <v>78885282.966841832</v>
      </c>
      <c r="J200" s="181">
        <v>0</v>
      </c>
      <c r="K200" s="181">
        <v>0</v>
      </c>
    </row>
    <row r="201" spans="1:11" x14ac:dyDescent="0.35">
      <c r="A201" s="177">
        <v>2039</v>
      </c>
      <c r="B201" s="181">
        <v>13188991.09556113</v>
      </c>
      <c r="C201" s="181">
        <v>41176885.888691016</v>
      </c>
      <c r="D201" s="181">
        <v>38330969.455334604</v>
      </c>
      <c r="E201" s="181">
        <v>35681746.875115648</v>
      </c>
      <c r="F201" s="181">
        <v>37215738.898135021</v>
      </c>
      <c r="G201" s="181">
        <v>64649099.257103026</v>
      </c>
      <c r="H201" s="181">
        <v>39607398.599298231</v>
      </c>
      <c r="I201" s="181">
        <v>36727903.510452852</v>
      </c>
      <c r="J201" s="181">
        <v>57676926.958998948</v>
      </c>
      <c r="K201" s="181">
        <v>0</v>
      </c>
    </row>
    <row r="202" spans="1:11" x14ac:dyDescent="0.35">
      <c r="A202" s="177">
        <v>2040</v>
      </c>
      <c r="B202" s="181">
        <v>13123046.140083324</v>
      </c>
      <c r="C202" s="181">
        <v>40971001.459247559</v>
      </c>
      <c r="D202" s="181">
        <v>38139314.608057931</v>
      </c>
      <c r="E202" s="181">
        <v>35503338.140740074</v>
      </c>
      <c r="F202" s="181">
        <v>33049545.64834832</v>
      </c>
      <c r="G202" s="181">
        <v>40453141.176275209</v>
      </c>
      <c r="H202" s="181">
        <v>39535441.270934232</v>
      </c>
      <c r="I202" s="181">
        <v>36568827.668530591</v>
      </c>
      <c r="J202" s="181">
        <v>72700676.782241434</v>
      </c>
      <c r="K202" s="181">
        <v>0</v>
      </c>
    </row>
    <row r="203" spans="1:11" x14ac:dyDescent="0.35">
      <c r="A203" s="177">
        <v>2041</v>
      </c>
      <c r="B203" s="181">
        <v>13057430.909382908</v>
      </c>
      <c r="C203" s="181">
        <v>40766146.451951325</v>
      </c>
      <c r="D203" s="181">
        <v>37948618.035017639</v>
      </c>
      <c r="E203" s="181">
        <v>35325821.450036377</v>
      </c>
      <c r="F203" s="181">
        <v>32884297.920106575</v>
      </c>
      <c r="G203" s="181">
        <v>24938900.276976168</v>
      </c>
      <c r="H203" s="181">
        <v>39463843.729212061</v>
      </c>
      <c r="I203" s="181">
        <v>36502178.549113244</v>
      </c>
      <c r="J203" s="181">
        <v>33848435.875233345</v>
      </c>
      <c r="K203" s="181">
        <v>106310111.77082686</v>
      </c>
    </row>
    <row r="204" spans="1:11" x14ac:dyDescent="0.35">
      <c r="A204" s="177">
        <v>2042</v>
      </c>
      <c r="B204" s="181">
        <v>12992143.754835993</v>
      </c>
      <c r="C204" s="181">
        <v>40562315.719691567</v>
      </c>
      <c r="D204" s="181">
        <v>37758874.944842547</v>
      </c>
      <c r="E204" s="181">
        <v>35149192.342786185</v>
      </c>
      <c r="F204" s="181">
        <v>32719876.430506047</v>
      </c>
      <c r="G204" s="181">
        <v>22980168.988510877</v>
      </c>
      <c r="H204" s="181">
        <v>28296855.20417197</v>
      </c>
      <c r="I204" s="181">
        <v>36435862.675292984</v>
      </c>
      <c r="J204" s="181">
        <v>33701831.579317793</v>
      </c>
      <c r="K204" s="181">
        <v>31944180.145033624</v>
      </c>
    </row>
    <row r="205" spans="1:11" x14ac:dyDescent="0.35">
      <c r="A205" s="177">
        <v>2043</v>
      </c>
      <c r="B205" s="181">
        <v>12927183.036061812</v>
      </c>
      <c r="C205" s="181">
        <v>40359504.141093105</v>
      </c>
      <c r="D205" s="181">
        <v>37570080.570118338</v>
      </c>
      <c r="E205" s="181">
        <v>34973446.381072253</v>
      </c>
      <c r="F205" s="181">
        <v>32556277.048353516</v>
      </c>
      <c r="G205" s="181">
        <v>22865268.143568326</v>
      </c>
      <c r="H205" s="181">
        <v>15804529.90549458</v>
      </c>
      <c r="I205" s="181">
        <v>36369878.380841836</v>
      </c>
      <c r="J205" s="181">
        <v>33640407.750862762</v>
      </c>
      <c r="K205" s="181">
        <v>31723024.065997824</v>
      </c>
    </row>
  </sheetData>
  <printOptions horizontalCentered="1" verticalCentered="1"/>
  <pageMargins left="0.7" right="0.7" top="0.75" bottom="0.75" header="0.3" footer="0.3"/>
  <pageSetup scale="33" fitToHeight="4" orientation="landscape" r:id="rId1"/>
  <headerFooter>
    <oddHeader>&amp;A</oddHeader>
  </headerFooter>
  <rowBreaks count="2" manualBreakCount="2">
    <brk id="17" max="16383" man="1"/>
    <brk id="44" max="16383" man="1"/>
  </rowBreaks>
  <customProperties>
    <customPr name="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9F846-B6DB-4A78-A0BE-EABEF70D73BB}">
  <sheetPr>
    <tabColor theme="7" tint="0.59999389629810485"/>
    <pageSetUpPr fitToPage="1"/>
  </sheetPr>
  <dimension ref="A1:R116"/>
  <sheetViews>
    <sheetView zoomScale="120" zoomScaleNormal="120" workbookViewId="0">
      <selection activeCell="L13" sqref="L13:P13"/>
    </sheetView>
  </sheetViews>
  <sheetFormatPr defaultRowHeight="14.5" x14ac:dyDescent="0.35"/>
  <cols>
    <col min="1" max="1" width="12.54296875" bestFit="1" customWidth="1"/>
    <col min="4" max="4" width="14.7265625" customWidth="1"/>
    <col min="5" max="5" width="14.54296875" bestFit="1" customWidth="1"/>
    <col min="8" max="8" width="14.54296875" bestFit="1" customWidth="1"/>
    <col min="10" max="10" width="12.54296875" bestFit="1" customWidth="1"/>
    <col min="11" max="11" width="16.81640625" bestFit="1" customWidth="1"/>
    <col min="12" max="12" width="15.453125" bestFit="1" customWidth="1"/>
    <col min="13" max="13" width="19.81640625" customWidth="1"/>
    <col min="14" max="14" width="14.54296875" bestFit="1" customWidth="1"/>
    <col min="15" max="16" width="15.7265625" bestFit="1" customWidth="1"/>
    <col min="17" max="17" width="14.453125" customWidth="1"/>
  </cols>
  <sheetData>
    <row r="1" spans="1:18" x14ac:dyDescent="0.35">
      <c r="A1" s="259" t="s">
        <v>174</v>
      </c>
      <c r="B1" s="260" t="s">
        <v>175</v>
      </c>
      <c r="C1" s="260" t="s">
        <v>175</v>
      </c>
      <c r="D1" s="260" t="s">
        <v>175</v>
      </c>
      <c r="E1" s="260" t="s">
        <v>175</v>
      </c>
      <c r="F1" s="260" t="s">
        <v>175</v>
      </c>
      <c r="G1" s="260" t="s">
        <v>175</v>
      </c>
      <c r="H1" s="261"/>
      <c r="I1" s="261"/>
      <c r="J1" s="259" t="s">
        <v>174</v>
      </c>
      <c r="K1" s="260" t="s">
        <v>175</v>
      </c>
      <c r="L1" s="260" t="s">
        <v>175</v>
      </c>
      <c r="M1" s="260" t="s">
        <v>175</v>
      </c>
      <c r="N1" s="260" t="s">
        <v>175</v>
      </c>
      <c r="O1" s="260" t="s">
        <v>175</v>
      </c>
      <c r="P1" s="262" t="s">
        <v>175</v>
      </c>
      <c r="Q1" s="261"/>
      <c r="R1" s="261" t="s">
        <v>176</v>
      </c>
    </row>
    <row r="2" spans="1:18" x14ac:dyDescent="0.35">
      <c r="A2" s="263" t="s">
        <v>1</v>
      </c>
      <c r="B2" s="264" t="s">
        <v>177</v>
      </c>
      <c r="C2" s="264" t="s">
        <v>178</v>
      </c>
      <c r="D2" s="264" t="s">
        <v>179</v>
      </c>
      <c r="E2" s="264" t="s">
        <v>180</v>
      </c>
      <c r="F2" s="264" t="s">
        <v>181</v>
      </c>
      <c r="G2" s="264" t="s">
        <v>182</v>
      </c>
      <c r="H2" s="261"/>
      <c r="I2" s="261"/>
      <c r="J2" s="263" t="s">
        <v>1</v>
      </c>
      <c r="K2" s="264" t="s">
        <v>177</v>
      </c>
      <c r="L2" s="264" t="s">
        <v>178</v>
      </c>
      <c r="M2" s="264" t="s">
        <v>179</v>
      </c>
      <c r="N2" s="264" t="s">
        <v>180</v>
      </c>
      <c r="O2" s="264" t="s">
        <v>181</v>
      </c>
      <c r="P2" s="262" t="s">
        <v>182</v>
      </c>
      <c r="Q2" s="261"/>
      <c r="R2" s="261"/>
    </row>
    <row r="3" spans="1:18" x14ac:dyDescent="0.35">
      <c r="A3" s="265" t="s">
        <v>175</v>
      </c>
      <c r="B3" s="266" t="s">
        <v>175</v>
      </c>
      <c r="C3" s="266" t="s">
        <v>175</v>
      </c>
      <c r="D3" s="266" t="s">
        <v>175</v>
      </c>
      <c r="E3" s="266" t="s">
        <v>175</v>
      </c>
      <c r="F3" s="266" t="s">
        <v>175</v>
      </c>
      <c r="G3" s="274" t="s">
        <v>175</v>
      </c>
      <c r="H3" s="261"/>
      <c r="I3" s="261"/>
      <c r="J3" s="265" t="s">
        <v>175</v>
      </c>
      <c r="K3" s="266" t="s">
        <v>175</v>
      </c>
      <c r="L3" s="266" t="s">
        <v>175</v>
      </c>
      <c r="M3" s="266" t="s">
        <v>175</v>
      </c>
      <c r="N3" s="266" t="s">
        <v>175</v>
      </c>
      <c r="O3" s="266" t="s">
        <v>175</v>
      </c>
      <c r="P3" s="267" t="s">
        <v>175</v>
      </c>
      <c r="Q3" s="261"/>
      <c r="R3" s="261"/>
    </row>
    <row r="4" spans="1:18" x14ac:dyDescent="0.35">
      <c r="A4" s="265" t="s">
        <v>17</v>
      </c>
      <c r="B4" s="296">
        <v>177233</v>
      </c>
      <c r="C4" s="296">
        <v>355988</v>
      </c>
      <c r="D4" s="296">
        <v>127823</v>
      </c>
      <c r="E4" s="296">
        <v>0</v>
      </c>
      <c r="F4" s="297">
        <v>0</v>
      </c>
      <c r="G4" s="298">
        <v>0</v>
      </c>
      <c r="H4" s="261"/>
      <c r="I4" s="261"/>
      <c r="J4" s="265" t="s">
        <v>17</v>
      </c>
      <c r="K4" s="302">
        <v>137956495.56000051</v>
      </c>
      <c r="L4" s="302">
        <v>48621594.347999923</v>
      </c>
      <c r="M4" s="302">
        <v>29989057.578000002</v>
      </c>
      <c r="N4" s="302">
        <v>0</v>
      </c>
      <c r="O4" s="302"/>
      <c r="P4" s="302">
        <v>0</v>
      </c>
      <c r="Q4" s="261"/>
      <c r="R4" s="261"/>
    </row>
    <row r="5" spans="1:18" x14ac:dyDescent="0.35">
      <c r="A5" s="265" t="s">
        <v>18</v>
      </c>
      <c r="B5" s="296">
        <v>234135</v>
      </c>
      <c r="C5" s="296">
        <v>448093</v>
      </c>
      <c r="D5" s="296">
        <v>362353</v>
      </c>
      <c r="E5" s="296">
        <v>0</v>
      </c>
      <c r="F5" s="297">
        <v>0</v>
      </c>
      <c r="G5" s="298">
        <v>0</v>
      </c>
      <c r="H5" s="261"/>
      <c r="I5" s="261"/>
      <c r="J5" s="265" t="s">
        <v>18</v>
      </c>
      <c r="K5" s="302">
        <v>61976246.74999997</v>
      </c>
      <c r="L5" s="302">
        <v>60698120.017999992</v>
      </c>
      <c r="M5" s="302">
        <v>84192311.930000037</v>
      </c>
      <c r="N5" s="302">
        <v>0</v>
      </c>
      <c r="O5" s="302"/>
      <c r="P5" s="302">
        <v>0</v>
      </c>
      <c r="Q5" s="261"/>
      <c r="R5" s="261"/>
    </row>
    <row r="6" spans="1:18" x14ac:dyDescent="0.35">
      <c r="A6" s="265" t="s">
        <v>19</v>
      </c>
      <c r="B6" s="296">
        <v>319104</v>
      </c>
      <c r="C6" s="296">
        <v>484680</v>
      </c>
      <c r="D6" s="296">
        <v>439942</v>
      </c>
      <c r="E6" s="296">
        <v>0</v>
      </c>
      <c r="F6" s="297">
        <v>0</v>
      </c>
      <c r="G6" s="298">
        <v>0</v>
      </c>
      <c r="H6" s="261"/>
      <c r="I6" s="261"/>
      <c r="J6" s="265" t="s">
        <v>19</v>
      </c>
      <c r="K6" s="302">
        <v>88771585.7099998</v>
      </c>
      <c r="L6" s="302">
        <v>65368120.833999932</v>
      </c>
      <c r="M6" s="302">
        <v>102137171.86600004</v>
      </c>
      <c r="N6" s="302">
        <v>0</v>
      </c>
      <c r="O6" s="302"/>
      <c r="P6" s="302">
        <v>0</v>
      </c>
      <c r="Q6" s="261"/>
      <c r="R6" s="261"/>
    </row>
    <row r="7" spans="1:18" x14ac:dyDescent="0.35">
      <c r="A7" s="265" t="s">
        <v>20</v>
      </c>
      <c r="B7" s="296">
        <v>554850</v>
      </c>
      <c r="C7" s="296">
        <v>645849</v>
      </c>
      <c r="D7" s="296">
        <v>662729</v>
      </c>
      <c r="E7" s="296">
        <v>0</v>
      </c>
      <c r="F7" s="297">
        <v>0</v>
      </c>
      <c r="G7" s="298">
        <v>0</v>
      </c>
      <c r="H7" s="261"/>
      <c r="I7" s="261"/>
      <c r="J7" s="265" t="s">
        <v>20</v>
      </c>
      <c r="K7" s="302">
        <v>270236541.53999889</v>
      </c>
      <c r="L7" s="302">
        <v>83969753.633833319</v>
      </c>
      <c r="M7" s="302">
        <v>118165987.32000004</v>
      </c>
      <c r="N7" s="302">
        <v>0</v>
      </c>
      <c r="O7" s="302"/>
      <c r="P7" s="302">
        <v>0</v>
      </c>
      <c r="Q7" s="261"/>
      <c r="R7" s="261"/>
    </row>
    <row r="8" spans="1:18" x14ac:dyDescent="0.35">
      <c r="A8" s="265" t="s">
        <v>22</v>
      </c>
      <c r="B8" s="296">
        <v>637531</v>
      </c>
      <c r="C8" s="296">
        <v>890307</v>
      </c>
      <c r="D8" s="296">
        <v>1020217</v>
      </c>
      <c r="E8" s="296">
        <v>1657</v>
      </c>
      <c r="F8" s="296">
        <v>6313</v>
      </c>
      <c r="G8" s="296">
        <v>0</v>
      </c>
      <c r="H8" s="261"/>
      <c r="I8" s="261"/>
      <c r="J8" s="265" t="s">
        <v>22</v>
      </c>
      <c r="K8" s="302">
        <v>94007113.820000261</v>
      </c>
      <c r="L8" s="302">
        <v>94999026.155583248</v>
      </c>
      <c r="M8" s="302">
        <v>139115552.29199991</v>
      </c>
      <c r="N8" s="302">
        <v>109935.3</v>
      </c>
      <c r="O8" s="302">
        <v>877546.85699999996</v>
      </c>
      <c r="P8" s="302">
        <v>0</v>
      </c>
      <c r="Q8" s="261"/>
      <c r="R8" s="261"/>
    </row>
    <row r="9" spans="1:18" x14ac:dyDescent="0.35">
      <c r="A9" s="265" t="s">
        <v>23</v>
      </c>
      <c r="B9" s="296">
        <v>693165</v>
      </c>
      <c r="C9" s="296">
        <v>921681</v>
      </c>
      <c r="D9" s="296">
        <v>1788207</v>
      </c>
      <c r="E9" s="296">
        <v>26348</v>
      </c>
      <c r="F9" s="296">
        <v>159651</v>
      </c>
      <c r="G9" s="296">
        <v>613500</v>
      </c>
      <c r="H9" s="261"/>
      <c r="I9" s="261"/>
      <c r="J9" s="265" t="s">
        <v>23</v>
      </c>
      <c r="K9" s="302">
        <v>70888718.970000193</v>
      </c>
      <c r="L9" s="302">
        <v>63395973.737916648</v>
      </c>
      <c r="M9" s="302">
        <v>144714670.35200015</v>
      </c>
      <c r="N9" s="302">
        <v>1166222.4800000002</v>
      </c>
      <c r="O9" s="302">
        <v>22622640.368333336</v>
      </c>
      <c r="P9" s="302">
        <v>27582919.009999998</v>
      </c>
      <c r="Q9" s="261"/>
      <c r="R9" s="261"/>
    </row>
    <row r="10" spans="1:18" x14ac:dyDescent="0.35">
      <c r="A10" s="265" t="s">
        <v>24</v>
      </c>
      <c r="B10" s="296">
        <v>689447</v>
      </c>
      <c r="C10" s="296">
        <v>917026</v>
      </c>
      <c r="D10" s="296">
        <v>1779264</v>
      </c>
      <c r="E10" s="296">
        <v>26215</v>
      </c>
      <c r="F10" s="296">
        <v>158852</v>
      </c>
      <c r="G10" s="296">
        <v>610433</v>
      </c>
      <c r="H10" s="261"/>
      <c r="I10" s="261"/>
      <c r="J10" s="265" t="s">
        <v>24</v>
      </c>
      <c r="K10" s="302">
        <v>0</v>
      </c>
      <c r="L10" s="302">
        <v>51089650.638666779</v>
      </c>
      <c r="M10" s="302">
        <v>90162527.079999939</v>
      </c>
      <c r="N10" s="302">
        <v>1160314.54</v>
      </c>
      <c r="O10" s="302">
        <v>21411871.139749996</v>
      </c>
      <c r="P10" s="302">
        <v>27445047.959999997</v>
      </c>
      <c r="Q10" s="261"/>
      <c r="R10" s="261"/>
    </row>
    <row r="11" spans="1:18" x14ac:dyDescent="0.35">
      <c r="A11" s="265" t="s">
        <v>25</v>
      </c>
      <c r="B11" s="296">
        <v>685820</v>
      </c>
      <c r="C11" s="296">
        <v>912434</v>
      </c>
      <c r="D11" s="296">
        <v>1770369</v>
      </c>
      <c r="E11" s="296">
        <v>26085</v>
      </c>
      <c r="F11" s="296">
        <v>158054</v>
      </c>
      <c r="G11" s="296">
        <v>607379</v>
      </c>
      <c r="H11" s="261"/>
      <c r="I11" s="261"/>
      <c r="J11" s="265" t="s">
        <v>25</v>
      </c>
      <c r="K11" s="302">
        <v>0</v>
      </c>
      <c r="L11" s="302">
        <v>46490991.142666735</v>
      </c>
      <c r="M11" s="302">
        <v>71870271.364000008</v>
      </c>
      <c r="N11" s="302">
        <v>1154560.27</v>
      </c>
      <c r="O11" s="302">
        <v>21411871.139749996</v>
      </c>
      <c r="P11" s="302">
        <v>27307717.670000006</v>
      </c>
      <c r="Q11" s="261"/>
      <c r="R11" s="261"/>
    </row>
    <row r="12" spans="1:18" x14ac:dyDescent="0.35">
      <c r="A12" s="265" t="s">
        <v>26</v>
      </c>
      <c r="B12" s="296">
        <v>682297</v>
      </c>
      <c r="C12" s="296">
        <v>907898</v>
      </c>
      <c r="D12" s="296">
        <v>1761514</v>
      </c>
      <c r="E12" s="296">
        <v>25954</v>
      </c>
      <c r="F12" s="296">
        <v>157265</v>
      </c>
      <c r="G12" s="296">
        <v>604344</v>
      </c>
      <c r="H12" s="261"/>
      <c r="I12" s="261"/>
      <c r="J12" s="265" t="s">
        <v>26</v>
      </c>
      <c r="K12" s="302">
        <v>0</v>
      </c>
      <c r="L12" s="302">
        <v>30932342.366666663</v>
      </c>
      <c r="M12" s="302">
        <v>68767463.870000049</v>
      </c>
      <c r="N12" s="302">
        <v>1148755.96</v>
      </c>
      <c r="O12" s="302">
        <v>21411871.139749996</v>
      </c>
      <c r="P12" s="302">
        <v>27171270.419999998</v>
      </c>
      <c r="Q12" s="261"/>
      <c r="R12" s="261"/>
    </row>
    <row r="13" spans="1:18" x14ac:dyDescent="0.35">
      <c r="A13" s="265" t="s">
        <v>27</v>
      </c>
      <c r="B13" s="296">
        <v>678832</v>
      </c>
      <c r="C13" s="296">
        <v>903382</v>
      </c>
      <c r="D13" s="296">
        <v>1752698</v>
      </c>
      <c r="E13" s="296">
        <v>25825</v>
      </c>
      <c r="F13" s="296">
        <v>156473</v>
      </c>
      <c r="G13" s="296">
        <v>601317</v>
      </c>
      <c r="H13" s="261"/>
      <c r="I13" s="261"/>
      <c r="J13" s="265" t="s">
        <v>27</v>
      </c>
      <c r="K13" s="302">
        <v>0</v>
      </c>
      <c r="L13" s="302">
        <v>29738177.633333337</v>
      </c>
      <c r="M13" s="302">
        <v>68423328.99000001</v>
      </c>
      <c r="N13" s="302">
        <v>1143074.9099999999</v>
      </c>
      <c r="O13" s="302">
        <v>21411871.139749996</v>
      </c>
      <c r="P13" s="302">
        <v>27035182.120000001</v>
      </c>
      <c r="Q13" s="261"/>
      <c r="R13" s="261"/>
    </row>
    <row r="14" spans="1:18" x14ac:dyDescent="0.35">
      <c r="A14" s="265" t="s">
        <v>28</v>
      </c>
      <c r="B14" s="296">
        <v>675418</v>
      </c>
      <c r="C14" s="296">
        <v>898824</v>
      </c>
      <c r="D14" s="296">
        <v>1743940</v>
      </c>
      <c r="E14" s="296">
        <v>25696</v>
      </c>
      <c r="F14" s="296">
        <v>155700</v>
      </c>
      <c r="G14" s="296">
        <v>598311</v>
      </c>
      <c r="H14" s="261"/>
      <c r="I14" s="261"/>
      <c r="J14" s="265" t="s">
        <v>28</v>
      </c>
      <c r="K14" s="302">
        <v>0</v>
      </c>
      <c r="L14" s="302">
        <v>26860505.06008333</v>
      </c>
      <c r="M14" s="302">
        <v>68081480.439999998</v>
      </c>
      <c r="N14" s="302">
        <v>1137345.06</v>
      </c>
      <c r="O14" s="302">
        <v>21411871.139749996</v>
      </c>
      <c r="P14" s="302">
        <v>26900043.439999998</v>
      </c>
      <c r="Q14" s="261"/>
      <c r="R14" s="261"/>
    </row>
    <row r="15" spans="1:18" x14ac:dyDescent="0.35">
      <c r="A15" s="265" t="s">
        <v>29</v>
      </c>
      <c r="B15" s="296">
        <v>672049</v>
      </c>
      <c r="C15" s="296">
        <v>894352</v>
      </c>
      <c r="D15" s="296">
        <v>1735219</v>
      </c>
      <c r="E15" s="296">
        <v>25567</v>
      </c>
      <c r="F15" s="296">
        <v>154918</v>
      </c>
      <c r="G15" s="296">
        <v>595320</v>
      </c>
      <c r="H15" s="261"/>
      <c r="I15" s="261"/>
      <c r="J15" s="265" t="s">
        <v>29</v>
      </c>
      <c r="K15" s="302">
        <v>0</v>
      </c>
      <c r="L15" s="302">
        <v>3906556.2972500003</v>
      </c>
      <c r="M15" s="302">
        <v>67740992.879999995</v>
      </c>
      <c r="N15" s="302">
        <v>1131628.02</v>
      </c>
      <c r="O15" s="302">
        <v>20583076.885916658</v>
      </c>
      <c r="P15" s="302">
        <v>26765555.710000005</v>
      </c>
      <c r="Q15" s="261"/>
      <c r="R15" s="261"/>
    </row>
    <row r="16" spans="1:18" x14ac:dyDescent="0.35">
      <c r="A16" s="265" t="s">
        <v>30</v>
      </c>
      <c r="B16" s="296">
        <v>668393</v>
      </c>
      <c r="C16" s="296">
        <v>889811</v>
      </c>
      <c r="D16" s="296">
        <v>1726539</v>
      </c>
      <c r="E16" s="296">
        <v>25439</v>
      </c>
      <c r="F16" s="296">
        <v>154145</v>
      </c>
      <c r="G16" s="296">
        <v>592340</v>
      </c>
      <c r="H16" s="261"/>
      <c r="I16" s="261"/>
      <c r="J16" s="265" t="s">
        <v>30</v>
      </c>
      <c r="K16" s="302">
        <v>0</v>
      </c>
      <c r="L16" s="302">
        <v>0</v>
      </c>
      <c r="M16" s="302">
        <v>67402026.459999993</v>
      </c>
      <c r="N16" s="302">
        <v>1125963.74</v>
      </c>
      <c r="O16" s="302"/>
      <c r="P16" s="302">
        <v>26631590.579999991</v>
      </c>
      <c r="Q16" s="261"/>
      <c r="R16" s="261"/>
    </row>
    <row r="17" spans="1:18" x14ac:dyDescent="0.35">
      <c r="A17" s="265" t="s">
        <v>31</v>
      </c>
      <c r="B17" s="296">
        <v>664763</v>
      </c>
      <c r="C17" s="296">
        <v>885352</v>
      </c>
      <c r="D17" s="296">
        <v>1717907</v>
      </c>
      <c r="E17" s="296">
        <v>25314</v>
      </c>
      <c r="F17" s="296">
        <v>153375</v>
      </c>
      <c r="G17" s="296">
        <v>589381</v>
      </c>
      <c r="H17" s="261"/>
      <c r="I17" s="261"/>
      <c r="J17" s="265" t="s">
        <v>31</v>
      </c>
      <c r="K17" s="302">
        <v>0</v>
      </c>
      <c r="L17" s="302">
        <v>0</v>
      </c>
      <c r="M17" s="302">
        <v>67064831.43</v>
      </c>
      <c r="N17" s="302">
        <v>1120460.8399999996</v>
      </c>
      <c r="O17" s="302"/>
      <c r="P17" s="302">
        <v>26498540.439999998</v>
      </c>
      <c r="Q17" s="261"/>
      <c r="R17" s="261"/>
    </row>
    <row r="18" spans="1:18" x14ac:dyDescent="0.35">
      <c r="A18" s="265" t="s">
        <v>32</v>
      </c>
      <c r="B18" s="296">
        <v>558816</v>
      </c>
      <c r="C18" s="296">
        <v>558875</v>
      </c>
      <c r="D18" s="296">
        <v>1590151</v>
      </c>
      <c r="E18" s="296">
        <v>25185</v>
      </c>
      <c r="F18" s="296">
        <v>152607</v>
      </c>
      <c r="G18" s="296">
        <v>586439</v>
      </c>
      <c r="H18" s="261"/>
      <c r="I18" s="261"/>
      <c r="J18" s="265" t="s">
        <v>32</v>
      </c>
      <c r="K18" s="302">
        <v>0</v>
      </c>
      <c r="L18" s="302">
        <v>0</v>
      </c>
      <c r="M18" s="302">
        <v>66729338.150000006</v>
      </c>
      <c r="N18" s="302">
        <v>1114743.8</v>
      </c>
      <c r="O18" s="302"/>
      <c r="P18" s="302">
        <v>26366266.530000001</v>
      </c>
      <c r="Q18" s="261"/>
      <c r="R18" s="261"/>
    </row>
    <row r="19" spans="1:18" x14ac:dyDescent="0.35">
      <c r="A19" s="265" t="s">
        <v>33</v>
      </c>
      <c r="B19" s="296">
        <v>493695</v>
      </c>
      <c r="C19" s="296">
        <v>546393</v>
      </c>
      <c r="D19" s="296">
        <v>1582206</v>
      </c>
      <c r="E19" s="296">
        <v>25059</v>
      </c>
      <c r="F19" s="296">
        <v>151840</v>
      </c>
      <c r="G19" s="296">
        <v>583499</v>
      </c>
      <c r="H19" s="261"/>
      <c r="I19" s="261"/>
      <c r="J19" s="265" t="s">
        <v>33</v>
      </c>
      <c r="K19" s="302">
        <v>0</v>
      </c>
      <c r="L19" s="302">
        <v>0</v>
      </c>
      <c r="M19" s="302">
        <v>66395922.589999996</v>
      </c>
      <c r="N19" s="302">
        <v>1109144.31</v>
      </c>
      <c r="O19" s="302"/>
      <c r="P19" s="302">
        <v>26234081.390000008</v>
      </c>
      <c r="Q19" s="261"/>
      <c r="R19" s="261"/>
    </row>
    <row r="20" spans="1:18" x14ac:dyDescent="0.35">
      <c r="A20" s="265" t="s">
        <v>34</v>
      </c>
      <c r="B20" s="296">
        <v>437705</v>
      </c>
      <c r="C20" s="296">
        <v>456603</v>
      </c>
      <c r="D20" s="296">
        <v>1356161</v>
      </c>
      <c r="E20" s="296">
        <v>24934</v>
      </c>
      <c r="F20" s="296">
        <v>151083</v>
      </c>
      <c r="G20" s="296">
        <v>580582</v>
      </c>
      <c r="H20" s="261"/>
      <c r="I20" s="261"/>
      <c r="J20" s="265" t="s">
        <v>34</v>
      </c>
      <c r="K20" s="302">
        <v>0</v>
      </c>
      <c r="L20" s="302">
        <v>0</v>
      </c>
      <c r="M20" s="302">
        <v>66064096.460000023</v>
      </c>
      <c r="N20" s="302">
        <v>1103612.05</v>
      </c>
      <c r="O20" s="302"/>
      <c r="P20" s="302">
        <v>26102956.809999999</v>
      </c>
      <c r="Q20" s="261"/>
      <c r="R20" s="261"/>
    </row>
    <row r="21" spans="1:18" x14ac:dyDescent="0.35">
      <c r="A21" s="265" t="s">
        <v>35</v>
      </c>
      <c r="B21" s="296">
        <v>355925</v>
      </c>
      <c r="C21" s="296">
        <v>418315</v>
      </c>
      <c r="D21" s="296">
        <v>1275730</v>
      </c>
      <c r="E21" s="296">
        <v>24807</v>
      </c>
      <c r="F21" s="296">
        <v>150329</v>
      </c>
      <c r="G21" s="296">
        <v>577685</v>
      </c>
      <c r="H21" s="261"/>
      <c r="I21" s="261"/>
      <c r="J21" s="265" t="s">
        <v>35</v>
      </c>
      <c r="K21" s="302">
        <v>0</v>
      </c>
      <c r="L21" s="302">
        <v>0</v>
      </c>
      <c r="M21" s="302">
        <v>65733615.219999999</v>
      </c>
      <c r="N21" s="302">
        <v>1097956.8499999999</v>
      </c>
      <c r="O21" s="302"/>
      <c r="P21" s="302">
        <v>25972692.140000001</v>
      </c>
      <c r="Q21" s="261"/>
      <c r="R21" s="261"/>
    </row>
    <row r="22" spans="1:18" x14ac:dyDescent="0.35">
      <c r="A22" s="265" t="s">
        <v>36</v>
      </c>
      <c r="B22" s="296">
        <v>134732</v>
      </c>
      <c r="C22" s="296">
        <v>264483</v>
      </c>
      <c r="D22" s="296">
        <v>1258130</v>
      </c>
      <c r="E22" s="296">
        <v>24684</v>
      </c>
      <c r="F22" s="296">
        <v>149575</v>
      </c>
      <c r="G22" s="296">
        <v>574787</v>
      </c>
      <c r="H22" s="261"/>
      <c r="I22" s="261"/>
      <c r="J22" s="265" t="s">
        <v>36</v>
      </c>
      <c r="K22" s="302">
        <v>0</v>
      </c>
      <c r="L22" s="302">
        <v>0</v>
      </c>
      <c r="M22" s="302">
        <v>65404727.630000032</v>
      </c>
      <c r="N22" s="302">
        <v>1092528.2199999997</v>
      </c>
      <c r="O22" s="302"/>
      <c r="P22" s="302">
        <v>25842400.390000001</v>
      </c>
      <c r="Q22" s="261"/>
      <c r="R22" s="261"/>
    </row>
    <row r="23" spans="1:18" x14ac:dyDescent="0.35">
      <c r="A23" s="265" t="s">
        <v>37</v>
      </c>
      <c r="B23" s="296">
        <v>54835</v>
      </c>
      <c r="C23" s="296">
        <v>33414</v>
      </c>
      <c r="D23" s="296">
        <v>1251843</v>
      </c>
      <c r="E23" s="296">
        <v>24561</v>
      </c>
      <c r="F23" s="296">
        <v>142970</v>
      </c>
      <c r="G23" s="296">
        <v>571919</v>
      </c>
      <c r="H23" s="261"/>
      <c r="I23" s="261"/>
      <c r="J23" s="265" t="s">
        <v>37</v>
      </c>
      <c r="K23" s="302">
        <v>0</v>
      </c>
      <c r="L23" s="302">
        <v>0</v>
      </c>
      <c r="M23" s="302">
        <v>65077908.75</v>
      </c>
      <c r="N23" s="302">
        <v>1087098.76</v>
      </c>
      <c r="O23" s="302"/>
      <c r="P23" s="302">
        <v>25713437.91</v>
      </c>
      <c r="Q23" s="261"/>
      <c r="R23" s="261"/>
    </row>
    <row r="24" spans="1:18" x14ac:dyDescent="0.35">
      <c r="A24" s="265" t="s">
        <v>38</v>
      </c>
      <c r="B24" s="296">
        <v>80</v>
      </c>
      <c r="C24" s="296">
        <v>0</v>
      </c>
      <c r="D24" s="296">
        <v>1245578</v>
      </c>
      <c r="E24" s="296">
        <v>24438</v>
      </c>
      <c r="F24" s="296">
        <v>0</v>
      </c>
      <c r="G24" s="296">
        <v>569064</v>
      </c>
      <c r="H24" s="261"/>
      <c r="I24" s="261"/>
      <c r="J24" s="265" t="s">
        <v>38</v>
      </c>
      <c r="K24" s="302">
        <v>0</v>
      </c>
      <c r="L24" s="302">
        <v>0</v>
      </c>
      <c r="M24" s="302">
        <v>64752159.359999977</v>
      </c>
      <c r="N24" s="302">
        <v>1081640.96</v>
      </c>
      <c r="O24" s="302"/>
      <c r="P24" s="302">
        <v>25585078.369999997</v>
      </c>
      <c r="Q24" s="261"/>
      <c r="R24" s="261"/>
    </row>
    <row r="25" spans="1:18" x14ac:dyDescent="0.35">
      <c r="A25" s="265" t="s">
        <v>39</v>
      </c>
      <c r="B25" s="296">
        <v>60</v>
      </c>
      <c r="C25" s="296">
        <v>0</v>
      </c>
      <c r="D25" s="296">
        <v>1239358</v>
      </c>
      <c r="E25" s="296">
        <v>24317</v>
      </c>
      <c r="F25" s="296">
        <v>0</v>
      </c>
      <c r="G25" s="296">
        <v>566217</v>
      </c>
      <c r="H25" s="261"/>
      <c r="I25" s="261"/>
      <c r="J25" s="265" t="s">
        <v>39</v>
      </c>
      <c r="K25" s="302">
        <v>0</v>
      </c>
      <c r="L25" s="302">
        <v>0</v>
      </c>
      <c r="M25" s="302">
        <v>64428878.509999976</v>
      </c>
      <c r="N25" s="302">
        <v>1076335.6499999999</v>
      </c>
      <c r="O25" s="302"/>
      <c r="P25" s="302">
        <v>25457094.679999992</v>
      </c>
      <c r="Q25" s="261"/>
      <c r="R25" s="261"/>
    </row>
    <row r="26" spans="1:18" x14ac:dyDescent="0.35">
      <c r="A26" s="265" t="s">
        <v>40</v>
      </c>
      <c r="B26" s="296">
        <v>8</v>
      </c>
      <c r="C26" s="296">
        <v>0</v>
      </c>
      <c r="D26" s="296">
        <v>1233161</v>
      </c>
      <c r="E26" s="296">
        <v>24196</v>
      </c>
      <c r="F26" s="296">
        <v>0</v>
      </c>
      <c r="G26" s="296">
        <v>563379</v>
      </c>
      <c r="H26" s="261"/>
      <c r="I26" s="261"/>
      <c r="J26" s="265" t="s">
        <v>40</v>
      </c>
      <c r="K26" s="302">
        <v>0</v>
      </c>
      <c r="L26" s="302">
        <v>0</v>
      </c>
      <c r="M26" s="302">
        <v>64106702.660000019</v>
      </c>
      <c r="N26" s="302">
        <v>1070973.19</v>
      </c>
      <c r="O26" s="302"/>
      <c r="P26" s="302">
        <v>25329485.609999999</v>
      </c>
      <c r="Q26" s="261"/>
      <c r="R26" s="261"/>
    </row>
    <row r="27" spans="1:18" x14ac:dyDescent="0.35">
      <c r="A27" s="265" t="s">
        <v>163</v>
      </c>
      <c r="B27" s="296">
        <v>0</v>
      </c>
      <c r="C27" s="296">
        <v>0</v>
      </c>
      <c r="D27" s="296">
        <v>1034410</v>
      </c>
      <c r="E27" s="296">
        <v>24074</v>
      </c>
      <c r="F27" s="296">
        <v>0</v>
      </c>
      <c r="G27" s="296">
        <v>560565</v>
      </c>
      <c r="H27" s="261"/>
      <c r="I27" s="261"/>
      <c r="J27" s="265" t="s">
        <v>163</v>
      </c>
      <c r="K27" s="302"/>
      <c r="L27" s="302">
        <v>0</v>
      </c>
      <c r="M27" s="302">
        <v>51780676.689999998</v>
      </c>
      <c r="N27" s="302">
        <v>1065552.6199999999</v>
      </c>
      <c r="O27" s="302"/>
      <c r="P27" s="302">
        <v>25202981.129999999</v>
      </c>
      <c r="Q27" s="261"/>
      <c r="R27" s="261"/>
    </row>
    <row r="28" spans="1:18" x14ac:dyDescent="0.35">
      <c r="A28" s="299" t="s">
        <v>341</v>
      </c>
      <c r="B28" s="296">
        <v>0</v>
      </c>
      <c r="C28" s="296">
        <v>0</v>
      </c>
      <c r="D28" s="296">
        <v>702850</v>
      </c>
      <c r="E28" s="296">
        <v>22455</v>
      </c>
      <c r="F28" s="296">
        <v>0</v>
      </c>
      <c r="G28" s="296">
        <v>557764</v>
      </c>
      <c r="H28" s="261"/>
      <c r="I28" s="261"/>
      <c r="J28" s="299" t="s">
        <v>341</v>
      </c>
      <c r="K28" s="302"/>
      <c r="L28" s="302">
        <v>0</v>
      </c>
      <c r="M28" s="302">
        <v>32240450.510000013</v>
      </c>
      <c r="N28" s="302">
        <v>960802.49999999988</v>
      </c>
      <c r="O28" s="302"/>
      <c r="P28" s="302">
        <v>25077021.360000007</v>
      </c>
      <c r="Q28" s="261"/>
      <c r="R28" s="261"/>
    </row>
    <row r="29" spans="1:18" x14ac:dyDescent="0.35">
      <c r="A29" s="261"/>
      <c r="B29" s="296"/>
      <c r="C29" s="296"/>
      <c r="D29" s="296"/>
      <c r="E29" s="296"/>
      <c r="F29" s="296"/>
      <c r="G29" s="296"/>
      <c r="H29" s="261"/>
      <c r="I29" s="261"/>
      <c r="J29" s="261"/>
      <c r="K29" s="261"/>
      <c r="L29" s="261"/>
      <c r="M29" s="261"/>
      <c r="N29" s="261"/>
      <c r="O29" s="261"/>
      <c r="P29" s="261"/>
      <c r="Q29" s="261"/>
      <c r="R29" s="261"/>
    </row>
    <row r="30" spans="1:18" x14ac:dyDescent="0.35">
      <c r="A30" s="259" t="s">
        <v>41</v>
      </c>
      <c r="B30" s="260" t="s">
        <v>175</v>
      </c>
      <c r="C30" s="260" t="s">
        <v>175</v>
      </c>
      <c r="D30" s="260" t="s">
        <v>175</v>
      </c>
      <c r="E30" s="260" t="s">
        <v>175</v>
      </c>
      <c r="F30" s="260" t="s">
        <v>175</v>
      </c>
      <c r="G30" s="260" t="s">
        <v>175</v>
      </c>
      <c r="H30" s="261"/>
      <c r="I30" s="261"/>
      <c r="J30" s="259" t="s">
        <v>41</v>
      </c>
      <c r="K30" s="260" t="s">
        <v>175</v>
      </c>
      <c r="L30" s="260" t="s">
        <v>175</v>
      </c>
      <c r="M30" s="260" t="s">
        <v>175</v>
      </c>
      <c r="N30" s="260" t="s">
        <v>175</v>
      </c>
      <c r="O30" s="260" t="s">
        <v>175</v>
      </c>
      <c r="P30" s="262" t="s">
        <v>175</v>
      </c>
      <c r="Q30" s="261"/>
      <c r="R30" s="261"/>
    </row>
    <row r="31" spans="1:18" x14ac:dyDescent="0.35">
      <c r="A31" s="263" t="s">
        <v>1</v>
      </c>
      <c r="B31" s="264" t="s">
        <v>177</v>
      </c>
      <c r="C31" s="264" t="s">
        <v>178</v>
      </c>
      <c r="D31" s="264" t="s">
        <v>179</v>
      </c>
      <c r="E31" s="264" t="s">
        <v>180</v>
      </c>
      <c r="F31" s="264" t="s">
        <v>181</v>
      </c>
      <c r="G31" s="262" t="s">
        <v>182</v>
      </c>
      <c r="H31" s="261"/>
      <c r="I31" s="261"/>
      <c r="J31" s="263" t="s">
        <v>1</v>
      </c>
      <c r="K31" s="264" t="s">
        <v>177</v>
      </c>
      <c r="L31" s="264" t="s">
        <v>178</v>
      </c>
      <c r="M31" s="264" t="s">
        <v>179</v>
      </c>
      <c r="N31" s="264" t="s">
        <v>180</v>
      </c>
      <c r="O31" s="264" t="s">
        <v>181</v>
      </c>
      <c r="P31" s="262" t="s">
        <v>182</v>
      </c>
      <c r="Q31" s="261"/>
      <c r="R31" s="261"/>
    </row>
    <row r="32" spans="1:18" x14ac:dyDescent="0.35">
      <c r="A32" s="265" t="s">
        <v>17</v>
      </c>
      <c r="B32" s="296">
        <v>35659</v>
      </c>
      <c r="C32" s="296">
        <v>126418</v>
      </c>
      <c r="D32" s="296">
        <v>46468</v>
      </c>
      <c r="E32" s="296">
        <v>0</v>
      </c>
      <c r="F32" s="296">
        <v>0</v>
      </c>
      <c r="G32" s="300">
        <v>0</v>
      </c>
      <c r="H32" s="261"/>
      <c r="I32" s="261"/>
      <c r="J32" s="265" t="s">
        <v>17</v>
      </c>
      <c r="K32" s="303">
        <v>27101690.86999996</v>
      </c>
      <c r="L32" s="303">
        <v>17717507.830000021</v>
      </c>
      <c r="M32" s="303">
        <v>11306363.275999999</v>
      </c>
      <c r="N32" s="303">
        <v>0</v>
      </c>
      <c r="O32" s="303"/>
      <c r="P32" s="303">
        <v>0</v>
      </c>
      <c r="Q32" s="261"/>
      <c r="R32" s="261"/>
    </row>
    <row r="33" spans="1:18" x14ac:dyDescent="0.35">
      <c r="A33" s="265" t="s">
        <v>18</v>
      </c>
      <c r="B33" s="296">
        <v>49951</v>
      </c>
      <c r="C33" s="296">
        <v>164267</v>
      </c>
      <c r="D33" s="296">
        <v>99556</v>
      </c>
      <c r="E33" s="296">
        <v>0</v>
      </c>
      <c r="F33" s="296">
        <v>0</v>
      </c>
      <c r="G33" s="296">
        <v>0</v>
      </c>
      <c r="H33" s="261"/>
      <c r="I33" s="261"/>
      <c r="J33" s="265" t="s">
        <v>18</v>
      </c>
      <c r="K33" s="303">
        <v>16353548.489999993</v>
      </c>
      <c r="L33" s="303">
        <v>22818380.058000032</v>
      </c>
      <c r="M33" s="303">
        <v>24302183.696000002</v>
      </c>
      <c r="N33" s="303">
        <v>0</v>
      </c>
      <c r="O33" s="303"/>
      <c r="P33" s="303">
        <v>0</v>
      </c>
      <c r="Q33" s="261"/>
      <c r="R33" s="261"/>
    </row>
    <row r="34" spans="1:18" x14ac:dyDescent="0.35">
      <c r="A34" s="265" t="s">
        <v>19</v>
      </c>
      <c r="B34" s="296">
        <v>67231</v>
      </c>
      <c r="C34" s="296">
        <v>181303</v>
      </c>
      <c r="D34" s="296">
        <v>111722</v>
      </c>
      <c r="E34" s="296">
        <v>0</v>
      </c>
      <c r="F34" s="296">
        <v>0</v>
      </c>
      <c r="G34" s="296">
        <v>0</v>
      </c>
      <c r="H34" s="261"/>
      <c r="I34" s="261"/>
      <c r="J34" s="265" t="s">
        <v>19</v>
      </c>
      <c r="K34" s="303">
        <v>19157714.230000015</v>
      </c>
      <c r="L34" s="303">
        <v>24918435.82600002</v>
      </c>
      <c r="M34" s="303">
        <v>27136924.944000002</v>
      </c>
      <c r="N34" s="303">
        <v>0</v>
      </c>
      <c r="O34" s="303"/>
      <c r="P34" s="303">
        <v>0</v>
      </c>
      <c r="Q34" s="261"/>
      <c r="R34" s="261"/>
    </row>
    <row r="35" spans="1:18" x14ac:dyDescent="0.35">
      <c r="A35" s="265" t="s">
        <v>20</v>
      </c>
      <c r="B35" s="296">
        <v>99315</v>
      </c>
      <c r="C35" s="296">
        <v>233600</v>
      </c>
      <c r="D35" s="296">
        <v>169313</v>
      </c>
      <c r="E35" s="296">
        <v>0</v>
      </c>
      <c r="F35" s="296">
        <v>0</v>
      </c>
      <c r="G35" s="296">
        <v>0</v>
      </c>
      <c r="H35" s="261"/>
      <c r="I35" s="261"/>
      <c r="J35" s="265" t="s">
        <v>20</v>
      </c>
      <c r="K35" s="303">
        <v>35485379.30999998</v>
      </c>
      <c r="L35" s="303">
        <v>30943275.438333366</v>
      </c>
      <c r="M35" s="303">
        <v>30856780.443999998</v>
      </c>
      <c r="N35" s="303">
        <v>0</v>
      </c>
      <c r="O35" s="303"/>
      <c r="P35" s="303">
        <v>0</v>
      </c>
      <c r="Q35" s="261"/>
      <c r="R35" s="261"/>
    </row>
    <row r="36" spans="1:18" x14ac:dyDescent="0.35">
      <c r="A36" s="265" t="s">
        <v>22</v>
      </c>
      <c r="B36" s="296">
        <v>103578</v>
      </c>
      <c r="C36" s="296">
        <v>253800</v>
      </c>
      <c r="D36" s="296">
        <v>271269</v>
      </c>
      <c r="E36" s="296">
        <v>715</v>
      </c>
      <c r="F36" s="296">
        <v>0</v>
      </c>
      <c r="G36" s="296">
        <v>0</v>
      </c>
      <c r="H36" s="261"/>
      <c r="I36" s="261"/>
      <c r="J36" s="265" t="s">
        <v>22</v>
      </c>
      <c r="K36" s="303">
        <v>5344334.46</v>
      </c>
      <c r="L36" s="303">
        <v>27119825.446833339</v>
      </c>
      <c r="M36" s="303">
        <v>37149481.984000012</v>
      </c>
      <c r="N36" s="303">
        <v>47476</v>
      </c>
      <c r="O36" s="303"/>
      <c r="P36" s="303">
        <v>0</v>
      </c>
      <c r="Q36" s="261"/>
      <c r="R36" s="261"/>
    </row>
    <row r="37" spans="1:18" x14ac:dyDescent="0.35">
      <c r="A37" s="265" t="s">
        <v>23</v>
      </c>
      <c r="B37" s="296">
        <v>104157</v>
      </c>
      <c r="C37" s="296">
        <v>252522</v>
      </c>
      <c r="D37" s="296">
        <v>535277</v>
      </c>
      <c r="E37" s="296">
        <v>6019</v>
      </c>
      <c r="F37" s="296">
        <v>37532</v>
      </c>
      <c r="G37" s="296">
        <v>269651</v>
      </c>
      <c r="H37" s="261"/>
      <c r="I37" s="261"/>
      <c r="J37" s="265" t="s">
        <v>23</v>
      </c>
      <c r="K37" s="303">
        <v>1304267.9500000002</v>
      </c>
      <c r="L37" s="303">
        <v>15522085.005166667</v>
      </c>
      <c r="M37" s="303">
        <v>37248609.757999986</v>
      </c>
      <c r="N37" s="303">
        <v>350654.57</v>
      </c>
      <c r="O37" s="303">
        <v>4620143.9714999991</v>
      </c>
      <c r="P37" s="303">
        <v>12026119.459999999</v>
      </c>
      <c r="Q37" s="261"/>
      <c r="R37" s="261"/>
    </row>
    <row r="38" spans="1:18" x14ac:dyDescent="0.35">
      <c r="A38" s="265" t="s">
        <v>24</v>
      </c>
      <c r="B38" s="296">
        <v>103633</v>
      </c>
      <c r="C38" s="296">
        <v>251231</v>
      </c>
      <c r="D38" s="296">
        <v>532601</v>
      </c>
      <c r="E38" s="296">
        <v>5989</v>
      </c>
      <c r="F38" s="296">
        <v>37344</v>
      </c>
      <c r="G38" s="296">
        <v>268308</v>
      </c>
      <c r="H38" s="261"/>
      <c r="I38" s="261"/>
      <c r="J38" s="265" t="s">
        <v>24</v>
      </c>
      <c r="K38" s="303">
        <v>0</v>
      </c>
      <c r="L38" s="303">
        <v>10421212.777166668</v>
      </c>
      <c r="M38" s="303">
        <v>24145758.727999996</v>
      </c>
      <c r="N38" s="303">
        <v>348902.94</v>
      </c>
      <c r="O38" s="303">
        <v>4363469.3064166661</v>
      </c>
      <c r="P38" s="303">
        <v>11966240.349999996</v>
      </c>
      <c r="Q38" s="261"/>
      <c r="R38" s="261"/>
    </row>
    <row r="39" spans="1:18" x14ac:dyDescent="0.35">
      <c r="A39" s="265" t="s">
        <v>25</v>
      </c>
      <c r="B39" s="296">
        <v>103133</v>
      </c>
      <c r="C39" s="296">
        <v>249959</v>
      </c>
      <c r="D39" s="296">
        <v>529933</v>
      </c>
      <c r="E39" s="296">
        <v>5960</v>
      </c>
      <c r="F39" s="296">
        <v>37156</v>
      </c>
      <c r="G39" s="296">
        <v>266964</v>
      </c>
      <c r="H39" s="261"/>
      <c r="I39" s="261"/>
      <c r="J39" s="265" t="s">
        <v>25</v>
      </c>
      <c r="K39" s="303">
        <v>0</v>
      </c>
      <c r="L39" s="303">
        <v>8383651.8691666638</v>
      </c>
      <c r="M39" s="303">
        <v>21204230.589999996</v>
      </c>
      <c r="N39" s="303">
        <v>347217.70999999996</v>
      </c>
      <c r="O39" s="303">
        <v>4363469.3064166661</v>
      </c>
      <c r="P39" s="303">
        <v>11906280</v>
      </c>
      <c r="Q39" s="261"/>
      <c r="R39" s="261"/>
    </row>
    <row r="40" spans="1:18" x14ac:dyDescent="0.35">
      <c r="A40" s="265" t="s">
        <v>26</v>
      </c>
      <c r="B40" s="296">
        <v>102588</v>
      </c>
      <c r="C40" s="296">
        <v>248741</v>
      </c>
      <c r="D40" s="296">
        <v>527286</v>
      </c>
      <c r="E40" s="296">
        <v>5930</v>
      </c>
      <c r="F40" s="296">
        <v>36972</v>
      </c>
      <c r="G40" s="296">
        <v>265631</v>
      </c>
      <c r="H40" s="261"/>
      <c r="I40" s="261"/>
      <c r="J40" s="265" t="s">
        <v>26</v>
      </c>
      <c r="K40" s="303">
        <v>0</v>
      </c>
      <c r="L40" s="303">
        <v>3184513.8391666654</v>
      </c>
      <c r="M40" s="303">
        <v>21098251.419999998</v>
      </c>
      <c r="N40" s="303">
        <v>345466.07999999996</v>
      </c>
      <c r="O40" s="303">
        <v>4363469.3064166661</v>
      </c>
      <c r="P40" s="303">
        <v>11846839.439999999</v>
      </c>
      <c r="Q40" s="261"/>
      <c r="R40" s="261"/>
    </row>
    <row r="41" spans="1:18" x14ac:dyDescent="0.35">
      <c r="A41" s="265" t="s">
        <v>27</v>
      </c>
      <c r="B41" s="296">
        <v>102084</v>
      </c>
      <c r="C41" s="296">
        <v>247501</v>
      </c>
      <c r="D41" s="296">
        <v>524641</v>
      </c>
      <c r="E41" s="296">
        <v>5900</v>
      </c>
      <c r="F41" s="296">
        <v>36785</v>
      </c>
      <c r="G41" s="296">
        <v>264298</v>
      </c>
      <c r="H41" s="261"/>
      <c r="I41" s="261"/>
      <c r="J41" s="265" t="s">
        <v>27</v>
      </c>
      <c r="K41" s="303">
        <v>0</v>
      </c>
      <c r="L41" s="303">
        <v>1998704.0958333327</v>
      </c>
      <c r="M41" s="303">
        <v>20992582.960000001</v>
      </c>
      <c r="N41" s="303">
        <v>343721.91</v>
      </c>
      <c r="O41" s="303">
        <v>4363469.3064166661</v>
      </c>
      <c r="P41" s="303">
        <v>11787390.000000002</v>
      </c>
      <c r="Q41" s="261"/>
      <c r="R41" s="261"/>
    </row>
    <row r="42" spans="1:18" x14ac:dyDescent="0.35">
      <c r="A42" s="265" t="s">
        <v>28</v>
      </c>
      <c r="B42" s="296">
        <v>101589</v>
      </c>
      <c r="C42" s="296">
        <v>246248</v>
      </c>
      <c r="D42" s="296">
        <v>522028</v>
      </c>
      <c r="E42" s="296">
        <v>5870</v>
      </c>
      <c r="F42" s="296">
        <v>36602</v>
      </c>
      <c r="G42" s="296">
        <v>262978</v>
      </c>
      <c r="H42" s="261"/>
      <c r="I42" s="261"/>
      <c r="J42" s="265" t="s">
        <v>28</v>
      </c>
      <c r="K42" s="303">
        <v>0</v>
      </c>
      <c r="L42" s="303">
        <v>1215595.7723333333</v>
      </c>
      <c r="M42" s="303">
        <v>20888009.790000007</v>
      </c>
      <c r="N42" s="303">
        <v>341970.27999999997</v>
      </c>
      <c r="O42" s="303">
        <v>4363469.3064166661</v>
      </c>
      <c r="P42" s="303">
        <v>11728527.66</v>
      </c>
      <c r="Q42" s="261"/>
      <c r="R42" s="261"/>
    </row>
    <row r="43" spans="1:18" x14ac:dyDescent="0.35">
      <c r="A43" s="265" t="s">
        <v>29</v>
      </c>
      <c r="B43" s="296">
        <v>101123</v>
      </c>
      <c r="C43" s="296">
        <v>245034</v>
      </c>
      <c r="D43" s="296">
        <v>519417</v>
      </c>
      <c r="E43" s="296">
        <v>5841</v>
      </c>
      <c r="F43" s="296">
        <v>36420</v>
      </c>
      <c r="G43" s="296">
        <v>261661</v>
      </c>
      <c r="H43" s="261"/>
      <c r="I43" s="261"/>
      <c r="J43" s="265" t="s">
        <v>29</v>
      </c>
      <c r="K43" s="303">
        <v>0</v>
      </c>
      <c r="L43" s="303">
        <v>0</v>
      </c>
      <c r="M43" s="303">
        <v>20783489.700000003</v>
      </c>
      <c r="N43" s="303">
        <v>340285.05</v>
      </c>
      <c r="O43" s="303">
        <v>4363469.3064166661</v>
      </c>
      <c r="P43" s="303">
        <v>11669795.18</v>
      </c>
      <c r="Q43" s="261"/>
      <c r="R43" s="261"/>
    </row>
    <row r="44" spans="1:18" x14ac:dyDescent="0.35">
      <c r="A44" s="265" t="s">
        <v>30</v>
      </c>
      <c r="B44" s="296">
        <v>100491</v>
      </c>
      <c r="C44" s="296">
        <v>243769</v>
      </c>
      <c r="D44" s="296">
        <v>516818</v>
      </c>
      <c r="E44" s="296">
        <v>5811</v>
      </c>
      <c r="F44" s="296">
        <v>36237</v>
      </c>
      <c r="G44" s="296">
        <v>260354</v>
      </c>
      <c r="H44" s="261"/>
      <c r="I44" s="261"/>
      <c r="J44" s="265" t="s">
        <v>30</v>
      </c>
      <c r="K44" s="303">
        <v>0</v>
      </c>
      <c r="L44" s="303">
        <v>0</v>
      </c>
      <c r="M44" s="303">
        <v>20679508.159999996</v>
      </c>
      <c r="N44" s="303">
        <v>338533.42</v>
      </c>
      <c r="O44" s="303"/>
      <c r="P44" s="303">
        <v>11611498.189999999</v>
      </c>
      <c r="Q44" s="261"/>
      <c r="R44" s="261"/>
    </row>
    <row r="45" spans="1:18" x14ac:dyDescent="0.35">
      <c r="A45" s="265" t="s">
        <v>31</v>
      </c>
      <c r="B45" s="296">
        <v>99955</v>
      </c>
      <c r="C45" s="296">
        <v>242543</v>
      </c>
      <c r="D45" s="296">
        <v>514230</v>
      </c>
      <c r="E45" s="296">
        <v>5783</v>
      </c>
      <c r="F45" s="296">
        <v>36056</v>
      </c>
      <c r="G45" s="296">
        <v>259053</v>
      </c>
      <c r="H45" s="261"/>
      <c r="I45" s="261"/>
      <c r="J45" s="265" t="s">
        <v>31</v>
      </c>
      <c r="K45" s="303">
        <v>0</v>
      </c>
      <c r="L45" s="303">
        <v>0</v>
      </c>
      <c r="M45" s="303">
        <v>20575825.199999999</v>
      </c>
      <c r="N45" s="303">
        <v>336904.92</v>
      </c>
      <c r="O45" s="303"/>
      <c r="P45" s="303">
        <v>11553467.560000001</v>
      </c>
      <c r="Q45" s="261"/>
      <c r="R45" s="261"/>
    </row>
    <row r="46" spans="1:18" x14ac:dyDescent="0.35">
      <c r="A46" s="265" t="s">
        <v>32</v>
      </c>
      <c r="B46" s="296">
        <v>72085</v>
      </c>
      <c r="C46" s="296">
        <v>129174</v>
      </c>
      <c r="D46" s="296">
        <v>468344</v>
      </c>
      <c r="E46" s="296">
        <v>5754</v>
      </c>
      <c r="F46" s="296">
        <v>35875</v>
      </c>
      <c r="G46" s="296">
        <v>257761</v>
      </c>
      <c r="H46" s="261"/>
      <c r="I46" s="261"/>
      <c r="J46" s="265" t="s">
        <v>32</v>
      </c>
      <c r="K46" s="303">
        <v>0</v>
      </c>
      <c r="L46" s="303">
        <v>0</v>
      </c>
      <c r="M46" s="303">
        <v>20473200.190000001</v>
      </c>
      <c r="N46" s="303">
        <v>335219.69</v>
      </c>
      <c r="O46" s="303"/>
      <c r="P46" s="303">
        <v>11495845.610000001</v>
      </c>
      <c r="Q46" s="261"/>
      <c r="R46" s="261"/>
    </row>
    <row r="47" spans="1:18" x14ac:dyDescent="0.35">
      <c r="A47" s="265" t="s">
        <v>33</v>
      </c>
      <c r="B47" s="296">
        <v>65832</v>
      </c>
      <c r="C47" s="296">
        <v>122896</v>
      </c>
      <c r="D47" s="296">
        <v>465998</v>
      </c>
      <c r="E47" s="296">
        <v>5725</v>
      </c>
      <c r="F47" s="296">
        <v>35695</v>
      </c>
      <c r="G47" s="296">
        <v>256467</v>
      </c>
      <c r="H47" s="261"/>
      <c r="I47" s="261"/>
      <c r="J47" s="265" t="s">
        <v>33</v>
      </c>
      <c r="K47" s="303">
        <v>0</v>
      </c>
      <c r="L47" s="303">
        <v>0</v>
      </c>
      <c r="M47" s="303">
        <v>20370641.249999996</v>
      </c>
      <c r="N47" s="303">
        <v>333524.78999999998</v>
      </c>
      <c r="O47" s="303"/>
      <c r="P47" s="303">
        <v>11438126.430000002</v>
      </c>
      <c r="Q47" s="261"/>
      <c r="R47" s="261"/>
    </row>
    <row r="48" spans="1:18" x14ac:dyDescent="0.35">
      <c r="A48" s="265" t="s">
        <v>34</v>
      </c>
      <c r="B48" s="296">
        <v>52112</v>
      </c>
      <c r="C48" s="296">
        <v>86602</v>
      </c>
      <c r="D48" s="296">
        <v>414210</v>
      </c>
      <c r="E48" s="296">
        <v>5697</v>
      </c>
      <c r="F48" s="296">
        <v>35518</v>
      </c>
      <c r="G48" s="296">
        <v>255186</v>
      </c>
      <c r="H48" s="261"/>
      <c r="I48" s="261"/>
      <c r="J48" s="265" t="s">
        <v>34</v>
      </c>
      <c r="K48" s="303">
        <v>0</v>
      </c>
      <c r="L48" s="303">
        <v>0</v>
      </c>
      <c r="M48" s="303">
        <v>20268782.240000006</v>
      </c>
      <c r="N48" s="303">
        <v>331896.29000000004</v>
      </c>
      <c r="O48" s="303"/>
      <c r="P48" s="303">
        <v>11381012.219999999</v>
      </c>
      <c r="Q48" s="261"/>
      <c r="R48" s="261"/>
    </row>
    <row r="49" spans="1:18" x14ac:dyDescent="0.35">
      <c r="A49" s="265" t="s">
        <v>35</v>
      </c>
      <c r="B49" s="296">
        <v>35679</v>
      </c>
      <c r="C49" s="296">
        <v>69614</v>
      </c>
      <c r="D49" s="296">
        <v>400393</v>
      </c>
      <c r="E49" s="296">
        <v>5666</v>
      </c>
      <c r="F49" s="296">
        <v>35340</v>
      </c>
      <c r="G49" s="296">
        <v>253913</v>
      </c>
      <c r="H49" s="261"/>
      <c r="I49" s="261"/>
      <c r="J49" s="265" t="s">
        <v>35</v>
      </c>
      <c r="K49" s="303">
        <v>0</v>
      </c>
      <c r="L49" s="303">
        <v>0</v>
      </c>
      <c r="M49" s="303">
        <v>20167481.359999999</v>
      </c>
      <c r="N49" s="303">
        <v>330078.26</v>
      </c>
      <c r="O49" s="303"/>
      <c r="P49" s="303">
        <v>11324230.859999999</v>
      </c>
      <c r="Q49" s="261"/>
      <c r="R49" s="261"/>
    </row>
    <row r="50" spans="1:18" x14ac:dyDescent="0.35">
      <c r="A50" s="265" t="s">
        <v>36</v>
      </c>
      <c r="B50" s="296">
        <v>5534</v>
      </c>
      <c r="C50" s="296">
        <v>19901</v>
      </c>
      <c r="D50" s="296">
        <v>398392</v>
      </c>
      <c r="E50" s="296">
        <v>5638</v>
      </c>
      <c r="F50" s="296">
        <v>35164</v>
      </c>
      <c r="G50" s="296">
        <v>252640</v>
      </c>
      <c r="H50" s="261"/>
      <c r="I50" s="261"/>
      <c r="J50" s="265" t="s">
        <v>36</v>
      </c>
      <c r="K50" s="303">
        <v>0</v>
      </c>
      <c r="L50" s="303">
        <v>0</v>
      </c>
      <c r="M50" s="303">
        <v>20066754.000000007</v>
      </c>
      <c r="N50" s="303">
        <v>328449.76</v>
      </c>
      <c r="O50" s="303"/>
      <c r="P50" s="303">
        <v>11267452.26</v>
      </c>
      <c r="Q50" s="261"/>
      <c r="R50" s="261"/>
    </row>
    <row r="51" spans="1:18" x14ac:dyDescent="0.35">
      <c r="A51" s="265" t="s">
        <v>37</v>
      </c>
      <c r="B51" s="296">
        <v>1058</v>
      </c>
      <c r="C51" s="296">
        <v>0</v>
      </c>
      <c r="D51" s="296">
        <v>396398</v>
      </c>
      <c r="E51" s="296">
        <v>5610</v>
      </c>
      <c r="F51" s="296">
        <v>34988</v>
      </c>
      <c r="G51" s="296">
        <v>251376</v>
      </c>
      <c r="H51" s="261"/>
      <c r="I51" s="261"/>
      <c r="J51" s="265" t="s">
        <v>37</v>
      </c>
      <c r="K51" s="303">
        <v>0</v>
      </c>
      <c r="L51" s="303">
        <v>0</v>
      </c>
      <c r="M51" s="303">
        <v>19966254.169999991</v>
      </c>
      <c r="N51" s="303">
        <v>326821.26</v>
      </c>
      <c r="O51" s="303"/>
      <c r="P51" s="303">
        <v>11211073.760000002</v>
      </c>
      <c r="Q51" s="261"/>
      <c r="R51" s="261"/>
    </row>
    <row r="52" spans="1:18" x14ac:dyDescent="0.35">
      <c r="A52" s="265" t="s">
        <v>38</v>
      </c>
      <c r="B52" s="296">
        <v>10</v>
      </c>
      <c r="C52" s="296">
        <v>0</v>
      </c>
      <c r="D52" s="296">
        <v>394418</v>
      </c>
      <c r="E52" s="296">
        <v>5582</v>
      </c>
      <c r="F52" s="296">
        <v>0</v>
      </c>
      <c r="G52" s="296">
        <v>250124</v>
      </c>
      <c r="H52" s="261"/>
      <c r="I52" s="261"/>
      <c r="J52" s="265" t="s">
        <v>38</v>
      </c>
      <c r="K52" s="303">
        <v>0</v>
      </c>
      <c r="L52" s="303">
        <v>0</v>
      </c>
      <c r="M52" s="303">
        <v>19866546.520000003</v>
      </c>
      <c r="N52" s="303">
        <v>325192.76</v>
      </c>
      <c r="O52" s="303"/>
      <c r="P52" s="303">
        <v>11155245.030000003</v>
      </c>
      <c r="Q52" s="261"/>
      <c r="R52" s="261"/>
    </row>
    <row r="53" spans="1:18" x14ac:dyDescent="0.35">
      <c r="A53" s="265" t="s">
        <v>39</v>
      </c>
      <c r="B53" s="296">
        <v>10</v>
      </c>
      <c r="C53" s="296">
        <v>0</v>
      </c>
      <c r="D53" s="296">
        <v>392444</v>
      </c>
      <c r="E53" s="296">
        <v>5556</v>
      </c>
      <c r="F53" s="296">
        <v>0</v>
      </c>
      <c r="G53" s="296">
        <v>248870</v>
      </c>
      <c r="H53" s="261"/>
      <c r="I53" s="261"/>
      <c r="J53" s="265" t="s">
        <v>39</v>
      </c>
      <c r="K53" s="303">
        <v>0</v>
      </c>
      <c r="L53" s="303">
        <v>0</v>
      </c>
      <c r="M53" s="303">
        <v>19767162.939999998</v>
      </c>
      <c r="N53" s="303">
        <v>323687.39</v>
      </c>
      <c r="O53" s="303"/>
      <c r="P53" s="303">
        <v>11099319.889999997</v>
      </c>
      <c r="Q53" s="261"/>
      <c r="R53" s="261"/>
    </row>
    <row r="54" spans="1:18" x14ac:dyDescent="0.35">
      <c r="A54" s="265" t="s">
        <v>40</v>
      </c>
      <c r="B54" s="296">
        <v>0</v>
      </c>
      <c r="C54" s="296">
        <v>0</v>
      </c>
      <c r="D54" s="296">
        <v>390486</v>
      </c>
      <c r="E54" s="296">
        <v>5528</v>
      </c>
      <c r="F54" s="296">
        <v>0</v>
      </c>
      <c r="G54" s="296">
        <v>247622</v>
      </c>
      <c r="H54" s="261"/>
      <c r="I54" s="261"/>
      <c r="J54" s="265" t="s">
        <v>40</v>
      </c>
      <c r="K54" s="303">
        <v>0</v>
      </c>
      <c r="L54" s="303">
        <v>0</v>
      </c>
      <c r="M54" s="303">
        <v>19668508.239999998</v>
      </c>
      <c r="N54" s="303">
        <v>322051.43</v>
      </c>
      <c r="O54" s="303"/>
      <c r="P54" s="303">
        <v>11043654.470000003</v>
      </c>
      <c r="Q54" s="261"/>
      <c r="R54" s="261"/>
    </row>
    <row r="55" spans="1:18" x14ac:dyDescent="0.35">
      <c r="A55" s="265" t="s">
        <v>163</v>
      </c>
      <c r="B55" s="296">
        <v>0</v>
      </c>
      <c r="C55" s="296">
        <v>0</v>
      </c>
      <c r="D55" s="296">
        <v>335930</v>
      </c>
      <c r="E55" s="296">
        <v>5500</v>
      </c>
      <c r="F55" s="296">
        <v>0</v>
      </c>
      <c r="G55" s="296">
        <v>246386</v>
      </c>
      <c r="H55" s="261"/>
      <c r="I55" s="261"/>
      <c r="J55" s="265" t="s">
        <v>163</v>
      </c>
      <c r="K55" s="303"/>
      <c r="L55" s="303"/>
      <c r="M55" s="303">
        <v>16205133.109999999</v>
      </c>
      <c r="N55" s="303">
        <v>320422.93</v>
      </c>
      <c r="O55" s="303"/>
      <c r="P55" s="303">
        <v>10988536.879999999</v>
      </c>
      <c r="Q55" s="261"/>
      <c r="R55" s="261"/>
    </row>
    <row r="56" spans="1:18" x14ac:dyDescent="0.35">
      <c r="A56" s="299" t="s">
        <v>341</v>
      </c>
      <c r="B56" s="296">
        <v>0</v>
      </c>
      <c r="C56" s="296">
        <v>0</v>
      </c>
      <c r="D56" s="296">
        <v>241255</v>
      </c>
      <c r="E56" s="296">
        <v>4825</v>
      </c>
      <c r="F56" s="296">
        <v>0</v>
      </c>
      <c r="G56" s="296">
        <v>245156</v>
      </c>
      <c r="H56" s="261"/>
      <c r="I56" s="261"/>
      <c r="J56" s="299" t="s">
        <v>341</v>
      </c>
      <c r="K56" s="303"/>
      <c r="L56" s="303"/>
      <c r="M56" s="303">
        <v>10414726.65</v>
      </c>
      <c r="N56" s="303">
        <v>275823.95999999996</v>
      </c>
      <c r="O56" s="303"/>
      <c r="P56" s="303">
        <v>10933682.589999998</v>
      </c>
      <c r="Q56" s="261"/>
      <c r="R56" s="261"/>
    </row>
    <row r="57" spans="1:18" x14ac:dyDescent="0.35">
      <c r="A57" s="268" t="s">
        <v>184</v>
      </c>
      <c r="B57" s="261"/>
      <c r="C57" s="261"/>
      <c r="D57" s="261"/>
      <c r="E57" s="261"/>
      <c r="F57" s="261"/>
      <c r="G57" s="261"/>
      <c r="H57" s="261"/>
      <c r="I57" s="261"/>
      <c r="J57" s="268" t="s">
        <v>185</v>
      </c>
      <c r="K57" s="261"/>
      <c r="L57" s="261"/>
      <c r="M57" s="261"/>
      <c r="N57" s="261"/>
      <c r="O57" s="261"/>
      <c r="P57" s="261"/>
      <c r="Q57" s="261"/>
      <c r="R57" s="261"/>
    </row>
    <row r="58" spans="1:18" x14ac:dyDescent="0.35">
      <c r="A58" s="261"/>
      <c r="B58" s="261"/>
      <c r="C58" s="261"/>
      <c r="D58" s="261"/>
      <c r="E58" s="261"/>
      <c r="F58" s="261"/>
      <c r="G58" s="261"/>
      <c r="H58" s="261"/>
      <c r="I58" s="261"/>
      <c r="J58" s="261"/>
      <c r="K58" s="261"/>
      <c r="L58" s="261"/>
      <c r="M58" s="261"/>
      <c r="N58" s="261"/>
      <c r="O58" s="261"/>
      <c r="P58" s="261"/>
      <c r="Q58" s="261"/>
      <c r="R58" s="261"/>
    </row>
    <row r="59" spans="1:18" x14ac:dyDescent="0.35">
      <c r="A59" s="259" t="s">
        <v>43</v>
      </c>
      <c r="B59" s="260" t="s">
        <v>175</v>
      </c>
      <c r="C59" s="260" t="s">
        <v>175</v>
      </c>
      <c r="D59" s="260" t="s">
        <v>175</v>
      </c>
      <c r="E59" s="260" t="s">
        <v>175</v>
      </c>
      <c r="F59" s="260" t="s">
        <v>175</v>
      </c>
      <c r="G59" s="260" t="s">
        <v>175</v>
      </c>
      <c r="H59" s="261"/>
      <c r="I59" s="261"/>
      <c r="J59" s="259" t="s">
        <v>43</v>
      </c>
      <c r="K59" s="260" t="s">
        <v>175</v>
      </c>
      <c r="L59" s="260" t="s">
        <v>175</v>
      </c>
      <c r="M59" s="260" t="s">
        <v>175</v>
      </c>
      <c r="N59" s="260" t="s">
        <v>175</v>
      </c>
      <c r="O59" s="260" t="s">
        <v>175</v>
      </c>
      <c r="P59" s="260" t="s">
        <v>175</v>
      </c>
      <c r="Q59" s="261"/>
      <c r="R59" s="261"/>
    </row>
    <row r="60" spans="1:18" x14ac:dyDescent="0.35">
      <c r="A60" s="263" t="s">
        <v>1</v>
      </c>
      <c r="B60" s="264" t="s">
        <v>177</v>
      </c>
      <c r="C60" s="264" t="s">
        <v>178</v>
      </c>
      <c r="D60" s="264" t="s">
        <v>179</v>
      </c>
      <c r="E60" s="264" t="s">
        <v>180</v>
      </c>
      <c r="F60" s="264" t="s">
        <v>181</v>
      </c>
      <c r="G60" s="262" t="s">
        <v>182</v>
      </c>
      <c r="H60" s="261"/>
      <c r="I60" s="261"/>
      <c r="J60" s="263" t="s">
        <v>1</v>
      </c>
      <c r="K60" s="264" t="s">
        <v>177</v>
      </c>
      <c r="L60" s="264" t="s">
        <v>178</v>
      </c>
      <c r="M60" s="264" t="s">
        <v>179</v>
      </c>
      <c r="N60" s="264" t="s">
        <v>180</v>
      </c>
      <c r="O60" s="264" t="s">
        <v>181</v>
      </c>
      <c r="P60" s="262" t="s">
        <v>182</v>
      </c>
      <c r="Q60" s="261"/>
      <c r="R60" s="261"/>
    </row>
    <row r="61" spans="1:18" x14ac:dyDescent="0.35">
      <c r="A61" s="265" t="s">
        <v>175</v>
      </c>
      <c r="B61" s="266" t="s">
        <v>175</v>
      </c>
      <c r="C61" s="266" t="s">
        <v>175</v>
      </c>
      <c r="D61" s="266" t="s">
        <v>175</v>
      </c>
      <c r="E61" s="266" t="s">
        <v>175</v>
      </c>
      <c r="F61" s="266" t="s">
        <v>175</v>
      </c>
      <c r="G61" s="267" t="s">
        <v>175</v>
      </c>
      <c r="H61" s="261"/>
      <c r="I61" s="261"/>
      <c r="J61" s="265" t="s">
        <v>175</v>
      </c>
      <c r="K61" s="266" t="s">
        <v>175</v>
      </c>
      <c r="L61" s="266" t="s">
        <v>175</v>
      </c>
      <c r="M61" s="266" t="s">
        <v>175</v>
      </c>
      <c r="N61" s="266" t="s">
        <v>175</v>
      </c>
      <c r="O61" s="266" t="s">
        <v>175</v>
      </c>
      <c r="P61" s="267" t="s">
        <v>175</v>
      </c>
      <c r="Q61" s="261"/>
      <c r="R61" s="261"/>
    </row>
    <row r="62" spans="1:18" x14ac:dyDescent="0.35">
      <c r="A62" s="265" t="s">
        <v>17</v>
      </c>
      <c r="B62" s="296">
        <v>141574</v>
      </c>
      <c r="C62" s="296">
        <v>229273</v>
      </c>
      <c r="D62" s="296">
        <v>81355</v>
      </c>
      <c r="E62" s="296">
        <v>0</v>
      </c>
      <c r="F62" s="296">
        <v>0</v>
      </c>
      <c r="G62" s="296">
        <v>0</v>
      </c>
      <c r="H62" s="261"/>
      <c r="I62" s="261"/>
      <c r="J62" s="265" t="s">
        <v>17</v>
      </c>
      <c r="K62" s="303">
        <v>110854804.69000039</v>
      </c>
      <c r="L62" s="303">
        <v>30863964.982000031</v>
      </c>
      <c r="M62" s="303">
        <v>18682694.302000001</v>
      </c>
      <c r="N62" s="303">
        <v>0</v>
      </c>
      <c r="O62" s="303"/>
      <c r="P62" s="303">
        <v>0</v>
      </c>
      <c r="Q62" s="261"/>
      <c r="R62" s="261"/>
    </row>
    <row r="63" spans="1:18" x14ac:dyDescent="0.35">
      <c r="A63" s="265" t="s">
        <v>18</v>
      </c>
      <c r="B63" s="296">
        <v>184184</v>
      </c>
      <c r="C63" s="296">
        <v>280699</v>
      </c>
      <c r="D63" s="296">
        <v>262797</v>
      </c>
      <c r="E63" s="296">
        <v>0</v>
      </c>
      <c r="F63" s="296">
        <v>0</v>
      </c>
      <c r="G63" s="296">
        <v>0</v>
      </c>
      <c r="H63" s="261"/>
      <c r="I63" s="261"/>
      <c r="J63" s="265" t="s">
        <v>18</v>
      </c>
      <c r="K63" s="303">
        <v>45622698.259999931</v>
      </c>
      <c r="L63" s="303">
        <v>37506981.175999999</v>
      </c>
      <c r="M63" s="303">
        <v>59890128.233999997</v>
      </c>
      <c r="N63" s="303">
        <v>0</v>
      </c>
      <c r="O63" s="303"/>
      <c r="P63" s="303">
        <v>0</v>
      </c>
      <c r="Q63" s="261"/>
      <c r="R63" s="261"/>
    </row>
    <row r="64" spans="1:18" x14ac:dyDescent="0.35">
      <c r="A64" s="265" t="s">
        <v>19</v>
      </c>
      <c r="B64" s="296">
        <v>251607</v>
      </c>
      <c r="C64" s="296">
        <v>299718</v>
      </c>
      <c r="D64" s="296">
        <v>328220</v>
      </c>
      <c r="E64" s="296">
        <v>0</v>
      </c>
      <c r="F64" s="296">
        <v>0</v>
      </c>
      <c r="G64" s="296">
        <v>0</v>
      </c>
      <c r="H64" s="261"/>
      <c r="I64" s="261"/>
      <c r="J64" s="265" t="s">
        <v>19</v>
      </c>
      <c r="K64" s="303">
        <v>69318612.439999789</v>
      </c>
      <c r="L64" s="303">
        <v>40011665.563999951</v>
      </c>
      <c r="M64" s="303">
        <v>75000246.922000021</v>
      </c>
      <c r="N64" s="303">
        <v>0</v>
      </c>
      <c r="O64" s="303"/>
      <c r="P64" s="303">
        <v>0</v>
      </c>
      <c r="Q64" s="261"/>
      <c r="R64" s="261"/>
    </row>
    <row r="65" spans="1:18" x14ac:dyDescent="0.35">
      <c r="A65" s="265" t="s">
        <v>20</v>
      </c>
      <c r="B65" s="296">
        <v>451207</v>
      </c>
      <c r="C65" s="296">
        <v>401960</v>
      </c>
      <c r="D65" s="296">
        <v>493416</v>
      </c>
      <c r="E65" s="296">
        <v>0</v>
      </c>
      <c r="F65" s="296">
        <v>0</v>
      </c>
      <c r="G65" s="296">
        <v>0</v>
      </c>
      <c r="H65" s="261"/>
      <c r="I65" s="261"/>
      <c r="J65" s="265" t="s">
        <v>20</v>
      </c>
      <c r="K65" s="303">
        <v>230170202.90999964</v>
      </c>
      <c r="L65" s="303">
        <v>51818647.141499937</v>
      </c>
      <c r="M65" s="303">
        <v>87309206.876000032</v>
      </c>
      <c r="N65" s="303">
        <v>0</v>
      </c>
      <c r="O65" s="303"/>
      <c r="P65" s="303">
        <v>0</v>
      </c>
      <c r="Q65" s="261"/>
      <c r="R65" s="261"/>
    </row>
    <row r="66" spans="1:18" x14ac:dyDescent="0.35">
      <c r="A66" s="265" t="s">
        <v>22</v>
      </c>
      <c r="B66" s="296">
        <v>527219</v>
      </c>
      <c r="C66" s="296">
        <v>622125</v>
      </c>
      <c r="D66" s="296">
        <v>748948</v>
      </c>
      <c r="E66" s="296">
        <v>942</v>
      </c>
      <c r="F66" s="296">
        <v>6313</v>
      </c>
      <c r="G66" s="296">
        <v>0</v>
      </c>
      <c r="H66" s="261"/>
      <c r="I66" s="261"/>
      <c r="J66" s="265" t="s">
        <v>22</v>
      </c>
      <c r="K66" s="303">
        <v>85965613.619999975</v>
      </c>
      <c r="L66" s="303">
        <v>66213377.569083251</v>
      </c>
      <c r="M66" s="303">
        <v>101966070.30800006</v>
      </c>
      <c r="N66" s="303">
        <v>62459.3</v>
      </c>
      <c r="O66" s="303">
        <v>877546.85699999996</v>
      </c>
      <c r="P66" s="303">
        <v>0</v>
      </c>
      <c r="Q66" s="261"/>
      <c r="R66" s="261"/>
    </row>
    <row r="67" spans="1:18" x14ac:dyDescent="0.35">
      <c r="A67" s="265" t="s">
        <v>23</v>
      </c>
      <c r="B67" s="296">
        <v>581044</v>
      </c>
      <c r="C67" s="296">
        <v>652496</v>
      </c>
      <c r="D67" s="296">
        <v>1252930</v>
      </c>
      <c r="E67" s="296">
        <v>20329</v>
      </c>
      <c r="F67" s="296">
        <v>122119</v>
      </c>
      <c r="G67" s="296">
        <v>343849</v>
      </c>
      <c r="H67" s="261"/>
      <c r="I67" s="261"/>
      <c r="J67" s="265" t="s">
        <v>23</v>
      </c>
      <c r="K67" s="303">
        <v>68139854.100000069</v>
      </c>
      <c r="L67" s="303">
        <v>45968120.606249958</v>
      </c>
      <c r="M67" s="303">
        <v>107466060.59400007</v>
      </c>
      <c r="N67" s="303">
        <v>815567.91</v>
      </c>
      <c r="O67" s="303">
        <v>18002496.39683333</v>
      </c>
      <c r="P67" s="303">
        <v>15556799.550000008</v>
      </c>
      <c r="Q67" s="261"/>
      <c r="R67" s="261"/>
    </row>
    <row r="68" spans="1:18" x14ac:dyDescent="0.35">
      <c r="A68" s="265" t="s">
        <v>24</v>
      </c>
      <c r="B68" s="296">
        <v>577891</v>
      </c>
      <c r="C68" s="296">
        <v>649216</v>
      </c>
      <c r="D68" s="296">
        <v>1246663</v>
      </c>
      <c r="E68" s="296">
        <v>20226</v>
      </c>
      <c r="F68" s="296">
        <v>121508</v>
      </c>
      <c r="G68" s="296">
        <v>342125</v>
      </c>
      <c r="H68" s="261"/>
      <c r="I68" s="261"/>
      <c r="J68" s="265" t="s">
        <v>24</v>
      </c>
      <c r="K68" s="303">
        <v>0</v>
      </c>
      <c r="L68" s="303">
        <v>39112289.294416651</v>
      </c>
      <c r="M68" s="303">
        <v>66016768.351999976</v>
      </c>
      <c r="N68" s="303">
        <v>811411.6</v>
      </c>
      <c r="O68" s="303">
        <v>17048401.833333336</v>
      </c>
      <c r="P68" s="303">
        <v>15478807.610000001</v>
      </c>
      <c r="Q68" s="261"/>
      <c r="R68" s="261"/>
    </row>
    <row r="69" spans="1:18" x14ac:dyDescent="0.35">
      <c r="A69" s="265" t="s">
        <v>25</v>
      </c>
      <c r="B69" s="296">
        <v>574803</v>
      </c>
      <c r="C69" s="296">
        <v>645978</v>
      </c>
      <c r="D69" s="296">
        <v>1240436</v>
      </c>
      <c r="E69" s="296">
        <v>20125</v>
      </c>
      <c r="F69" s="296">
        <v>120898</v>
      </c>
      <c r="G69" s="296">
        <v>340415</v>
      </c>
      <c r="H69" s="261"/>
      <c r="I69" s="261"/>
      <c r="J69" s="265" t="s">
        <v>25</v>
      </c>
      <c r="K69" s="303">
        <v>0</v>
      </c>
      <c r="L69" s="303">
        <v>36616451.366416655</v>
      </c>
      <c r="M69" s="303">
        <v>50666040.774000034</v>
      </c>
      <c r="N69" s="303">
        <v>807342.55999999982</v>
      </c>
      <c r="O69" s="303">
        <v>17048401.833333336</v>
      </c>
      <c r="P69" s="303">
        <v>15401437.670000004</v>
      </c>
      <c r="Q69" s="261"/>
      <c r="R69" s="261"/>
    </row>
    <row r="70" spans="1:18" x14ac:dyDescent="0.35">
      <c r="A70" s="265" t="s">
        <v>26</v>
      </c>
      <c r="B70" s="296">
        <v>571862</v>
      </c>
      <c r="C70" s="296">
        <v>642740</v>
      </c>
      <c r="D70" s="296">
        <v>1234228</v>
      </c>
      <c r="E70" s="296">
        <v>20024</v>
      </c>
      <c r="F70" s="296">
        <v>120293</v>
      </c>
      <c r="G70" s="296">
        <v>338713</v>
      </c>
      <c r="H70" s="261"/>
      <c r="I70" s="261"/>
      <c r="J70" s="265" t="s">
        <v>26</v>
      </c>
      <c r="K70" s="303">
        <v>0</v>
      </c>
      <c r="L70" s="303">
        <v>26971322.988416668</v>
      </c>
      <c r="M70" s="303">
        <v>47669212.450000018</v>
      </c>
      <c r="N70" s="303">
        <v>803289.88</v>
      </c>
      <c r="O70" s="303">
        <v>17048401.833333336</v>
      </c>
      <c r="P70" s="303">
        <v>15324430.979999997</v>
      </c>
      <c r="Q70" s="261"/>
      <c r="R70" s="261"/>
    </row>
    <row r="71" spans="1:18" x14ac:dyDescent="0.35">
      <c r="A71" s="265" t="s">
        <v>27</v>
      </c>
      <c r="B71" s="296">
        <v>568934</v>
      </c>
      <c r="C71" s="296">
        <v>639550</v>
      </c>
      <c r="D71" s="296">
        <v>1228057</v>
      </c>
      <c r="E71" s="296">
        <v>19925</v>
      </c>
      <c r="F71" s="296">
        <v>119688</v>
      </c>
      <c r="G71" s="296">
        <v>337019</v>
      </c>
      <c r="H71" s="261"/>
      <c r="I71" s="261"/>
      <c r="J71" s="265" t="s">
        <v>27</v>
      </c>
      <c r="K71" s="303">
        <v>0</v>
      </c>
      <c r="L71" s="303">
        <v>26962967.99841667</v>
      </c>
      <c r="M71" s="303">
        <v>47430746.030000001</v>
      </c>
      <c r="N71" s="303">
        <v>799352.99999999988</v>
      </c>
      <c r="O71" s="303">
        <v>17048401.833333336</v>
      </c>
      <c r="P71" s="303">
        <v>15247792.120000001</v>
      </c>
      <c r="Q71" s="261"/>
      <c r="R71" s="261"/>
    </row>
    <row r="72" spans="1:18" x14ac:dyDescent="0.35">
      <c r="A72" s="265" t="s">
        <v>28</v>
      </c>
      <c r="B72" s="296">
        <v>566059</v>
      </c>
      <c r="C72" s="296">
        <v>636329</v>
      </c>
      <c r="D72" s="296">
        <v>1221912</v>
      </c>
      <c r="E72" s="296">
        <v>19826</v>
      </c>
      <c r="F72" s="296">
        <v>119098</v>
      </c>
      <c r="G72" s="296">
        <v>335333</v>
      </c>
      <c r="H72" s="261"/>
      <c r="I72" s="261"/>
      <c r="J72" s="265" t="s">
        <v>28</v>
      </c>
      <c r="K72" s="303">
        <v>0</v>
      </c>
      <c r="L72" s="303">
        <v>24920753.588333338</v>
      </c>
      <c r="M72" s="303">
        <v>47193470.650000006</v>
      </c>
      <c r="N72" s="303">
        <v>795374.78</v>
      </c>
      <c r="O72" s="303">
        <v>17048401.833333336</v>
      </c>
      <c r="P72" s="303">
        <v>15171515.779999997</v>
      </c>
      <c r="Q72" s="261"/>
      <c r="R72" s="261"/>
    </row>
    <row r="73" spans="1:18" x14ac:dyDescent="0.35">
      <c r="A73" s="265" t="s">
        <v>29</v>
      </c>
      <c r="B73" s="296">
        <v>563191</v>
      </c>
      <c r="C73" s="296">
        <v>633146</v>
      </c>
      <c r="D73" s="296">
        <v>1215802</v>
      </c>
      <c r="E73" s="296">
        <v>19726</v>
      </c>
      <c r="F73" s="296">
        <v>118498</v>
      </c>
      <c r="G73" s="296">
        <v>333659</v>
      </c>
      <c r="H73" s="261"/>
      <c r="I73" s="261"/>
      <c r="J73" s="265" t="s">
        <v>29</v>
      </c>
      <c r="K73" s="303">
        <v>0</v>
      </c>
      <c r="L73" s="303">
        <v>3617857.0031666658</v>
      </c>
      <c r="M73" s="303">
        <v>46957503.179999992</v>
      </c>
      <c r="N73" s="303">
        <v>791342.97</v>
      </c>
      <c r="O73" s="303">
        <v>16219607.579500001</v>
      </c>
      <c r="P73" s="303">
        <v>15095760.529999997</v>
      </c>
      <c r="Q73" s="261"/>
      <c r="R73" s="261"/>
    </row>
    <row r="74" spans="1:18" x14ac:dyDescent="0.35">
      <c r="A74" s="265" t="s">
        <v>30</v>
      </c>
      <c r="B74" s="296">
        <v>560209</v>
      </c>
      <c r="C74" s="296">
        <v>629952</v>
      </c>
      <c r="D74" s="296">
        <v>1209721</v>
      </c>
      <c r="E74" s="296">
        <v>19628</v>
      </c>
      <c r="F74" s="296">
        <v>117908</v>
      </c>
      <c r="G74" s="296">
        <v>331986</v>
      </c>
      <c r="H74" s="261"/>
      <c r="I74" s="261"/>
      <c r="J74" s="265" t="s">
        <v>30</v>
      </c>
      <c r="K74" s="303">
        <v>0</v>
      </c>
      <c r="L74" s="303">
        <v>0</v>
      </c>
      <c r="M74" s="303">
        <v>46722518.300000004</v>
      </c>
      <c r="N74" s="303">
        <v>787430.32</v>
      </c>
      <c r="O74" s="303"/>
      <c r="P74" s="303">
        <v>15020092.389999999</v>
      </c>
      <c r="Q74" s="261"/>
      <c r="R74" s="261"/>
    </row>
    <row r="75" spans="1:18" x14ac:dyDescent="0.35">
      <c r="A75" s="265" t="s">
        <v>31</v>
      </c>
      <c r="B75" s="296">
        <v>557155</v>
      </c>
      <c r="C75" s="296">
        <v>626798</v>
      </c>
      <c r="D75" s="296">
        <v>1203677</v>
      </c>
      <c r="E75" s="296">
        <v>19531</v>
      </c>
      <c r="F75" s="296">
        <v>117319</v>
      </c>
      <c r="G75" s="296">
        <v>330328</v>
      </c>
      <c r="H75" s="261"/>
      <c r="I75" s="261"/>
      <c r="J75" s="265" t="s">
        <v>31</v>
      </c>
      <c r="K75" s="303">
        <v>0</v>
      </c>
      <c r="L75" s="303">
        <v>0</v>
      </c>
      <c r="M75" s="303">
        <v>46489006.230000012</v>
      </c>
      <c r="N75" s="303">
        <v>783555.91999999993</v>
      </c>
      <c r="O75" s="303"/>
      <c r="P75" s="303">
        <v>14945072.879999999</v>
      </c>
      <c r="Q75" s="261"/>
      <c r="R75" s="261"/>
    </row>
    <row r="76" spans="1:18" x14ac:dyDescent="0.35">
      <c r="A76" s="265" t="s">
        <v>32</v>
      </c>
      <c r="B76" s="296">
        <v>479113</v>
      </c>
      <c r="C76" s="296">
        <v>414050</v>
      </c>
      <c r="D76" s="296">
        <v>1121807</v>
      </c>
      <c r="E76" s="296">
        <v>19431</v>
      </c>
      <c r="F76" s="296">
        <v>116732</v>
      </c>
      <c r="G76" s="296">
        <v>328678</v>
      </c>
      <c r="H76" s="261"/>
      <c r="I76" s="261"/>
      <c r="J76" s="265" t="s">
        <v>32</v>
      </c>
      <c r="K76" s="303">
        <v>0</v>
      </c>
      <c r="L76" s="303">
        <v>0</v>
      </c>
      <c r="M76" s="303">
        <v>46256137.960000001</v>
      </c>
      <c r="N76" s="303">
        <v>779524.11</v>
      </c>
      <c r="O76" s="303"/>
      <c r="P76" s="303">
        <v>14870420.92</v>
      </c>
      <c r="Q76" s="261"/>
      <c r="R76" s="261"/>
    </row>
    <row r="77" spans="1:18" x14ac:dyDescent="0.35">
      <c r="A77" s="265" t="s">
        <v>33</v>
      </c>
      <c r="B77" s="296">
        <v>420290</v>
      </c>
      <c r="C77" s="296">
        <v>407923</v>
      </c>
      <c r="D77" s="296">
        <v>1116208</v>
      </c>
      <c r="E77" s="296">
        <v>19334</v>
      </c>
      <c r="F77" s="296">
        <v>116145</v>
      </c>
      <c r="G77" s="296">
        <v>327032</v>
      </c>
      <c r="H77" s="261"/>
      <c r="I77" s="261"/>
      <c r="J77" s="265" t="s">
        <v>33</v>
      </c>
      <c r="K77" s="303">
        <v>0</v>
      </c>
      <c r="L77" s="303">
        <v>0</v>
      </c>
      <c r="M77" s="303">
        <v>46025281.339999996</v>
      </c>
      <c r="N77" s="303">
        <v>775619.52</v>
      </c>
      <c r="O77" s="303"/>
      <c r="P77" s="303">
        <v>14795954.960000001</v>
      </c>
      <c r="Q77" s="261"/>
      <c r="R77" s="261"/>
    </row>
    <row r="78" spans="1:18" x14ac:dyDescent="0.35">
      <c r="A78" s="265" t="s">
        <v>34</v>
      </c>
      <c r="B78" s="296">
        <v>378051</v>
      </c>
      <c r="C78" s="296">
        <v>357133</v>
      </c>
      <c r="D78" s="296">
        <v>941951</v>
      </c>
      <c r="E78" s="296">
        <v>19237</v>
      </c>
      <c r="F78" s="296">
        <v>115565</v>
      </c>
      <c r="G78" s="296">
        <v>325396</v>
      </c>
      <c r="H78" s="261"/>
      <c r="I78" s="261"/>
      <c r="J78" s="265" t="s">
        <v>34</v>
      </c>
      <c r="K78" s="303">
        <v>0</v>
      </c>
      <c r="L78" s="303">
        <v>0</v>
      </c>
      <c r="M78" s="303">
        <v>45795314.219999984</v>
      </c>
      <c r="N78" s="303">
        <v>771715.75999999989</v>
      </c>
      <c r="O78" s="303"/>
      <c r="P78" s="303">
        <v>14721944.590000005</v>
      </c>
      <c r="Q78" s="261"/>
      <c r="R78" s="261"/>
    </row>
    <row r="79" spans="1:18" x14ac:dyDescent="0.35">
      <c r="A79" s="265" t="s">
        <v>35</v>
      </c>
      <c r="B79" s="296">
        <v>312994</v>
      </c>
      <c r="C79" s="296">
        <v>336403</v>
      </c>
      <c r="D79" s="296">
        <v>875337</v>
      </c>
      <c r="E79" s="296">
        <v>19141</v>
      </c>
      <c r="F79" s="296">
        <v>114989</v>
      </c>
      <c r="G79" s="296">
        <v>323772</v>
      </c>
      <c r="H79" s="261"/>
      <c r="I79" s="261"/>
      <c r="J79" s="265" t="s">
        <v>35</v>
      </c>
      <c r="K79" s="303">
        <v>0</v>
      </c>
      <c r="L79" s="303">
        <v>0</v>
      </c>
      <c r="M79" s="303">
        <v>45566133.859999992</v>
      </c>
      <c r="N79" s="303">
        <v>767878.58999999985</v>
      </c>
      <c r="O79" s="303"/>
      <c r="P79" s="303">
        <v>14648461.279999996</v>
      </c>
      <c r="Q79" s="261"/>
      <c r="R79" s="261"/>
    </row>
    <row r="80" spans="1:18" x14ac:dyDescent="0.35">
      <c r="A80" s="265" t="s">
        <v>36</v>
      </c>
      <c r="B80" s="296">
        <v>125750</v>
      </c>
      <c r="C80" s="296">
        <v>238509</v>
      </c>
      <c r="D80" s="296">
        <v>859738</v>
      </c>
      <c r="E80" s="296">
        <v>19046</v>
      </c>
      <c r="F80" s="296">
        <v>114411</v>
      </c>
      <c r="G80" s="296">
        <v>322147</v>
      </c>
      <c r="H80" s="261"/>
      <c r="I80" s="261"/>
      <c r="J80" s="265" t="s">
        <v>36</v>
      </c>
      <c r="K80" s="303">
        <v>0</v>
      </c>
      <c r="L80" s="303">
        <v>0</v>
      </c>
      <c r="M80" s="303">
        <v>45337973.63000001</v>
      </c>
      <c r="N80" s="303">
        <v>764078.46</v>
      </c>
      <c r="O80" s="303"/>
      <c r="P80" s="303">
        <v>14574948.130000001</v>
      </c>
      <c r="Q80" s="261"/>
      <c r="R80" s="261"/>
    </row>
    <row r="81" spans="1:18" x14ac:dyDescent="0.35">
      <c r="A81" s="265" t="s">
        <v>37</v>
      </c>
      <c r="B81" s="296">
        <v>52601</v>
      </c>
      <c r="C81" s="296">
        <v>31218</v>
      </c>
      <c r="D81" s="296">
        <v>855445</v>
      </c>
      <c r="E81" s="296">
        <v>18951</v>
      </c>
      <c r="F81" s="296">
        <v>107982</v>
      </c>
      <c r="G81" s="296">
        <v>320543</v>
      </c>
      <c r="H81" s="261"/>
      <c r="I81" s="261"/>
      <c r="J81" s="265" t="s">
        <v>37</v>
      </c>
      <c r="K81" s="303">
        <v>0</v>
      </c>
      <c r="L81" s="303">
        <v>0</v>
      </c>
      <c r="M81" s="303">
        <v>45111654.580000021</v>
      </c>
      <c r="N81" s="303">
        <v>760277.49999999988</v>
      </c>
      <c r="O81" s="303"/>
      <c r="P81" s="303">
        <v>14502364.150000002</v>
      </c>
      <c r="Q81" s="261"/>
      <c r="R81" s="261"/>
    </row>
    <row r="82" spans="1:18" x14ac:dyDescent="0.35">
      <c r="A82" s="265" t="s">
        <v>38</v>
      </c>
      <c r="B82" s="296">
        <v>70</v>
      </c>
      <c r="C82" s="296">
        <v>0</v>
      </c>
      <c r="D82" s="296">
        <v>851160</v>
      </c>
      <c r="E82" s="296">
        <v>18856</v>
      </c>
      <c r="F82" s="296">
        <v>0</v>
      </c>
      <c r="G82" s="296">
        <v>318940</v>
      </c>
      <c r="H82" s="261"/>
      <c r="I82" s="261"/>
      <c r="J82" s="265" t="s">
        <v>38</v>
      </c>
      <c r="K82" s="303">
        <v>0</v>
      </c>
      <c r="L82" s="303">
        <v>0</v>
      </c>
      <c r="M82" s="303">
        <v>44885612.840000033</v>
      </c>
      <c r="N82" s="303">
        <v>756448.2</v>
      </c>
      <c r="O82" s="303"/>
      <c r="P82" s="303">
        <v>14429833.339999998</v>
      </c>
      <c r="Q82" s="261"/>
      <c r="R82" s="261"/>
    </row>
    <row r="83" spans="1:18" x14ac:dyDescent="0.35">
      <c r="A83" s="265" t="s">
        <v>39</v>
      </c>
      <c r="B83" s="296">
        <v>50</v>
      </c>
      <c r="C83" s="296">
        <v>0</v>
      </c>
      <c r="D83" s="296">
        <v>846914</v>
      </c>
      <c r="E83" s="296">
        <v>18761</v>
      </c>
      <c r="F83" s="296">
        <v>0</v>
      </c>
      <c r="G83" s="296">
        <v>317347</v>
      </c>
      <c r="H83" s="261"/>
      <c r="I83" s="261"/>
      <c r="J83" s="265" t="s">
        <v>39</v>
      </c>
      <c r="K83" s="303">
        <v>0</v>
      </c>
      <c r="L83" s="303">
        <v>0</v>
      </c>
      <c r="M83" s="303">
        <v>44661715.570000008</v>
      </c>
      <c r="N83" s="303">
        <v>752648.26</v>
      </c>
      <c r="O83" s="303"/>
      <c r="P83" s="303">
        <v>14357774.789999994</v>
      </c>
      <c r="Q83" s="261"/>
      <c r="R83" s="261"/>
    </row>
    <row r="84" spans="1:18" x14ac:dyDescent="0.35">
      <c r="A84" s="265" t="s">
        <v>40</v>
      </c>
      <c r="B84" s="296">
        <v>8</v>
      </c>
      <c r="C84" s="296">
        <v>0</v>
      </c>
      <c r="D84" s="296">
        <v>842675</v>
      </c>
      <c r="E84" s="296">
        <v>18668</v>
      </c>
      <c r="F84" s="296">
        <v>0</v>
      </c>
      <c r="G84" s="296">
        <v>315757</v>
      </c>
      <c r="H84" s="261"/>
      <c r="I84" s="261"/>
      <c r="J84" s="265" t="s">
        <v>40</v>
      </c>
      <c r="K84" s="303">
        <v>0</v>
      </c>
      <c r="L84" s="303">
        <v>0</v>
      </c>
      <c r="M84" s="303">
        <v>44438194.419999979</v>
      </c>
      <c r="N84" s="303">
        <v>748921.75999999989</v>
      </c>
      <c r="O84" s="303"/>
      <c r="P84" s="303">
        <v>14285831.140000008</v>
      </c>
      <c r="Q84" s="261"/>
      <c r="R84" s="261"/>
    </row>
    <row r="85" spans="1:18" x14ac:dyDescent="0.35">
      <c r="A85" s="265" t="s">
        <v>163</v>
      </c>
      <c r="B85" s="296">
        <v>0</v>
      </c>
      <c r="C85" s="296">
        <v>0</v>
      </c>
      <c r="D85" s="296">
        <v>698480</v>
      </c>
      <c r="E85" s="296">
        <v>18574</v>
      </c>
      <c r="F85" s="296">
        <v>0</v>
      </c>
      <c r="G85" s="296">
        <v>314179</v>
      </c>
      <c r="H85" s="261"/>
      <c r="I85" s="261"/>
      <c r="J85" s="265" t="s">
        <v>163</v>
      </c>
      <c r="K85" s="303"/>
      <c r="L85" s="303">
        <v>0</v>
      </c>
      <c r="M85" s="303">
        <v>35575543.579999991</v>
      </c>
      <c r="N85" s="303">
        <v>745129.69</v>
      </c>
      <c r="O85" s="303"/>
      <c r="P85" s="303">
        <v>14214444.25</v>
      </c>
      <c r="Q85" s="261"/>
      <c r="R85" s="261"/>
    </row>
    <row r="86" spans="1:18" x14ac:dyDescent="0.35">
      <c r="A86" s="299" t="s">
        <v>341</v>
      </c>
      <c r="B86" s="296">
        <v>0</v>
      </c>
      <c r="C86" s="296">
        <v>0</v>
      </c>
      <c r="D86" s="296">
        <v>461595</v>
      </c>
      <c r="E86" s="296">
        <v>17630</v>
      </c>
      <c r="F86" s="296">
        <v>0</v>
      </c>
      <c r="G86" s="296">
        <v>312608</v>
      </c>
      <c r="H86" s="261"/>
      <c r="I86" s="261"/>
      <c r="J86" s="299" t="s">
        <v>341</v>
      </c>
      <c r="K86" s="303"/>
      <c r="L86" s="303">
        <v>0</v>
      </c>
      <c r="M86" s="303">
        <v>21825723.859999996</v>
      </c>
      <c r="N86" s="303">
        <v>684978.54</v>
      </c>
      <c r="O86" s="303"/>
      <c r="P86" s="303">
        <v>14143338.769999998</v>
      </c>
      <c r="Q86" s="261"/>
      <c r="R86" s="261"/>
    </row>
    <row r="87" spans="1:18" x14ac:dyDescent="0.35">
      <c r="A87" s="261"/>
      <c r="B87" s="261"/>
      <c r="C87" s="261"/>
      <c r="D87" s="261"/>
      <c r="E87" s="261"/>
      <c r="F87" s="261"/>
      <c r="G87" s="261"/>
      <c r="H87" s="261"/>
      <c r="I87" s="261"/>
      <c r="J87" s="261"/>
      <c r="K87" s="261"/>
      <c r="L87" s="261"/>
      <c r="M87" s="261"/>
      <c r="N87" s="261"/>
      <c r="O87" s="261"/>
      <c r="P87" s="261"/>
      <c r="Q87" s="261"/>
      <c r="R87" s="261"/>
    </row>
    <row r="88" spans="1:18" x14ac:dyDescent="0.35">
      <c r="A88" s="261"/>
      <c r="B88" s="261"/>
      <c r="C88" s="261"/>
      <c r="D88" s="261"/>
      <c r="E88" s="261"/>
      <c r="F88" s="261"/>
      <c r="G88" s="261"/>
      <c r="H88" s="261"/>
      <c r="I88" s="261"/>
      <c r="J88" s="261"/>
      <c r="K88" s="261"/>
      <c r="L88" s="261"/>
      <c r="M88" s="261"/>
      <c r="N88" s="261"/>
      <c r="O88" s="261"/>
      <c r="P88" s="261"/>
      <c r="Q88" s="261"/>
      <c r="R88" s="261"/>
    </row>
    <row r="89" spans="1:18" x14ac:dyDescent="0.35">
      <c r="A89" s="269" t="s">
        <v>44</v>
      </c>
      <c r="B89" s="269" t="s">
        <v>175</v>
      </c>
      <c r="C89" s="269" t="s">
        <v>175</v>
      </c>
      <c r="D89" s="269" t="s">
        <v>175</v>
      </c>
      <c r="E89" s="269" t="s">
        <v>175</v>
      </c>
      <c r="F89" s="269" t="s">
        <v>175</v>
      </c>
      <c r="G89" s="273" t="s">
        <v>175</v>
      </c>
      <c r="H89" s="261"/>
      <c r="I89" s="261"/>
      <c r="J89" s="259" t="s">
        <v>44</v>
      </c>
      <c r="K89" s="260" t="s">
        <v>175</v>
      </c>
      <c r="L89" s="260" t="s">
        <v>175</v>
      </c>
      <c r="M89" s="260" t="s">
        <v>175</v>
      </c>
      <c r="N89" s="260" t="s">
        <v>175</v>
      </c>
      <c r="O89" s="260" t="s">
        <v>175</v>
      </c>
      <c r="P89" s="260" t="s">
        <v>175</v>
      </c>
      <c r="Q89" s="261"/>
      <c r="R89" s="261"/>
    </row>
    <row r="90" spans="1:18" x14ac:dyDescent="0.35">
      <c r="A90" s="269" t="s">
        <v>1</v>
      </c>
      <c r="B90" s="269" t="s">
        <v>177</v>
      </c>
      <c r="C90" s="269" t="s">
        <v>178</v>
      </c>
      <c r="D90" s="269" t="s">
        <v>179</v>
      </c>
      <c r="E90" s="269" t="s">
        <v>180</v>
      </c>
      <c r="F90" s="271" t="s">
        <v>181</v>
      </c>
      <c r="G90" s="269" t="s">
        <v>182</v>
      </c>
      <c r="H90" s="261"/>
      <c r="I90" s="261"/>
      <c r="J90" s="263" t="s">
        <v>1</v>
      </c>
      <c r="K90" s="264" t="s">
        <v>177</v>
      </c>
      <c r="L90" s="264" t="s">
        <v>178</v>
      </c>
      <c r="M90" s="264" t="s">
        <v>179</v>
      </c>
      <c r="N90" s="264" t="s">
        <v>180</v>
      </c>
      <c r="O90" s="264" t="s">
        <v>181</v>
      </c>
      <c r="P90" s="262" t="s">
        <v>182</v>
      </c>
      <c r="Q90" s="261"/>
      <c r="R90" s="261"/>
    </row>
    <row r="91" spans="1:18" x14ac:dyDescent="0.35">
      <c r="A91" s="270" t="s">
        <v>175</v>
      </c>
      <c r="B91" s="270" t="s">
        <v>175</v>
      </c>
      <c r="C91" s="270" t="s">
        <v>175</v>
      </c>
      <c r="D91" s="270" t="s">
        <v>175</v>
      </c>
      <c r="E91" s="270" t="s">
        <v>175</v>
      </c>
      <c r="F91" s="272" t="s">
        <v>175</v>
      </c>
      <c r="G91" s="270" t="s">
        <v>175</v>
      </c>
      <c r="H91" s="261"/>
      <c r="I91" s="261"/>
      <c r="J91" s="265" t="s">
        <v>175</v>
      </c>
      <c r="K91" s="266" t="s">
        <v>175</v>
      </c>
      <c r="L91" s="266" t="s">
        <v>175</v>
      </c>
      <c r="M91" s="266" t="s">
        <v>175</v>
      </c>
      <c r="N91" s="266" t="s">
        <v>175</v>
      </c>
      <c r="O91" s="266" t="s">
        <v>175</v>
      </c>
      <c r="P91" s="267" t="s">
        <v>175</v>
      </c>
      <c r="Q91" s="261"/>
      <c r="R91" s="261"/>
    </row>
    <row r="92" spans="1:18" x14ac:dyDescent="0.35">
      <c r="A92" s="270" t="s">
        <v>17</v>
      </c>
      <c r="B92" s="301">
        <v>0</v>
      </c>
      <c r="C92" s="301">
        <v>297</v>
      </c>
      <c r="D92" s="301"/>
      <c r="E92" s="301"/>
      <c r="F92" s="301"/>
      <c r="G92" s="301"/>
      <c r="H92" s="261"/>
      <c r="I92" s="261"/>
      <c r="J92" s="265" t="s">
        <v>17</v>
      </c>
      <c r="K92" s="303">
        <v>0</v>
      </c>
      <c r="L92" s="303">
        <v>40121.536</v>
      </c>
      <c r="M92" s="302"/>
      <c r="N92" s="302"/>
      <c r="O92" s="302"/>
      <c r="P92" s="302"/>
      <c r="Q92" s="261"/>
      <c r="R92" s="261"/>
    </row>
    <row r="93" spans="1:18" x14ac:dyDescent="0.35">
      <c r="A93" s="270" t="s">
        <v>18</v>
      </c>
      <c r="B93" s="301">
        <v>0</v>
      </c>
      <c r="C93" s="301">
        <v>3127</v>
      </c>
      <c r="D93" s="301"/>
      <c r="E93" s="301"/>
      <c r="F93" s="301"/>
      <c r="G93" s="301"/>
      <c r="H93" s="261"/>
      <c r="I93" s="261"/>
      <c r="J93" s="265" t="s">
        <v>18</v>
      </c>
      <c r="K93" s="303">
        <v>0</v>
      </c>
      <c r="L93" s="303">
        <v>372758.78400000004</v>
      </c>
      <c r="M93" s="302"/>
      <c r="N93" s="302"/>
      <c r="O93" s="302"/>
      <c r="P93" s="302"/>
      <c r="Q93" s="261"/>
      <c r="R93" s="261"/>
    </row>
    <row r="94" spans="1:18" x14ac:dyDescent="0.35">
      <c r="A94" s="270" t="s">
        <v>19</v>
      </c>
      <c r="B94" s="301">
        <v>266</v>
      </c>
      <c r="C94" s="301">
        <v>3659</v>
      </c>
      <c r="D94" s="301"/>
      <c r="E94" s="301"/>
      <c r="F94" s="301"/>
      <c r="G94" s="301"/>
      <c r="H94" s="261"/>
      <c r="I94" s="261"/>
      <c r="J94" s="265" t="s">
        <v>19</v>
      </c>
      <c r="K94" s="303">
        <v>295259.04000000004</v>
      </c>
      <c r="L94" s="303">
        <v>438019.44400000002</v>
      </c>
      <c r="M94" s="302"/>
      <c r="N94" s="302"/>
      <c r="O94" s="302"/>
      <c r="P94" s="302"/>
      <c r="Q94" s="261"/>
      <c r="R94" s="261"/>
    </row>
    <row r="95" spans="1:18" x14ac:dyDescent="0.35">
      <c r="A95" s="270" t="s">
        <v>20</v>
      </c>
      <c r="B95" s="301">
        <v>4328</v>
      </c>
      <c r="C95" s="301">
        <v>10289</v>
      </c>
      <c r="D95" s="301"/>
      <c r="E95" s="301"/>
      <c r="F95" s="301"/>
      <c r="G95" s="301"/>
      <c r="H95" s="261"/>
      <c r="I95" s="261"/>
      <c r="J95" s="265" t="s">
        <v>20</v>
      </c>
      <c r="K95" s="303">
        <v>4580959.3199999975</v>
      </c>
      <c r="L95" s="303">
        <v>1207831.054</v>
      </c>
      <c r="M95" s="302"/>
      <c r="N95" s="302"/>
      <c r="O95" s="302"/>
      <c r="P95" s="302"/>
      <c r="Q95" s="261"/>
      <c r="R95" s="261"/>
    </row>
    <row r="96" spans="1:18" x14ac:dyDescent="0.35">
      <c r="A96" s="270" t="s">
        <v>22</v>
      </c>
      <c r="B96" s="301">
        <v>6734</v>
      </c>
      <c r="C96" s="301">
        <v>14382</v>
      </c>
      <c r="D96" s="301"/>
      <c r="E96" s="301"/>
      <c r="F96" s="301"/>
      <c r="G96" s="301"/>
      <c r="H96" s="261"/>
      <c r="I96" s="261"/>
      <c r="J96" s="265" t="s">
        <v>22</v>
      </c>
      <c r="K96" s="303">
        <v>2697165.7399999998</v>
      </c>
      <c r="L96" s="303">
        <v>1665823.1396666663</v>
      </c>
      <c r="M96" s="302"/>
      <c r="N96" s="302"/>
      <c r="O96" s="302"/>
      <c r="P96" s="302"/>
      <c r="Q96" s="261"/>
      <c r="R96" s="261"/>
    </row>
    <row r="97" spans="1:18" x14ac:dyDescent="0.35">
      <c r="A97" s="270" t="s">
        <v>23</v>
      </c>
      <c r="B97" s="301">
        <v>7964</v>
      </c>
      <c r="C97" s="301">
        <v>16663</v>
      </c>
      <c r="D97" s="301"/>
      <c r="E97" s="301"/>
      <c r="F97" s="301"/>
      <c r="G97" s="301"/>
      <c r="H97" s="261"/>
      <c r="I97" s="261"/>
      <c r="J97" s="265" t="s">
        <v>23</v>
      </c>
      <c r="K97" s="303">
        <v>1444596.92</v>
      </c>
      <c r="L97" s="303">
        <v>1905768.1264999995</v>
      </c>
      <c r="M97" s="302"/>
      <c r="N97" s="302"/>
      <c r="O97" s="302"/>
      <c r="P97" s="302"/>
      <c r="Q97" s="261"/>
      <c r="R97" s="261"/>
    </row>
    <row r="98" spans="1:18" x14ac:dyDescent="0.35">
      <c r="A98" s="270" t="s">
        <v>24</v>
      </c>
      <c r="B98" s="301">
        <v>7923</v>
      </c>
      <c r="C98" s="301">
        <v>16579</v>
      </c>
      <c r="D98" s="301"/>
      <c r="E98" s="301"/>
      <c r="F98" s="301"/>
      <c r="G98" s="301"/>
      <c r="H98" s="261"/>
      <c r="I98" s="261"/>
      <c r="J98" s="265" t="s">
        <v>24</v>
      </c>
      <c r="K98" s="303">
        <v>0</v>
      </c>
      <c r="L98" s="303">
        <v>1556148.5670833332</v>
      </c>
      <c r="M98" s="302"/>
      <c r="N98" s="302"/>
      <c r="O98" s="302"/>
      <c r="P98" s="302"/>
      <c r="Q98" s="261"/>
      <c r="R98" s="261"/>
    </row>
    <row r="99" spans="1:18" x14ac:dyDescent="0.35">
      <c r="A99" s="270" t="s">
        <v>25</v>
      </c>
      <c r="B99" s="301">
        <v>7884</v>
      </c>
      <c r="C99" s="301">
        <v>16497</v>
      </c>
      <c r="D99" s="301"/>
      <c r="E99" s="301"/>
      <c r="F99" s="301"/>
      <c r="G99" s="301"/>
      <c r="H99" s="261"/>
      <c r="I99" s="261"/>
      <c r="J99" s="265" t="s">
        <v>25</v>
      </c>
      <c r="K99" s="303">
        <v>0</v>
      </c>
      <c r="L99" s="303">
        <v>1490887.9070833332</v>
      </c>
      <c r="M99" s="302"/>
      <c r="N99" s="302"/>
      <c r="O99" s="302"/>
      <c r="P99" s="302"/>
      <c r="Q99" s="261"/>
      <c r="R99" s="261"/>
    </row>
    <row r="100" spans="1:18" x14ac:dyDescent="0.35">
      <c r="A100" s="270" t="s">
        <v>26</v>
      </c>
      <c r="B100" s="301">
        <v>7847</v>
      </c>
      <c r="C100" s="301">
        <v>16417</v>
      </c>
      <c r="D100" s="301"/>
      <c r="E100" s="301"/>
      <c r="F100" s="301"/>
      <c r="G100" s="301"/>
      <c r="H100" s="261"/>
      <c r="I100" s="261"/>
      <c r="J100" s="265" t="s">
        <v>26</v>
      </c>
      <c r="K100" s="303">
        <v>0</v>
      </c>
      <c r="L100" s="303">
        <v>776505.53908333345</v>
      </c>
      <c r="M100" s="302"/>
      <c r="N100" s="302"/>
      <c r="O100" s="302"/>
      <c r="P100" s="302"/>
      <c r="Q100" s="261"/>
      <c r="R100" s="261"/>
    </row>
    <row r="101" spans="1:18" x14ac:dyDescent="0.35">
      <c r="A101" s="270" t="s">
        <v>27</v>
      </c>
      <c r="B101" s="301">
        <v>7814</v>
      </c>
      <c r="C101" s="301">
        <v>16331</v>
      </c>
      <c r="D101" s="301"/>
      <c r="E101" s="301"/>
      <c r="F101" s="301"/>
      <c r="G101" s="301"/>
      <c r="H101" s="261"/>
      <c r="I101" s="261"/>
      <c r="J101" s="265" t="s">
        <v>27</v>
      </c>
      <c r="K101" s="303">
        <v>0</v>
      </c>
      <c r="L101" s="303">
        <v>776505.53908333345</v>
      </c>
      <c r="M101" s="302"/>
      <c r="N101" s="302"/>
      <c r="O101" s="302"/>
      <c r="P101" s="302"/>
      <c r="Q101" s="261"/>
      <c r="R101" s="261"/>
    </row>
    <row r="102" spans="1:18" x14ac:dyDescent="0.35">
      <c r="A102" s="270" t="s">
        <v>28</v>
      </c>
      <c r="B102" s="301">
        <v>7770</v>
      </c>
      <c r="C102" s="301">
        <v>16247</v>
      </c>
      <c r="D102" s="301"/>
      <c r="E102" s="301"/>
      <c r="F102" s="301"/>
      <c r="G102" s="301"/>
      <c r="H102" s="261"/>
      <c r="I102" s="261"/>
      <c r="J102" s="265" t="s">
        <v>28</v>
      </c>
      <c r="K102" s="303">
        <v>0</v>
      </c>
      <c r="L102" s="303">
        <v>724155.69941666676</v>
      </c>
      <c r="M102" s="302"/>
      <c r="N102" s="302"/>
      <c r="O102" s="302"/>
      <c r="P102" s="302"/>
      <c r="Q102" s="261"/>
      <c r="R102" s="261"/>
    </row>
    <row r="103" spans="1:18" x14ac:dyDescent="0.35">
      <c r="A103" s="270" t="s">
        <v>29</v>
      </c>
      <c r="B103" s="301">
        <v>7735</v>
      </c>
      <c r="C103" s="301">
        <v>16172</v>
      </c>
      <c r="D103" s="301"/>
      <c r="E103" s="301"/>
      <c r="F103" s="301"/>
      <c r="G103" s="301"/>
      <c r="H103" s="261"/>
      <c r="I103" s="261"/>
      <c r="J103" s="265" t="s">
        <v>29</v>
      </c>
      <c r="K103" s="303">
        <v>0</v>
      </c>
      <c r="L103" s="303">
        <v>288699.29408333334</v>
      </c>
      <c r="M103" s="302"/>
      <c r="N103" s="302"/>
      <c r="O103" s="302"/>
      <c r="P103" s="302"/>
      <c r="Q103" s="261"/>
      <c r="R103" s="261"/>
    </row>
    <row r="104" spans="1:18" x14ac:dyDescent="0.35">
      <c r="A104" s="270" t="s">
        <v>30</v>
      </c>
      <c r="B104" s="301">
        <v>7693</v>
      </c>
      <c r="C104" s="301">
        <v>16090</v>
      </c>
      <c r="D104" s="301"/>
      <c r="E104" s="301"/>
      <c r="F104" s="301"/>
      <c r="G104" s="301"/>
      <c r="H104" s="261"/>
      <c r="I104" s="261"/>
      <c r="J104" s="265" t="s">
        <v>30</v>
      </c>
      <c r="K104" s="303">
        <v>0</v>
      </c>
      <c r="L104" s="303">
        <v>0</v>
      </c>
      <c r="M104" s="302"/>
      <c r="N104" s="302"/>
      <c r="O104" s="302"/>
      <c r="P104" s="302"/>
      <c r="Q104" s="261"/>
      <c r="R104" s="261"/>
    </row>
    <row r="105" spans="1:18" x14ac:dyDescent="0.35">
      <c r="A105" s="270" t="s">
        <v>31</v>
      </c>
      <c r="B105" s="301">
        <v>7653</v>
      </c>
      <c r="C105" s="301">
        <v>16011</v>
      </c>
      <c r="D105" s="301"/>
      <c r="E105" s="301"/>
      <c r="F105" s="301"/>
      <c r="G105" s="301"/>
      <c r="H105" s="261"/>
      <c r="I105" s="261"/>
      <c r="J105" s="265" t="s">
        <v>31</v>
      </c>
      <c r="K105" s="303">
        <v>0</v>
      </c>
      <c r="L105" s="303">
        <v>0</v>
      </c>
      <c r="M105" s="302"/>
      <c r="N105" s="302"/>
      <c r="O105" s="302"/>
      <c r="P105" s="302"/>
      <c r="Q105" s="261"/>
      <c r="R105" s="261"/>
    </row>
    <row r="106" spans="1:18" x14ac:dyDescent="0.35">
      <c r="A106" s="270" t="s">
        <v>32</v>
      </c>
      <c r="B106" s="301">
        <v>7618</v>
      </c>
      <c r="C106" s="301">
        <v>15651</v>
      </c>
      <c r="D106" s="301"/>
      <c r="E106" s="301"/>
      <c r="F106" s="301"/>
      <c r="G106" s="301"/>
      <c r="H106" s="261"/>
      <c r="I106" s="261"/>
      <c r="J106" s="265" t="s">
        <v>32</v>
      </c>
      <c r="K106" s="303">
        <v>0</v>
      </c>
      <c r="L106" s="303">
        <v>0</v>
      </c>
      <c r="M106" s="302"/>
      <c r="N106" s="302"/>
      <c r="O106" s="302"/>
      <c r="P106" s="302"/>
      <c r="Q106" s="261"/>
      <c r="R106" s="261"/>
    </row>
    <row r="107" spans="1:18" x14ac:dyDescent="0.35">
      <c r="A107" s="270" t="s">
        <v>33</v>
      </c>
      <c r="B107" s="301">
        <v>7573</v>
      </c>
      <c r="C107" s="301">
        <v>15574</v>
      </c>
      <c r="D107" s="301"/>
      <c r="E107" s="301"/>
      <c r="F107" s="301"/>
      <c r="G107" s="301"/>
      <c r="H107" s="261"/>
      <c r="I107" s="261"/>
      <c r="J107" s="265" t="s">
        <v>33</v>
      </c>
      <c r="K107" s="303">
        <v>0</v>
      </c>
      <c r="L107" s="303">
        <v>0</v>
      </c>
      <c r="M107" s="302"/>
      <c r="N107" s="302"/>
      <c r="O107" s="302"/>
      <c r="P107" s="302"/>
      <c r="Q107" s="261"/>
      <c r="R107" s="261"/>
    </row>
    <row r="108" spans="1:18" x14ac:dyDescent="0.35">
      <c r="A108" s="270" t="s">
        <v>34</v>
      </c>
      <c r="B108" s="301">
        <v>7542</v>
      </c>
      <c r="C108" s="301">
        <v>12868</v>
      </c>
      <c r="D108" s="301"/>
      <c r="E108" s="301"/>
      <c r="F108" s="301"/>
      <c r="G108" s="301"/>
      <c r="H108" s="261"/>
      <c r="I108" s="261"/>
      <c r="J108" s="265" t="s">
        <v>34</v>
      </c>
      <c r="K108" s="303">
        <v>0</v>
      </c>
      <c r="L108" s="303">
        <v>0</v>
      </c>
      <c r="M108" s="302"/>
      <c r="N108" s="302"/>
      <c r="O108" s="302"/>
      <c r="P108" s="302"/>
      <c r="Q108" s="261"/>
      <c r="R108" s="261"/>
    </row>
    <row r="109" spans="1:18" x14ac:dyDescent="0.35">
      <c r="A109" s="270" t="s">
        <v>35</v>
      </c>
      <c r="B109" s="301">
        <v>7252</v>
      </c>
      <c r="C109" s="301">
        <v>12298</v>
      </c>
      <c r="D109" s="301"/>
      <c r="E109" s="301"/>
      <c r="F109" s="301"/>
      <c r="G109" s="301"/>
      <c r="H109" s="261"/>
      <c r="I109" s="261"/>
      <c r="J109" s="265" t="s">
        <v>35</v>
      </c>
      <c r="K109" s="303">
        <v>0</v>
      </c>
      <c r="L109" s="303">
        <v>0</v>
      </c>
      <c r="M109" s="302"/>
      <c r="N109" s="302"/>
      <c r="O109" s="302"/>
      <c r="P109" s="302"/>
      <c r="Q109" s="261"/>
      <c r="R109" s="261"/>
    </row>
    <row r="110" spans="1:18" x14ac:dyDescent="0.35">
      <c r="A110" s="270" t="s">
        <v>36</v>
      </c>
      <c r="B110" s="301">
        <v>3448</v>
      </c>
      <c r="C110" s="301">
        <v>6073</v>
      </c>
      <c r="D110" s="301"/>
      <c r="E110" s="301"/>
      <c r="F110" s="301"/>
      <c r="G110" s="301"/>
      <c r="H110" s="261"/>
      <c r="I110" s="261"/>
      <c r="J110" s="265" t="s">
        <v>36</v>
      </c>
      <c r="K110" s="303">
        <v>0</v>
      </c>
      <c r="L110" s="303">
        <v>0</v>
      </c>
      <c r="M110" s="302"/>
      <c r="N110" s="302"/>
      <c r="O110" s="302"/>
      <c r="P110" s="302"/>
      <c r="Q110" s="261"/>
      <c r="R110" s="261"/>
    </row>
    <row r="111" spans="1:18" x14ac:dyDescent="0.35">
      <c r="A111" s="270" t="s">
        <v>37</v>
      </c>
      <c r="B111" s="301">
        <v>1176</v>
      </c>
      <c r="C111" s="301">
        <v>2196</v>
      </c>
      <c r="D111" s="301"/>
      <c r="E111" s="301"/>
      <c r="F111" s="301"/>
      <c r="G111" s="301"/>
      <c r="H111" s="261"/>
      <c r="I111" s="261"/>
      <c r="J111" s="265" t="s">
        <v>37</v>
      </c>
      <c r="K111" s="303">
        <v>0</v>
      </c>
      <c r="L111" s="303">
        <v>0</v>
      </c>
      <c r="M111" s="302"/>
      <c r="N111" s="302"/>
      <c r="O111" s="302"/>
      <c r="P111" s="302"/>
      <c r="Q111" s="261"/>
      <c r="R111" s="261"/>
    </row>
    <row r="112" spans="1:18" x14ac:dyDescent="0.35">
      <c r="A112" s="270" t="s">
        <v>38</v>
      </c>
      <c r="B112" s="301">
        <v>0</v>
      </c>
      <c r="C112" s="301">
        <v>0</v>
      </c>
      <c r="D112" s="301"/>
      <c r="E112" s="301"/>
      <c r="F112" s="301"/>
      <c r="G112" s="301"/>
      <c r="H112" s="261"/>
      <c r="I112" s="261"/>
      <c r="J112" s="265" t="s">
        <v>38</v>
      </c>
      <c r="K112" s="303">
        <v>0</v>
      </c>
      <c r="L112" s="303">
        <v>0</v>
      </c>
      <c r="M112" s="302"/>
      <c r="N112" s="302"/>
      <c r="O112" s="302"/>
      <c r="P112" s="302"/>
      <c r="Q112" s="261"/>
      <c r="R112" s="261"/>
    </row>
    <row r="113" spans="1:18" x14ac:dyDescent="0.35">
      <c r="A113" s="270" t="s">
        <v>39</v>
      </c>
      <c r="B113" s="301">
        <v>0</v>
      </c>
      <c r="C113" s="301">
        <v>0</v>
      </c>
      <c r="D113" s="301"/>
      <c r="E113" s="301"/>
      <c r="F113" s="301"/>
      <c r="G113" s="301"/>
      <c r="H113" s="261"/>
      <c r="I113" s="261"/>
      <c r="J113" s="265" t="s">
        <v>39</v>
      </c>
      <c r="K113" s="303">
        <v>0</v>
      </c>
      <c r="L113" s="303">
        <v>0</v>
      </c>
      <c r="M113" s="302"/>
      <c r="N113" s="302"/>
      <c r="O113" s="302"/>
      <c r="P113" s="302"/>
      <c r="Q113" s="261"/>
      <c r="R113" s="261"/>
    </row>
    <row r="114" spans="1:18" x14ac:dyDescent="0.35">
      <c r="A114" s="270" t="s">
        <v>40</v>
      </c>
      <c r="B114" s="301">
        <v>0</v>
      </c>
      <c r="C114" s="301">
        <v>0</v>
      </c>
      <c r="D114" s="301"/>
      <c r="E114" s="301"/>
      <c r="F114" s="301"/>
      <c r="G114" s="301"/>
      <c r="H114" s="261"/>
      <c r="I114" s="261"/>
      <c r="J114" s="265" t="s">
        <v>40</v>
      </c>
      <c r="K114" s="303">
        <v>0</v>
      </c>
      <c r="L114" s="303">
        <v>0</v>
      </c>
      <c r="M114" s="302"/>
      <c r="N114" s="302"/>
      <c r="O114" s="302"/>
      <c r="P114" s="302"/>
      <c r="Q114" s="261"/>
      <c r="R114" s="261"/>
    </row>
    <row r="115" spans="1:18" x14ac:dyDescent="0.35">
      <c r="A115" s="270" t="s">
        <v>163</v>
      </c>
      <c r="B115" s="301">
        <v>0</v>
      </c>
      <c r="C115" s="301">
        <v>0</v>
      </c>
      <c r="D115" s="301"/>
      <c r="E115" s="301"/>
      <c r="F115" s="301"/>
      <c r="G115" s="301"/>
      <c r="H115" s="261"/>
      <c r="I115" s="261"/>
      <c r="J115" s="265" t="s">
        <v>163</v>
      </c>
      <c r="K115" s="303"/>
      <c r="L115" s="303"/>
      <c r="M115" s="302"/>
      <c r="N115" s="302"/>
      <c r="O115" s="302"/>
      <c r="P115" s="302"/>
      <c r="Q115" s="261"/>
      <c r="R115" s="261"/>
    </row>
    <row r="116" spans="1:18" x14ac:dyDescent="0.35">
      <c r="A116" s="270" t="s">
        <v>183</v>
      </c>
      <c r="B116" s="301">
        <v>0</v>
      </c>
      <c r="C116" s="301">
        <v>0</v>
      </c>
      <c r="D116" s="301"/>
      <c r="E116" s="301"/>
      <c r="F116" s="301"/>
      <c r="G116" s="301"/>
      <c r="H116" s="261"/>
      <c r="I116" s="261"/>
      <c r="J116" s="265" t="s">
        <v>183</v>
      </c>
      <c r="K116" s="303"/>
      <c r="L116" s="303"/>
      <c r="M116" s="302"/>
      <c r="N116" s="302"/>
      <c r="O116" s="302"/>
      <c r="P116" s="302"/>
      <c r="Q116" s="261"/>
      <c r="R116" s="261"/>
    </row>
  </sheetData>
  <pageMargins left="0.7" right="0.7" top="0.75" bottom="0.75" header="0.3" footer="0.3"/>
  <pageSetup scale="35" fitToHeight="3" orientation="portrait" r:id="rId1"/>
  <customProperties>
    <customPr name="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CB913-FDFD-49DA-AF1D-5FCC39021B6C}">
  <sheetPr>
    <pageSetUpPr fitToPage="1"/>
  </sheetPr>
  <dimension ref="A1:AO146"/>
  <sheetViews>
    <sheetView topLeftCell="A75" zoomScaleNormal="100" workbookViewId="0">
      <pane xSplit="1" topLeftCell="B1" activePane="topRight" state="frozen"/>
      <selection activeCell="L3" sqref="L3"/>
      <selection pane="topRight" activeCell="J61" sqref="J61:J72"/>
    </sheetView>
  </sheetViews>
  <sheetFormatPr defaultRowHeight="14.5" x14ac:dyDescent="0.35"/>
  <cols>
    <col min="1" max="1" width="17.453125" bestFit="1" customWidth="1"/>
    <col min="2" max="3" width="14.453125" bestFit="1" customWidth="1"/>
    <col min="4" max="4" width="12.54296875" bestFit="1" customWidth="1"/>
    <col min="5" max="7" width="12.54296875" customWidth="1"/>
    <col min="8" max="8" width="23.453125" customWidth="1"/>
    <col min="9" max="9" width="13.1796875" customWidth="1"/>
    <col min="10" max="10" width="10.54296875" customWidth="1"/>
    <col min="11" max="11" width="14.453125" bestFit="1" customWidth="1"/>
    <col min="12" max="12" width="18" customWidth="1"/>
    <col min="13" max="13" width="17.54296875" customWidth="1"/>
    <col min="14" max="14" width="18.453125" bestFit="1" customWidth="1"/>
    <col min="15" max="15" width="16.1796875" customWidth="1"/>
    <col min="16" max="16" width="21.81640625" bestFit="1" customWidth="1"/>
    <col min="17" max="17" width="12.54296875" customWidth="1"/>
    <col min="18" max="18" width="39.54296875" bestFit="1" customWidth="1"/>
    <col min="19" max="19" width="24.54296875" bestFit="1" customWidth="1"/>
    <col min="20" max="20" width="25" bestFit="1" customWidth="1"/>
    <col min="21" max="21" width="19.54296875" bestFit="1" customWidth="1"/>
    <col min="22" max="22" width="17.54296875" bestFit="1" customWidth="1"/>
    <col min="23" max="23" width="24" bestFit="1" customWidth="1"/>
    <col min="24" max="24" width="22.453125" bestFit="1" customWidth="1"/>
    <col min="25" max="25" width="19.54296875" bestFit="1" customWidth="1"/>
    <col min="26" max="26" width="23.54296875" bestFit="1" customWidth="1"/>
    <col min="27" max="27" width="18.453125" bestFit="1" customWidth="1"/>
    <col min="28" max="28" width="15.453125" bestFit="1" customWidth="1"/>
    <col min="29" max="29" width="15.54296875" bestFit="1" customWidth="1"/>
    <col min="30" max="30" width="14.453125" bestFit="1" customWidth="1"/>
    <col min="31" max="31" width="14.453125" customWidth="1"/>
    <col min="32" max="32" width="21" bestFit="1" customWidth="1"/>
    <col min="33" max="33" width="20.54296875" bestFit="1" customWidth="1"/>
    <col min="34" max="34" width="14.54296875" bestFit="1" customWidth="1"/>
    <col min="35" max="35" width="14.54296875" customWidth="1"/>
    <col min="36" max="36" width="11" bestFit="1" customWidth="1"/>
    <col min="37" max="37" width="11" customWidth="1"/>
    <col min="38" max="38" width="17.54296875" customWidth="1"/>
    <col min="39" max="39" width="12.1796875" bestFit="1" customWidth="1"/>
    <col min="40" max="40" width="13.54296875" bestFit="1" customWidth="1"/>
  </cols>
  <sheetData>
    <row r="1" spans="1:41" x14ac:dyDescent="0.35">
      <c r="A1" t="s">
        <v>174</v>
      </c>
      <c r="B1" s="170" t="s">
        <v>186</v>
      </c>
      <c r="C1" s="170"/>
      <c r="D1" s="170"/>
      <c r="E1" s="170"/>
      <c r="F1" s="170"/>
      <c r="G1" s="170"/>
      <c r="H1" s="170"/>
      <c r="I1" s="170"/>
      <c r="J1" s="170"/>
      <c r="K1" s="170"/>
      <c r="L1" s="170"/>
      <c r="M1" s="170"/>
      <c r="N1" s="170"/>
      <c r="O1" s="170"/>
      <c r="P1" s="170"/>
      <c r="Q1" s="170"/>
      <c r="R1" s="170"/>
      <c r="S1" s="170"/>
      <c r="T1" s="170"/>
      <c r="U1" s="170"/>
      <c r="V1" s="191" t="s">
        <v>91</v>
      </c>
      <c r="W1" s="191"/>
      <c r="X1" s="191"/>
      <c r="Y1" s="191"/>
      <c r="Z1" s="191"/>
      <c r="AA1" s="191"/>
      <c r="AB1" s="191"/>
      <c r="AC1" s="191"/>
      <c r="AD1" s="191"/>
      <c r="AE1" s="191"/>
      <c r="AF1" s="191"/>
    </row>
    <row r="2" spans="1:41" ht="29" x14ac:dyDescent="0.35">
      <c r="A2" s="184" t="s">
        <v>1</v>
      </c>
      <c r="B2" s="1" t="s">
        <v>187</v>
      </c>
      <c r="C2" s="1" t="s">
        <v>188</v>
      </c>
      <c r="D2" s="1" t="s">
        <v>189</v>
      </c>
      <c r="E2" s="1" t="s">
        <v>180</v>
      </c>
      <c r="F2" s="1" t="s">
        <v>181</v>
      </c>
      <c r="G2" s="1" t="s">
        <v>182</v>
      </c>
      <c r="H2" s="24" t="s">
        <v>190</v>
      </c>
      <c r="I2" s="184" t="s">
        <v>338</v>
      </c>
      <c r="J2" s="184" t="s">
        <v>339</v>
      </c>
      <c r="K2" s="184" t="s">
        <v>191</v>
      </c>
      <c r="L2" s="184" t="s">
        <v>192</v>
      </c>
      <c r="M2" s="184" t="s">
        <v>193</v>
      </c>
      <c r="N2" s="184" t="s">
        <v>194</v>
      </c>
      <c r="O2" s="184" t="s">
        <v>195</v>
      </c>
      <c r="P2" s="184" t="s">
        <v>196</v>
      </c>
      <c r="Q2" s="240" t="s">
        <v>197</v>
      </c>
      <c r="R2" s="24" t="s">
        <v>198</v>
      </c>
      <c r="S2" s="24" t="s">
        <v>199</v>
      </c>
      <c r="T2" s="24" t="s">
        <v>200</v>
      </c>
      <c r="U2" s="24" t="s">
        <v>201</v>
      </c>
      <c r="V2" s="184" t="s">
        <v>129</v>
      </c>
      <c r="W2" s="184" t="s">
        <v>135</v>
      </c>
      <c r="X2" s="25" t="s">
        <v>144</v>
      </c>
      <c r="Y2" s="184" t="s">
        <v>149</v>
      </c>
      <c r="Z2" s="25" t="s">
        <v>153</v>
      </c>
      <c r="AA2" s="25" t="s">
        <v>156</v>
      </c>
      <c r="AB2" s="184" t="s">
        <v>86</v>
      </c>
      <c r="AC2" s="184" t="s">
        <v>87</v>
      </c>
      <c r="AD2" s="184" t="s">
        <v>82</v>
      </c>
      <c r="AE2" s="184" t="s">
        <v>202</v>
      </c>
      <c r="AF2" s="25" t="s">
        <v>203</v>
      </c>
      <c r="AG2" s="193" t="s">
        <v>204</v>
      </c>
      <c r="AH2" s="24" t="s">
        <v>205</v>
      </c>
      <c r="AI2" s="24" t="s">
        <v>206</v>
      </c>
      <c r="AJ2" s="311" t="s">
        <v>335</v>
      </c>
      <c r="AK2" s="312"/>
      <c r="AL2" s="76" t="s">
        <v>207</v>
      </c>
      <c r="AM2" s="76" t="s">
        <v>208</v>
      </c>
      <c r="AN2" t="s">
        <v>209</v>
      </c>
      <c r="AO2" t="s">
        <v>210</v>
      </c>
    </row>
    <row r="3" spans="1:41" x14ac:dyDescent="0.35">
      <c r="A3" s="184"/>
      <c r="B3" s="184"/>
      <c r="C3" s="184"/>
      <c r="D3" s="184"/>
      <c r="E3" s="184"/>
      <c r="F3" s="184"/>
      <c r="G3" s="184"/>
      <c r="H3" s="24"/>
      <c r="I3" s="184"/>
      <c r="J3" s="184"/>
      <c r="K3" s="184"/>
      <c r="L3" s="184"/>
      <c r="M3" s="184"/>
      <c r="N3" s="184"/>
      <c r="O3" s="184"/>
      <c r="P3" s="184"/>
      <c r="Q3" s="184"/>
      <c r="R3" s="24"/>
      <c r="S3" s="24"/>
      <c r="T3" s="24"/>
      <c r="U3" s="24"/>
      <c r="V3" s="184"/>
      <c r="W3" s="184"/>
      <c r="X3" s="184"/>
      <c r="Y3" s="184"/>
      <c r="Z3" s="184"/>
      <c r="AA3" s="184"/>
      <c r="AB3" s="184"/>
      <c r="AC3" s="184"/>
      <c r="AD3" s="184"/>
      <c r="AE3" s="184"/>
      <c r="AF3" s="184"/>
      <c r="AG3" s="24"/>
      <c r="AH3" s="24"/>
      <c r="AI3" s="24"/>
    </row>
    <row r="4" spans="1:41" x14ac:dyDescent="0.35">
      <c r="A4" s="177" t="s">
        <v>17</v>
      </c>
      <c r="B4" s="178">
        <f>'ABP Under Contract'!B4</f>
        <v>177233</v>
      </c>
      <c r="C4" s="178">
        <f>'ABP Under Contract'!C4</f>
        <v>355988</v>
      </c>
      <c r="D4" s="178">
        <f>'ABP Under Contract'!D4</f>
        <v>127823</v>
      </c>
      <c r="E4" s="178">
        <f>'ABP Under Contract'!E4</f>
        <v>0</v>
      </c>
      <c r="F4" s="178">
        <f>'ABP Under Contract'!F4</f>
        <v>0</v>
      </c>
      <c r="G4" s="178">
        <f>'ABP Under Contract'!G4</f>
        <v>0</v>
      </c>
      <c r="H4" s="174">
        <f>SUM(B4:G4)</f>
        <v>661044</v>
      </c>
      <c r="I4" s="178">
        <v>1830409</v>
      </c>
      <c r="J4" s="178">
        <v>31316</v>
      </c>
      <c r="K4" s="178">
        <v>3273</v>
      </c>
      <c r="L4" s="178">
        <v>730000</v>
      </c>
      <c r="M4" s="178">
        <f>M33+M61+M89</f>
        <v>24313.292300000001</v>
      </c>
      <c r="N4" s="178" cm="1">
        <f t="array" ref="N4:P27">TRANSPOSE('Indexed REC Activities'!C74:Z76)</f>
        <v>0</v>
      </c>
      <c r="O4" s="178">
        <v>0</v>
      </c>
      <c r="P4" s="178">
        <v>0</v>
      </c>
      <c r="Q4" s="178">
        <v>58271.600000000006</v>
      </c>
      <c r="R4" s="174">
        <f t="shared" ref="R4:R26" si="0">SUM(I4:Q4)</f>
        <v>2677582.8922999999</v>
      </c>
      <c r="S4" s="174">
        <f>H4+J4+K4+M4+O4+P4+Q4</f>
        <v>778217.89229999995</v>
      </c>
      <c r="T4" s="174">
        <f>I4+L4+N4</f>
        <v>2560409</v>
      </c>
      <c r="U4" s="174">
        <f t="shared" ref="U4:U27" si="1">H4+R4</f>
        <v>3338626.8922999999</v>
      </c>
      <c r="V4" s="26"/>
      <c r="W4" s="26"/>
      <c r="X4" s="26"/>
      <c r="Y4" s="26"/>
      <c r="Z4" s="26"/>
      <c r="AA4" s="26"/>
      <c r="AB4" s="26" cm="1">
        <f t="array" ref="AB4:AD27">TRANSPOSE('Indexed REC Activities'!C80:Z82)</f>
        <v>0</v>
      </c>
      <c r="AC4" s="26">
        <v>0</v>
      </c>
      <c r="AD4" s="26">
        <v>0</v>
      </c>
      <c r="AE4" s="26"/>
      <c r="AF4" s="26"/>
      <c r="AG4" s="174">
        <f>SUM(V4:AF4)</f>
        <v>0</v>
      </c>
      <c r="AH4" s="174">
        <f>H4+R4+AG4</f>
        <v>3338626.8922999999</v>
      </c>
      <c r="AI4" s="192">
        <f>AH4/'Collections and ACP'!E7</f>
        <v>2.7625640640182855E-2</v>
      </c>
      <c r="AJ4" s="185">
        <v>2839962.8922999999</v>
      </c>
      <c r="AK4" s="185">
        <f>AH4-AJ4</f>
        <v>498664</v>
      </c>
      <c r="AL4" s="172">
        <f>H4+J4+K4+M4+Q4+V4+W4+X4+Y4+Z4+AA4+AC4+AD4+AF4+O4+P4+AE4</f>
        <v>778217.89229999995</v>
      </c>
      <c r="AM4" s="172">
        <f>I4+L4+AB4+N4</f>
        <v>2560409</v>
      </c>
      <c r="AN4" s="105">
        <f>AL4/(AL4+AM4)</f>
        <v>0.23309519673936402</v>
      </c>
      <c r="AO4" s="105">
        <f>1-AN4</f>
        <v>0.76690480326063604</v>
      </c>
    </row>
    <row r="5" spans="1:41" x14ac:dyDescent="0.35">
      <c r="A5" s="177" t="s">
        <v>18</v>
      </c>
      <c r="B5" s="178">
        <f>'ABP Under Contract'!B5</f>
        <v>234135</v>
      </c>
      <c r="C5" s="178">
        <f>'ABP Under Contract'!C5</f>
        <v>448093</v>
      </c>
      <c r="D5" s="178">
        <f>'ABP Under Contract'!D5</f>
        <v>362353</v>
      </c>
      <c r="E5" s="178">
        <f>'ABP Under Contract'!E5</f>
        <v>0</v>
      </c>
      <c r="F5" s="178">
        <f>'ABP Under Contract'!F5</f>
        <v>0</v>
      </c>
      <c r="G5" s="178">
        <f>'ABP Under Contract'!G5</f>
        <v>0</v>
      </c>
      <c r="H5" s="174">
        <f t="shared" ref="H5:H26" si="2">SUM(B5:G5)</f>
        <v>1044581</v>
      </c>
      <c r="I5" s="178">
        <v>1830409</v>
      </c>
      <c r="J5" s="178">
        <v>31316</v>
      </c>
      <c r="K5" s="178">
        <v>21732</v>
      </c>
      <c r="L5" s="178">
        <v>2065519</v>
      </c>
      <c r="M5" s="178">
        <f t="shared" ref="M5:M27" si="3">M34+M62+M90</f>
        <v>927320.57460000005</v>
      </c>
      <c r="N5" s="178">
        <v>0</v>
      </c>
      <c r="O5" s="178">
        <v>0</v>
      </c>
      <c r="P5" s="178">
        <v>0</v>
      </c>
      <c r="Q5" s="178">
        <v>65181.53333333334</v>
      </c>
      <c r="R5" s="174">
        <f t="shared" si="0"/>
        <v>4941478.1079333331</v>
      </c>
      <c r="S5" s="174">
        <f t="shared" ref="S5:S27" si="4">H5+J5+K5+M5+O5+P5+Q5</f>
        <v>2090131.1079333334</v>
      </c>
      <c r="T5" s="174">
        <f t="shared" ref="T5:T27" si="5">I5+L5+N5</f>
        <v>3895928</v>
      </c>
      <c r="U5" s="174">
        <f t="shared" si="1"/>
        <v>5986059.1079333331</v>
      </c>
      <c r="V5" s="174"/>
      <c r="W5" s="174"/>
      <c r="X5" s="174"/>
      <c r="Y5" s="174"/>
      <c r="Z5" s="174"/>
      <c r="AA5" s="174"/>
      <c r="AB5" s="174">
        <v>0</v>
      </c>
      <c r="AC5" s="174">
        <v>0</v>
      </c>
      <c r="AD5" s="174">
        <v>0</v>
      </c>
      <c r="AE5" s="27"/>
      <c r="AF5" s="27"/>
      <c r="AG5" s="174">
        <f t="shared" ref="AG5:AG26" si="6">SUM(V5:AF5)</f>
        <v>0</v>
      </c>
      <c r="AH5" s="174">
        <f t="shared" ref="AH5:AH26" si="7">H5+R5+AG5</f>
        <v>5986059.1079333331</v>
      </c>
      <c r="AI5" s="192">
        <f>AH5/'Collections and ACP'!E8</f>
        <v>4.9915674103104102E-2</v>
      </c>
      <c r="AJ5" s="185">
        <v>5490150.1079333331</v>
      </c>
      <c r="AK5" s="185">
        <f t="shared" ref="AK5:AK27" si="8">AH5-AJ5</f>
        <v>495909</v>
      </c>
      <c r="AL5" s="172">
        <f t="shared" ref="AL5:AL27" si="9">H5+J5+K5+M5+Q5+V5+W5+X5+Y5+Z5+AA5+AC5+AD5+AF5+O5+P5+AE5</f>
        <v>2090131.1079333334</v>
      </c>
      <c r="AM5" s="172">
        <f t="shared" ref="AM5:AM27" si="10">I5+L5+AB5+N5</f>
        <v>3895928</v>
      </c>
      <c r="AN5" s="105">
        <f t="shared" ref="AN5:AN27" si="11">AL5/(AL5+AM5)</f>
        <v>0.34916646665972267</v>
      </c>
      <c r="AO5" s="105">
        <f t="shared" ref="AO5:AO27" si="12">1-AN5</f>
        <v>0.65083353334027727</v>
      </c>
    </row>
    <row r="6" spans="1:41" x14ac:dyDescent="0.35">
      <c r="A6" s="177" t="s">
        <v>19</v>
      </c>
      <c r="B6" s="178">
        <f>'ABP Under Contract'!B6</f>
        <v>319104</v>
      </c>
      <c r="C6" s="178">
        <f>'ABP Under Contract'!C6</f>
        <v>484680</v>
      </c>
      <c r="D6" s="178">
        <f>'ABP Under Contract'!D6</f>
        <v>439942</v>
      </c>
      <c r="E6" s="178">
        <f>'ABP Under Contract'!E6</f>
        <v>0</v>
      </c>
      <c r="F6" s="178">
        <f>'ABP Under Contract'!F6</f>
        <v>0</v>
      </c>
      <c r="G6" s="178">
        <f>'ABP Under Contract'!G6</f>
        <v>0</v>
      </c>
      <c r="H6" s="174">
        <f t="shared" si="2"/>
        <v>1243726</v>
      </c>
      <c r="I6" s="178">
        <v>1830409</v>
      </c>
      <c r="J6" s="178">
        <v>31316</v>
      </c>
      <c r="K6" s="178">
        <v>5613</v>
      </c>
      <c r="L6" s="178">
        <v>2065519</v>
      </c>
      <c r="M6" s="178">
        <f t="shared" si="3"/>
        <v>1995629.5746000002</v>
      </c>
      <c r="N6" s="178">
        <v>0</v>
      </c>
      <c r="O6" s="178">
        <v>0</v>
      </c>
      <c r="P6" s="178">
        <v>0</v>
      </c>
      <c r="Q6" s="178">
        <v>64855.625666666674</v>
      </c>
      <c r="R6" s="174">
        <f t="shared" si="0"/>
        <v>5993342.2002666667</v>
      </c>
      <c r="S6" s="174">
        <f t="shared" si="4"/>
        <v>3341140.2002666667</v>
      </c>
      <c r="T6" s="174">
        <f>I6+L6+N6</f>
        <v>3895928</v>
      </c>
      <c r="U6" s="174">
        <f t="shared" si="1"/>
        <v>7237068.2002666667</v>
      </c>
      <c r="V6" s="28"/>
      <c r="W6" s="28"/>
      <c r="X6" s="28"/>
      <c r="Y6" s="28"/>
      <c r="Z6" s="28"/>
      <c r="AA6" s="28"/>
      <c r="AB6" s="29">
        <v>0</v>
      </c>
      <c r="AC6" s="29">
        <v>0</v>
      </c>
      <c r="AD6" s="29">
        <v>0</v>
      </c>
      <c r="AE6" s="29"/>
      <c r="AF6" s="29"/>
      <c r="AG6" s="174">
        <f t="shared" si="6"/>
        <v>0</v>
      </c>
      <c r="AH6" s="174">
        <f t="shared" si="7"/>
        <v>7237068.2002666667</v>
      </c>
      <c r="AI6" s="192">
        <f>AH6/'Collections and ACP'!E9</f>
        <v>6.0157341501462847E-2</v>
      </c>
      <c r="AJ6" s="185">
        <v>6755290.2002666667</v>
      </c>
      <c r="AK6" s="185">
        <f t="shared" si="8"/>
        <v>481778</v>
      </c>
      <c r="AL6" s="172">
        <f t="shared" si="9"/>
        <v>3341140.2002666667</v>
      </c>
      <c r="AM6" s="172">
        <f t="shared" si="10"/>
        <v>3895928</v>
      </c>
      <c r="AN6" s="105">
        <f t="shared" si="11"/>
        <v>0.46167040406549636</v>
      </c>
      <c r="AO6" s="105">
        <f t="shared" si="12"/>
        <v>0.53832959593450358</v>
      </c>
    </row>
    <row r="7" spans="1:41" x14ac:dyDescent="0.35">
      <c r="A7" s="177" t="s">
        <v>20</v>
      </c>
      <c r="B7" s="178">
        <f>'ABP Under Contract'!B7</f>
        <v>554850</v>
      </c>
      <c r="C7" s="178">
        <f>'ABP Under Contract'!C7</f>
        <v>645849</v>
      </c>
      <c r="D7" s="178">
        <f>'ABP Under Contract'!D7</f>
        <v>662729</v>
      </c>
      <c r="E7" s="178">
        <f>'ABP Under Contract'!E7</f>
        <v>0</v>
      </c>
      <c r="F7" s="178">
        <f>'ABP Under Contract'!F7</f>
        <v>0</v>
      </c>
      <c r="G7" s="178">
        <f>'ABP Under Contract'!G7</f>
        <v>0</v>
      </c>
      <c r="H7" s="174">
        <f t="shared" si="2"/>
        <v>1863428</v>
      </c>
      <c r="I7" s="178">
        <v>1830409</v>
      </c>
      <c r="J7" s="178">
        <v>31316</v>
      </c>
      <c r="K7" s="30"/>
      <c r="L7" s="178">
        <v>2065519</v>
      </c>
      <c r="M7" s="178">
        <f t="shared" si="3"/>
        <v>1995629.5746000002</v>
      </c>
      <c r="N7" s="178">
        <v>0</v>
      </c>
      <c r="O7" s="178">
        <v>0</v>
      </c>
      <c r="P7" s="178">
        <v>0</v>
      </c>
      <c r="Q7" s="178">
        <v>64531.347538333343</v>
      </c>
      <c r="R7" s="174">
        <f t="shared" si="0"/>
        <v>5987404.9221383333</v>
      </c>
      <c r="S7" s="174">
        <f t="shared" si="4"/>
        <v>3954904.9221383333</v>
      </c>
      <c r="T7" s="174">
        <f t="shared" si="5"/>
        <v>3895928</v>
      </c>
      <c r="U7" s="174">
        <f t="shared" si="1"/>
        <v>7850832.9221383333</v>
      </c>
      <c r="V7" s="28"/>
      <c r="W7" s="28"/>
      <c r="X7" s="28"/>
      <c r="Y7" s="28"/>
      <c r="Z7" s="28"/>
      <c r="AA7" s="28"/>
      <c r="AB7" s="29">
        <v>0</v>
      </c>
      <c r="AC7" s="29">
        <v>0</v>
      </c>
      <c r="AD7" s="29">
        <v>0</v>
      </c>
      <c r="AE7" s="29"/>
      <c r="AF7" s="29">
        <v>47000</v>
      </c>
      <c r="AG7" s="174">
        <f>SUM(V7:AF7)</f>
        <v>47000</v>
      </c>
      <c r="AH7" s="174">
        <f>H7+R7+AG7</f>
        <v>7897832.9221383333</v>
      </c>
      <c r="AI7" s="192">
        <f>AH7/'Collections and ACP'!E10</f>
        <v>6.6769764862293107E-2</v>
      </c>
      <c r="AJ7" s="185">
        <v>7191317.9221383333</v>
      </c>
      <c r="AK7" s="185">
        <f t="shared" si="8"/>
        <v>706515</v>
      </c>
      <c r="AL7" s="172">
        <f t="shared" si="9"/>
        <v>4001904.9221383333</v>
      </c>
      <c r="AM7" s="172">
        <f t="shared" si="10"/>
        <v>3895928</v>
      </c>
      <c r="AN7" s="105">
        <f t="shared" si="11"/>
        <v>0.50670924057163014</v>
      </c>
      <c r="AO7" s="105">
        <f t="shared" si="12"/>
        <v>0.49329075942836986</v>
      </c>
    </row>
    <row r="8" spans="1:41" x14ac:dyDescent="0.35">
      <c r="A8" s="177" t="s">
        <v>22</v>
      </c>
      <c r="B8" s="178">
        <f>'ABP Under Contract'!B8</f>
        <v>637531</v>
      </c>
      <c r="C8" s="178">
        <f>'ABP Under Contract'!C8</f>
        <v>890307</v>
      </c>
      <c r="D8" s="178">
        <f>'ABP Under Contract'!D8</f>
        <v>1020217</v>
      </c>
      <c r="E8" s="178">
        <f>'ABP Under Contract'!E8</f>
        <v>1657</v>
      </c>
      <c r="F8" s="178">
        <f>'ABP Under Contract'!F8</f>
        <v>6313</v>
      </c>
      <c r="G8" s="178">
        <f>'ABP Under Contract'!G8</f>
        <v>0</v>
      </c>
      <c r="H8" s="174">
        <f t="shared" si="2"/>
        <v>2556025</v>
      </c>
      <c r="I8" s="178">
        <v>1830409</v>
      </c>
      <c r="J8" s="178">
        <v>31316</v>
      </c>
      <c r="K8" s="30"/>
      <c r="L8" s="178">
        <v>2065519</v>
      </c>
      <c r="M8" s="178">
        <f t="shared" si="3"/>
        <v>1995629.5746000002</v>
      </c>
      <c r="N8" s="178">
        <v>0</v>
      </c>
      <c r="O8" s="178">
        <v>0</v>
      </c>
      <c r="P8" s="178">
        <v>0</v>
      </c>
      <c r="Q8" s="178">
        <v>64208.690800641678</v>
      </c>
      <c r="R8" s="174">
        <f t="shared" si="0"/>
        <v>5987082.2654006416</v>
      </c>
      <c r="S8" s="174">
        <f t="shared" si="4"/>
        <v>4647179.2654006416</v>
      </c>
      <c r="T8" s="174">
        <f t="shared" si="5"/>
        <v>3895928</v>
      </c>
      <c r="U8" s="174">
        <f t="shared" si="1"/>
        <v>8543107.2654006407</v>
      </c>
      <c r="V8" s="13" cm="1">
        <f t="array" ref="V8:AA27">TRANSPOSE('Projected ABP RECs'!B164:U169)</f>
        <v>0</v>
      </c>
      <c r="W8" s="28">
        <v>101155.41433727674</v>
      </c>
      <c r="X8" s="28">
        <v>0</v>
      </c>
      <c r="Y8" s="28">
        <v>357892.72480000003</v>
      </c>
      <c r="Z8" s="28">
        <v>0</v>
      </c>
      <c r="AA8" s="28">
        <v>0</v>
      </c>
      <c r="AB8" s="29">
        <v>0</v>
      </c>
      <c r="AC8" s="29">
        <v>0</v>
      </c>
      <c r="AD8" s="29">
        <v>0</v>
      </c>
      <c r="AE8" s="29">
        <v>379110</v>
      </c>
      <c r="AF8" s="29">
        <v>93530</v>
      </c>
      <c r="AG8" s="174">
        <f>SUM(V8:AF8)</f>
        <v>931688.1391372768</v>
      </c>
      <c r="AH8" s="174">
        <f t="shared" si="7"/>
        <v>9474795.404537918</v>
      </c>
      <c r="AI8" s="192">
        <f>AH8/'Collections and ACP'!E11</f>
        <v>8.0671891321887804E-2</v>
      </c>
      <c r="AJ8" s="185">
        <v>9319906.5583002046</v>
      </c>
      <c r="AK8" s="185">
        <f t="shared" si="8"/>
        <v>154888.84623771347</v>
      </c>
      <c r="AL8" s="172">
        <f t="shared" si="9"/>
        <v>5578867.404537918</v>
      </c>
      <c r="AM8" s="172">
        <f t="shared" si="10"/>
        <v>3895928</v>
      </c>
      <c r="AN8" s="105">
        <f t="shared" si="11"/>
        <v>0.58881138497892427</v>
      </c>
      <c r="AO8" s="105">
        <f t="shared" si="12"/>
        <v>0.41118861502107573</v>
      </c>
    </row>
    <row r="9" spans="1:41" x14ac:dyDescent="0.35">
      <c r="A9" s="177" t="s">
        <v>23</v>
      </c>
      <c r="B9" s="178">
        <f>'ABP Under Contract'!B9</f>
        <v>693165</v>
      </c>
      <c r="C9" s="178">
        <f>'ABP Under Contract'!C9</f>
        <v>921681</v>
      </c>
      <c r="D9" s="178">
        <f>'ABP Under Contract'!D9</f>
        <v>1788207</v>
      </c>
      <c r="E9" s="178">
        <f>'ABP Under Contract'!E9</f>
        <v>26348</v>
      </c>
      <c r="F9" s="178">
        <f>'ABP Under Contract'!F9</f>
        <v>159651</v>
      </c>
      <c r="G9" s="178">
        <f>'ABP Under Contract'!G9</f>
        <v>613500</v>
      </c>
      <c r="H9" s="174">
        <f t="shared" si="2"/>
        <v>4202552</v>
      </c>
      <c r="I9" s="178">
        <v>1830409</v>
      </c>
      <c r="J9" s="178">
        <v>31316</v>
      </c>
      <c r="K9" s="30"/>
      <c r="L9" s="178">
        <v>2065519</v>
      </c>
      <c r="M9" s="178">
        <f t="shared" si="3"/>
        <v>1995629.5746000002</v>
      </c>
      <c r="N9" s="178">
        <v>460000</v>
      </c>
      <c r="O9" s="178">
        <v>1891521</v>
      </c>
      <c r="P9" s="178">
        <v>57870</v>
      </c>
      <c r="Q9" s="178">
        <v>63887.64734663847</v>
      </c>
      <c r="R9" s="174">
        <f t="shared" si="0"/>
        <v>8396152.2219466381</v>
      </c>
      <c r="S9" s="174">
        <f t="shared" si="4"/>
        <v>8242776.2219466381</v>
      </c>
      <c r="T9" s="174">
        <f t="shared" si="5"/>
        <v>4355928</v>
      </c>
      <c r="U9" s="174">
        <f t="shared" si="1"/>
        <v>12598704.221946638</v>
      </c>
      <c r="V9" s="13">
        <v>145906.86007555202</v>
      </c>
      <c r="W9" s="13">
        <v>255991.97699680366</v>
      </c>
      <c r="X9" s="13">
        <v>0</v>
      </c>
      <c r="Y9" s="13">
        <v>484525.38414799998</v>
      </c>
      <c r="Z9" s="13">
        <v>0</v>
      </c>
      <c r="AA9" s="13">
        <v>172602.59970134808</v>
      </c>
      <c r="AB9" s="29">
        <v>0</v>
      </c>
      <c r="AC9" s="29">
        <v>0</v>
      </c>
      <c r="AD9" s="29">
        <v>0</v>
      </c>
      <c r="AE9" s="29">
        <v>379110</v>
      </c>
      <c r="AF9" s="29">
        <v>140295</v>
      </c>
      <c r="AG9" s="174">
        <f t="shared" si="6"/>
        <v>1578431.8209217037</v>
      </c>
      <c r="AH9" s="174">
        <f t="shared" si="7"/>
        <v>14177136.042868342</v>
      </c>
      <c r="AI9" s="192">
        <f>AH9/'Collections and ACP'!E12</f>
        <v>0.12220703973573568</v>
      </c>
      <c r="AJ9" s="185">
        <v>13756961.622285817</v>
      </c>
      <c r="AK9" s="185">
        <f t="shared" si="8"/>
        <v>420174.42058252543</v>
      </c>
      <c r="AL9" s="172">
        <f t="shared" si="9"/>
        <v>9821208.0428683423</v>
      </c>
      <c r="AM9" s="172">
        <f t="shared" si="10"/>
        <v>4355928</v>
      </c>
      <c r="AN9" s="105">
        <f t="shared" si="11"/>
        <v>0.69274979186002783</v>
      </c>
      <c r="AO9" s="105">
        <f t="shared" si="12"/>
        <v>0.30725020813997217</v>
      </c>
    </row>
    <row r="10" spans="1:41" x14ac:dyDescent="0.35">
      <c r="A10" s="177" t="s">
        <v>24</v>
      </c>
      <c r="B10" s="178">
        <f>'ABP Under Contract'!B10</f>
        <v>689447</v>
      </c>
      <c r="C10" s="178">
        <f>'ABP Under Contract'!C10</f>
        <v>917026</v>
      </c>
      <c r="D10" s="178">
        <f>'ABP Under Contract'!D10</f>
        <v>1779264</v>
      </c>
      <c r="E10" s="178">
        <f>'ABP Under Contract'!E10</f>
        <v>26215</v>
      </c>
      <c r="F10" s="178">
        <f>'ABP Under Contract'!F10</f>
        <v>158852</v>
      </c>
      <c r="G10" s="178">
        <f>'ABP Under Contract'!G10</f>
        <v>610433</v>
      </c>
      <c r="H10" s="174">
        <f t="shared" si="2"/>
        <v>4181237</v>
      </c>
      <c r="I10" s="178">
        <v>1830409</v>
      </c>
      <c r="J10" s="178">
        <v>31316</v>
      </c>
      <c r="K10" s="30"/>
      <c r="L10" s="178">
        <v>2065519</v>
      </c>
      <c r="M10" s="178">
        <f t="shared" si="3"/>
        <v>1995629.5746000002</v>
      </c>
      <c r="N10" s="178">
        <v>460000</v>
      </c>
      <c r="O10" s="178">
        <v>4133071.395</v>
      </c>
      <c r="P10" s="178">
        <v>163324.65</v>
      </c>
      <c r="Q10" s="178">
        <v>63568.209109905278</v>
      </c>
      <c r="R10" s="174">
        <f t="shared" si="0"/>
        <v>10742837.828709906</v>
      </c>
      <c r="S10" s="174">
        <f t="shared" si="4"/>
        <v>10568146.828709906</v>
      </c>
      <c r="T10" s="174">
        <f t="shared" si="5"/>
        <v>4355928</v>
      </c>
      <c r="U10" s="174">
        <f t="shared" si="1"/>
        <v>14924074.828709906</v>
      </c>
      <c r="V10" s="13">
        <v>291084.18585072627</v>
      </c>
      <c r="W10" s="13">
        <v>410054.35684303287</v>
      </c>
      <c r="X10" s="13">
        <v>266722.870788</v>
      </c>
      <c r="Y10" s="13">
        <v>610524.88019926008</v>
      </c>
      <c r="Z10" s="13">
        <v>39514.499376</v>
      </c>
      <c r="AA10" s="13">
        <v>344342.18640418944</v>
      </c>
      <c r="AB10" s="29">
        <v>0</v>
      </c>
      <c r="AC10" s="29">
        <v>0</v>
      </c>
      <c r="AD10" s="29">
        <v>0</v>
      </c>
      <c r="AE10" s="29">
        <v>379110</v>
      </c>
      <c r="AF10" s="29">
        <v>187060</v>
      </c>
      <c r="AG10" s="174">
        <f t="shared" si="6"/>
        <v>2528412.9794612085</v>
      </c>
      <c r="AH10" s="174">
        <f t="shared" si="7"/>
        <v>17452487.808171116</v>
      </c>
      <c r="AI10" s="192">
        <f>AH10/'Collections and ACP'!E13</f>
        <v>0.15142515162667955</v>
      </c>
      <c r="AJ10" s="185">
        <v>16967213.8996915</v>
      </c>
      <c r="AK10" s="185">
        <f t="shared" si="8"/>
        <v>485273.90847961605</v>
      </c>
      <c r="AL10" s="172">
        <f t="shared" si="9"/>
        <v>13096559.808171114</v>
      </c>
      <c r="AM10" s="172">
        <f t="shared" si="10"/>
        <v>4355928</v>
      </c>
      <c r="AN10" s="105">
        <f t="shared" si="11"/>
        <v>0.7504122020953029</v>
      </c>
      <c r="AO10" s="105">
        <f t="shared" si="12"/>
        <v>0.2495877979046971</v>
      </c>
    </row>
    <row r="11" spans="1:41" x14ac:dyDescent="0.35">
      <c r="A11" s="177" t="s">
        <v>25</v>
      </c>
      <c r="B11" s="178">
        <f>'ABP Under Contract'!B11</f>
        <v>685820</v>
      </c>
      <c r="C11" s="178">
        <f>'ABP Under Contract'!C11</f>
        <v>912434</v>
      </c>
      <c r="D11" s="178">
        <f>'ABP Under Contract'!D11</f>
        <v>1770369</v>
      </c>
      <c r="E11" s="178">
        <f>'ABP Under Contract'!E11</f>
        <v>26085</v>
      </c>
      <c r="F11" s="178">
        <f>'ABP Under Contract'!F11</f>
        <v>158054</v>
      </c>
      <c r="G11" s="178">
        <f>'ABP Under Contract'!G11</f>
        <v>607379</v>
      </c>
      <c r="H11" s="174">
        <f t="shared" si="2"/>
        <v>4160141</v>
      </c>
      <c r="I11" s="178">
        <v>1830409</v>
      </c>
      <c r="J11" s="178">
        <v>31316</v>
      </c>
      <c r="K11" s="30"/>
      <c r="L11" s="178">
        <v>2065519</v>
      </c>
      <c r="M11" s="178">
        <f t="shared" si="3"/>
        <v>1995629.5746000002</v>
      </c>
      <c r="N11" s="178">
        <v>1288463</v>
      </c>
      <c r="O11" s="178">
        <v>4112406.0380250001</v>
      </c>
      <c r="P11" s="178">
        <v>162508.02674999999</v>
      </c>
      <c r="Q11" s="178">
        <v>63250.368064355753</v>
      </c>
      <c r="R11" s="174">
        <f t="shared" si="0"/>
        <v>11549501.007439354</v>
      </c>
      <c r="S11" s="174">
        <f t="shared" si="4"/>
        <v>10525251.007439354</v>
      </c>
      <c r="T11" s="174">
        <f t="shared" si="5"/>
        <v>5184391</v>
      </c>
      <c r="U11" s="174">
        <f t="shared" si="1"/>
        <v>15709642.007439354</v>
      </c>
      <c r="V11" s="13">
        <v>435535.62499702466</v>
      </c>
      <c r="W11" s="13">
        <v>563346.42479003104</v>
      </c>
      <c r="X11" s="13">
        <v>532112.12722205999</v>
      </c>
      <c r="Y11" s="13">
        <v>735894.37877026363</v>
      </c>
      <c r="Z11" s="13">
        <v>78831.426255119994</v>
      </c>
      <c r="AA11" s="13">
        <v>515223.07517351652</v>
      </c>
      <c r="AB11" s="29">
        <v>6233332</v>
      </c>
      <c r="AC11" s="29">
        <v>1333332</v>
      </c>
      <c r="AD11" s="29">
        <v>86666</v>
      </c>
      <c r="AE11" s="29">
        <v>379110</v>
      </c>
      <c r="AF11" s="29">
        <v>233825</v>
      </c>
      <c r="AG11" s="174">
        <f t="shared" si="6"/>
        <v>11127208.057208017</v>
      </c>
      <c r="AH11" s="174">
        <f t="shared" si="7"/>
        <v>26836850.064647369</v>
      </c>
      <c r="AI11" s="192">
        <f>AH11/'Collections and ACP'!E14</f>
        <v>0.2332430975919903</v>
      </c>
      <c r="AJ11" s="185">
        <v>26963739.245710157</v>
      </c>
      <c r="AK11" s="185">
        <f t="shared" si="8"/>
        <v>-126889.18106278777</v>
      </c>
      <c r="AL11" s="172">
        <f t="shared" si="9"/>
        <v>15419127.064647371</v>
      </c>
      <c r="AM11" s="172">
        <f t="shared" si="10"/>
        <v>11417723</v>
      </c>
      <c r="AN11" s="105">
        <f t="shared" si="11"/>
        <v>0.57455055371640817</v>
      </c>
      <c r="AO11" s="105">
        <f t="shared" si="12"/>
        <v>0.42544944628359183</v>
      </c>
    </row>
    <row r="12" spans="1:41" x14ac:dyDescent="0.35">
      <c r="A12" s="177" t="s">
        <v>26</v>
      </c>
      <c r="B12" s="178">
        <f>'ABP Under Contract'!B12</f>
        <v>682297</v>
      </c>
      <c r="C12" s="178">
        <f>'ABP Under Contract'!C12</f>
        <v>907898</v>
      </c>
      <c r="D12" s="178">
        <f>'ABP Under Contract'!D12</f>
        <v>1761514</v>
      </c>
      <c r="E12" s="178">
        <f>'ABP Under Contract'!E12</f>
        <v>25954</v>
      </c>
      <c r="F12" s="178">
        <f>'ABP Under Contract'!F12</f>
        <v>157265</v>
      </c>
      <c r="G12" s="178">
        <f>'ABP Under Contract'!G12</f>
        <v>604344</v>
      </c>
      <c r="H12" s="174">
        <f>SUM(B12:G12)</f>
        <v>4139272</v>
      </c>
      <c r="I12" s="178">
        <v>1830409</v>
      </c>
      <c r="J12" s="178">
        <v>31316</v>
      </c>
      <c r="K12" s="30"/>
      <c r="L12" s="178">
        <v>2065519</v>
      </c>
      <c r="M12" s="178">
        <f t="shared" si="3"/>
        <v>1995629.5746000002</v>
      </c>
      <c r="N12" s="178">
        <v>1288463</v>
      </c>
      <c r="O12" s="178">
        <v>4091844.007834875</v>
      </c>
      <c r="P12" s="178">
        <v>161695.48661625001</v>
      </c>
      <c r="Q12" s="178">
        <v>62934.116224033976</v>
      </c>
      <c r="R12" s="174">
        <f t="shared" si="0"/>
        <v>11527810.185275158</v>
      </c>
      <c r="S12" s="174">
        <f t="shared" si="4"/>
        <v>10482691.185275158</v>
      </c>
      <c r="T12" s="174">
        <f t="shared" si="5"/>
        <v>5184391</v>
      </c>
      <c r="U12" s="174">
        <f t="shared" si="1"/>
        <v>15667082.185275158</v>
      </c>
      <c r="V12" s="13">
        <v>579264.80694759148</v>
      </c>
      <c r="W12" s="13">
        <v>715872.03239729407</v>
      </c>
      <c r="X12" s="13">
        <v>796174.43737394968</v>
      </c>
      <c r="Y12" s="13">
        <v>860637.02984841238</v>
      </c>
      <c r="Z12" s="13">
        <v>117951.76849984439</v>
      </c>
      <c r="AA12" s="13">
        <v>685249.55949899706</v>
      </c>
      <c r="AB12" s="29">
        <v>8733332</v>
      </c>
      <c r="AC12" s="29">
        <v>2826665.34</v>
      </c>
      <c r="AD12" s="29">
        <v>171232.66999999998</v>
      </c>
      <c r="AE12" s="29">
        <v>379110</v>
      </c>
      <c r="AF12" s="29">
        <v>280590</v>
      </c>
      <c r="AG12" s="174">
        <f t="shared" si="6"/>
        <v>16146079.644566089</v>
      </c>
      <c r="AH12" s="174">
        <f t="shared" si="7"/>
        <v>31813161.829841249</v>
      </c>
      <c r="AI12" s="192">
        <f>AH12/'Collections and ACP'!E15</f>
        <v>0.27579190981745627</v>
      </c>
      <c r="AJ12" s="185">
        <v>31948053.689998716</v>
      </c>
      <c r="AK12" s="185">
        <f t="shared" si="8"/>
        <v>-134891.86015746742</v>
      </c>
      <c r="AL12" s="172">
        <f t="shared" si="9"/>
        <v>17895438.829841249</v>
      </c>
      <c r="AM12" s="172">
        <f t="shared" si="10"/>
        <v>13917723</v>
      </c>
      <c r="AN12" s="105">
        <f t="shared" si="11"/>
        <v>0.56251682638646261</v>
      </c>
      <c r="AO12" s="105">
        <f t="shared" si="12"/>
        <v>0.43748317361353739</v>
      </c>
    </row>
    <row r="13" spans="1:41" x14ac:dyDescent="0.35">
      <c r="A13" s="177" t="s">
        <v>27</v>
      </c>
      <c r="B13" s="178">
        <f>'ABP Under Contract'!B13</f>
        <v>678832</v>
      </c>
      <c r="C13" s="178">
        <f>'ABP Under Contract'!C13</f>
        <v>903382</v>
      </c>
      <c r="D13" s="178">
        <f>'ABP Under Contract'!D13</f>
        <v>1752698</v>
      </c>
      <c r="E13" s="178">
        <f>'ABP Under Contract'!E13</f>
        <v>25825</v>
      </c>
      <c r="F13" s="178">
        <f>'ABP Under Contract'!F13</f>
        <v>156473</v>
      </c>
      <c r="G13" s="178">
        <f>'ABP Under Contract'!G13</f>
        <v>601317</v>
      </c>
      <c r="H13" s="174">
        <f t="shared" si="2"/>
        <v>4118527</v>
      </c>
      <c r="I13" s="178">
        <v>1830409</v>
      </c>
      <c r="J13" s="178">
        <v>31316</v>
      </c>
      <c r="K13" s="30"/>
      <c r="L13" s="178">
        <v>2065519</v>
      </c>
      <c r="M13" s="178">
        <f t="shared" si="3"/>
        <v>1995629.5746000002</v>
      </c>
      <c r="N13" s="178">
        <v>1288463</v>
      </c>
      <c r="O13" s="178">
        <v>4071384.7877957006</v>
      </c>
      <c r="P13" s="178">
        <v>160887.00918316873</v>
      </c>
      <c r="Q13" s="178">
        <v>62619.445642913808</v>
      </c>
      <c r="R13" s="174">
        <f t="shared" si="0"/>
        <v>11506227.817221783</v>
      </c>
      <c r="S13" s="174">
        <f t="shared" si="4"/>
        <v>10440363.817221783</v>
      </c>
      <c r="T13" s="174">
        <f t="shared" si="5"/>
        <v>5184391</v>
      </c>
      <c r="U13" s="174">
        <f t="shared" si="1"/>
        <v>15624754.817221783</v>
      </c>
      <c r="V13" s="13">
        <v>722275.34298840561</v>
      </c>
      <c r="W13" s="13">
        <v>867635.01196652092</v>
      </c>
      <c r="X13" s="13">
        <v>1058916.4359750799</v>
      </c>
      <c r="Y13" s="13">
        <v>984755.96767117013</v>
      </c>
      <c r="Z13" s="13">
        <v>156876.50903334518</v>
      </c>
      <c r="AA13" s="13">
        <v>854425.9114028503</v>
      </c>
      <c r="AB13" s="29">
        <v>11233332</v>
      </c>
      <c r="AC13" s="29">
        <v>4312532.0132999998</v>
      </c>
      <c r="AD13" s="29">
        <v>255376.50665</v>
      </c>
      <c r="AE13" s="29">
        <v>379110</v>
      </c>
      <c r="AF13" s="29">
        <v>315751.65413533832</v>
      </c>
      <c r="AG13" s="174">
        <f t="shared" si="6"/>
        <v>21140987.353122711</v>
      </c>
      <c r="AH13" s="174">
        <f t="shared" si="7"/>
        <v>36765742.170344494</v>
      </c>
      <c r="AI13" s="192">
        <f>AH13/'Collections and ACP'!E16</f>
        <v>0.31847031424833139</v>
      </c>
      <c r="AJ13" s="185">
        <v>36908506.366201177</v>
      </c>
      <c r="AK13" s="185">
        <f t="shared" si="8"/>
        <v>-142764.19585668296</v>
      </c>
      <c r="AL13" s="172">
        <f t="shared" si="9"/>
        <v>20348019.170344494</v>
      </c>
      <c r="AM13" s="172">
        <f t="shared" si="10"/>
        <v>16417723</v>
      </c>
      <c r="AN13" s="105">
        <f t="shared" si="11"/>
        <v>0.55345052130505745</v>
      </c>
      <c r="AO13" s="105">
        <f t="shared" si="12"/>
        <v>0.44654947869494255</v>
      </c>
    </row>
    <row r="14" spans="1:41" x14ac:dyDescent="0.35">
      <c r="A14" s="177" t="s">
        <v>28</v>
      </c>
      <c r="B14" s="178">
        <f>'ABP Under Contract'!B14</f>
        <v>675418</v>
      </c>
      <c r="C14" s="178">
        <f>'ABP Under Contract'!C14</f>
        <v>898824</v>
      </c>
      <c r="D14" s="178">
        <f>'ABP Under Contract'!D14</f>
        <v>1743940</v>
      </c>
      <c r="E14" s="178">
        <f>'ABP Under Contract'!E14</f>
        <v>25696</v>
      </c>
      <c r="F14" s="178">
        <f>'ABP Under Contract'!F14</f>
        <v>155700</v>
      </c>
      <c r="G14" s="178">
        <f>'ABP Under Contract'!G14</f>
        <v>598311</v>
      </c>
      <c r="H14" s="174">
        <f t="shared" si="2"/>
        <v>4097889</v>
      </c>
      <c r="I14" s="178">
        <v>1830409</v>
      </c>
      <c r="J14" s="178">
        <v>31316</v>
      </c>
      <c r="K14" s="30"/>
      <c r="L14" s="178">
        <v>2065519</v>
      </c>
      <c r="M14" s="178">
        <f t="shared" si="3"/>
        <v>1995629.5746000002</v>
      </c>
      <c r="N14" s="178">
        <v>1288463</v>
      </c>
      <c r="O14" s="178">
        <v>4051027.8638567221</v>
      </c>
      <c r="P14" s="178">
        <v>160082.5741372529</v>
      </c>
      <c r="Q14" s="178">
        <v>62306.348414699241</v>
      </c>
      <c r="R14" s="174">
        <f t="shared" si="0"/>
        <v>11484753.361008674</v>
      </c>
      <c r="S14" s="174">
        <f t="shared" si="4"/>
        <v>10398251.361008674</v>
      </c>
      <c r="T14" s="174">
        <f t="shared" si="5"/>
        <v>5184391</v>
      </c>
      <c r="U14" s="174">
        <f t="shared" si="1"/>
        <v>15582642.361008674</v>
      </c>
      <c r="V14" s="13">
        <v>864570.82634901558</v>
      </c>
      <c r="W14" s="13">
        <v>1018639.1766379017</v>
      </c>
      <c r="X14" s="13">
        <v>1320344.7245832046</v>
      </c>
      <c r="Y14" s="13">
        <v>1108254.3108048143</v>
      </c>
      <c r="Z14" s="13">
        <v>195606.62586417844</v>
      </c>
      <c r="AA14" s="13">
        <v>1022756.3815471841</v>
      </c>
      <c r="AB14" s="29">
        <v>13733332</v>
      </c>
      <c r="AC14" s="29">
        <v>5790969.3532334995</v>
      </c>
      <c r="AD14" s="29">
        <v>339099.62411674997</v>
      </c>
      <c r="AE14" s="29">
        <v>379110</v>
      </c>
      <c r="AF14" s="29">
        <v>350913.30827067664</v>
      </c>
      <c r="AG14" s="174">
        <f t="shared" si="6"/>
        <v>26123596.331407227</v>
      </c>
      <c r="AH14" s="174">
        <f t="shared" si="7"/>
        <v>41706238.692415901</v>
      </c>
      <c r="AI14" s="192">
        <f>AH14/'Collections and ACP'!E17</f>
        <v>0.35913888733299676</v>
      </c>
      <c r="AJ14" s="185">
        <v>41856771.792293303</v>
      </c>
      <c r="AK14" s="185">
        <f t="shared" si="8"/>
        <v>-150533.09987740219</v>
      </c>
      <c r="AL14" s="172">
        <f t="shared" si="9"/>
        <v>22788515.692415897</v>
      </c>
      <c r="AM14" s="172">
        <f t="shared" si="10"/>
        <v>18917723</v>
      </c>
      <c r="AN14" s="105">
        <f t="shared" si="11"/>
        <v>0.54640543973484457</v>
      </c>
      <c r="AO14" s="105">
        <f t="shared" si="12"/>
        <v>0.45359456026515543</v>
      </c>
    </row>
    <row r="15" spans="1:41" x14ac:dyDescent="0.35">
      <c r="A15" s="177" t="s">
        <v>29</v>
      </c>
      <c r="B15" s="178">
        <f>'ABP Under Contract'!B15</f>
        <v>672049</v>
      </c>
      <c r="C15" s="178">
        <f>'ABP Under Contract'!C15</f>
        <v>894352</v>
      </c>
      <c r="D15" s="178">
        <f>'ABP Under Contract'!D15</f>
        <v>1735219</v>
      </c>
      <c r="E15" s="178">
        <f>'ABP Under Contract'!E15</f>
        <v>25567</v>
      </c>
      <c r="F15" s="178">
        <f>'ABP Under Contract'!F15</f>
        <v>154918</v>
      </c>
      <c r="G15" s="178">
        <f>'ABP Under Contract'!G15</f>
        <v>595320</v>
      </c>
      <c r="H15" s="174">
        <f t="shared" si="2"/>
        <v>4077425</v>
      </c>
      <c r="I15" s="178">
        <v>1830409</v>
      </c>
      <c r="J15" s="178">
        <v>31316</v>
      </c>
      <c r="K15" s="30"/>
      <c r="L15" s="178">
        <v>2065519</v>
      </c>
      <c r="M15" s="178">
        <f t="shared" si="3"/>
        <v>1995629.5746000002</v>
      </c>
      <c r="N15" s="178">
        <v>1288463</v>
      </c>
      <c r="O15" s="178">
        <v>4030772.7245374382</v>
      </c>
      <c r="P15" s="178">
        <v>159282.16126656663</v>
      </c>
      <c r="Q15" s="178">
        <v>61994.816672625748</v>
      </c>
      <c r="R15" s="174">
        <f t="shared" si="0"/>
        <v>11463386.27707663</v>
      </c>
      <c r="S15" s="174">
        <f t="shared" si="4"/>
        <v>10356420.27707663</v>
      </c>
      <c r="T15" s="174">
        <f t="shared" si="5"/>
        <v>5184391</v>
      </c>
      <c r="U15" s="174">
        <f t="shared" si="1"/>
        <v>15540811.27707663</v>
      </c>
      <c r="V15" s="13">
        <v>1022366.7056345504</v>
      </c>
      <c r="W15" s="13">
        <v>1186148.5804560601</v>
      </c>
      <c r="X15" s="13">
        <v>1580465.8717482886</v>
      </c>
      <c r="Y15" s="13">
        <v>1250892.41191079</v>
      </c>
      <c r="Z15" s="13">
        <v>234143.09211085757</v>
      </c>
      <c r="AA15" s="13">
        <v>1103943.8994901222</v>
      </c>
      <c r="AB15" s="29">
        <v>16233332</v>
      </c>
      <c r="AC15" s="29">
        <v>6762014.5064673321</v>
      </c>
      <c r="AD15" s="29">
        <v>422404.12599616626</v>
      </c>
      <c r="AE15" s="29">
        <v>379110</v>
      </c>
      <c r="AF15" s="29">
        <v>386074.96240601491</v>
      </c>
      <c r="AG15" s="174">
        <f t="shared" si="6"/>
        <v>30560896.156220175</v>
      </c>
      <c r="AH15" s="174">
        <f t="shared" si="7"/>
        <v>46101707.433296807</v>
      </c>
      <c r="AI15" s="192">
        <f>AH15/'Collections and ACP'!E18</f>
        <v>0.39479895245933105</v>
      </c>
      <c r="AJ15" s="185">
        <v>46260072.917674832</v>
      </c>
      <c r="AK15" s="185">
        <f t="shared" si="8"/>
        <v>-158365.48437802494</v>
      </c>
      <c r="AL15" s="172">
        <f t="shared" si="9"/>
        <v>24683984.433296807</v>
      </c>
      <c r="AM15" s="172">
        <f t="shared" si="10"/>
        <v>21417723</v>
      </c>
      <c r="AN15" s="105">
        <f t="shared" si="11"/>
        <v>0.53542451695550175</v>
      </c>
      <c r="AO15" s="105">
        <f t="shared" si="12"/>
        <v>0.46457548304449825</v>
      </c>
    </row>
    <row r="16" spans="1:41" x14ac:dyDescent="0.35">
      <c r="A16" s="177" t="s">
        <v>30</v>
      </c>
      <c r="B16" s="178">
        <f>'ABP Under Contract'!B16</f>
        <v>668393</v>
      </c>
      <c r="C16" s="178">
        <f>'ABP Under Contract'!C16</f>
        <v>889811</v>
      </c>
      <c r="D16" s="178">
        <f>'ABP Under Contract'!D16</f>
        <v>1726539</v>
      </c>
      <c r="E16" s="178">
        <f>'ABP Under Contract'!E16</f>
        <v>25439</v>
      </c>
      <c r="F16" s="178">
        <f>'ABP Under Contract'!F16</f>
        <v>154145</v>
      </c>
      <c r="G16" s="178">
        <f>'ABP Under Contract'!G16</f>
        <v>592340</v>
      </c>
      <c r="H16" s="174">
        <f t="shared" si="2"/>
        <v>4056667</v>
      </c>
      <c r="I16" s="30"/>
      <c r="J16" s="30"/>
      <c r="K16" s="30"/>
      <c r="L16" s="178">
        <v>2065519</v>
      </c>
      <c r="M16" s="178">
        <f t="shared" si="3"/>
        <v>1995629.5746000002</v>
      </c>
      <c r="N16" s="178">
        <v>1288463</v>
      </c>
      <c r="O16" s="178">
        <v>4010618.860914751</v>
      </c>
      <c r="P16" s="178">
        <v>158485.7504602338</v>
      </c>
      <c r="Q16" s="178">
        <v>61684.842589262618</v>
      </c>
      <c r="R16" s="174">
        <f t="shared" si="0"/>
        <v>9580401.0285642482</v>
      </c>
      <c r="S16" s="174">
        <f t="shared" si="4"/>
        <v>10283086.028564248</v>
      </c>
      <c r="T16" s="174">
        <f t="shared" si="5"/>
        <v>3353982</v>
      </c>
      <c r="U16" s="174">
        <f t="shared" si="1"/>
        <v>13637068.028564248</v>
      </c>
      <c r="V16" s="13">
        <v>1179373.6055236578</v>
      </c>
      <c r="W16" s="13">
        <v>1352820.4372551281</v>
      </c>
      <c r="X16" s="13">
        <v>1868922.287709547</v>
      </c>
      <c r="Y16" s="13">
        <v>1392817.3225112362</v>
      </c>
      <c r="Z16" s="13">
        <v>282365.50087030331</v>
      </c>
      <c r="AA16" s="13">
        <v>1184725.4798433457</v>
      </c>
      <c r="AB16" s="29">
        <v>18733332</v>
      </c>
      <c r="AC16" s="29">
        <v>7728204.4339349959</v>
      </c>
      <c r="AD16" s="29">
        <v>505292.10536618542</v>
      </c>
      <c r="AE16" s="29">
        <v>379110</v>
      </c>
      <c r="AF16" s="29">
        <v>421236.61654135323</v>
      </c>
      <c r="AG16" s="174">
        <f t="shared" si="6"/>
        <v>35028199.789555751</v>
      </c>
      <c r="AH16" s="174">
        <f t="shared" si="7"/>
        <v>48665267.818120003</v>
      </c>
      <c r="AI16" s="192">
        <f>AH16/'Collections and ACP'!E19</f>
        <v>0.41407063909288722</v>
      </c>
      <c r="AJ16" s="185">
        <v>48831464.080076128</v>
      </c>
      <c r="AK16" s="185">
        <f t="shared" si="8"/>
        <v>-166196.2619561255</v>
      </c>
      <c r="AL16" s="172">
        <f t="shared" si="9"/>
        <v>26577953.818120003</v>
      </c>
      <c r="AM16" s="172">
        <f t="shared" si="10"/>
        <v>22087314</v>
      </c>
      <c r="AN16" s="105">
        <f t="shared" si="11"/>
        <v>0.54613803662709892</v>
      </c>
      <c r="AO16" s="105">
        <f t="shared" si="12"/>
        <v>0.45386196337290108</v>
      </c>
    </row>
    <row r="17" spans="1:41" x14ac:dyDescent="0.35">
      <c r="A17" s="177" t="s">
        <v>31</v>
      </c>
      <c r="B17" s="178">
        <f>'ABP Under Contract'!B17</f>
        <v>664763</v>
      </c>
      <c r="C17" s="178">
        <f>'ABP Under Contract'!C17</f>
        <v>885352</v>
      </c>
      <c r="D17" s="178">
        <f>'ABP Under Contract'!D17</f>
        <v>1717907</v>
      </c>
      <c r="E17" s="178">
        <f>'ABP Under Contract'!E17</f>
        <v>25314</v>
      </c>
      <c r="F17" s="178">
        <f>'ABP Under Contract'!F17</f>
        <v>153375</v>
      </c>
      <c r="G17" s="178">
        <f>'ABP Under Contract'!G17</f>
        <v>589381</v>
      </c>
      <c r="H17" s="174">
        <f t="shared" si="2"/>
        <v>4036092</v>
      </c>
      <c r="I17" s="30"/>
      <c r="J17" s="30"/>
      <c r="K17" s="30"/>
      <c r="L17" s="178">
        <v>1635519</v>
      </c>
      <c r="M17" s="178">
        <f t="shared" si="3"/>
        <v>1995629.5746000002</v>
      </c>
      <c r="N17" s="178">
        <v>1288463</v>
      </c>
      <c r="O17" s="178">
        <v>3990565.7666101768</v>
      </c>
      <c r="P17" s="178">
        <v>157693.32170793263</v>
      </c>
      <c r="Q17" s="178">
        <v>61376.418376316302</v>
      </c>
      <c r="R17" s="174">
        <f t="shared" si="0"/>
        <v>9129247.0812944248</v>
      </c>
      <c r="S17" s="174">
        <f t="shared" si="4"/>
        <v>10241357.081294425</v>
      </c>
      <c r="T17" s="174">
        <f t="shared" si="5"/>
        <v>2923982</v>
      </c>
      <c r="U17" s="174">
        <f t="shared" si="1"/>
        <v>13165339.081294425</v>
      </c>
      <c r="V17" s="13">
        <v>1335595.4709133194</v>
      </c>
      <c r="W17" s="13">
        <v>1518658.9347702004</v>
      </c>
      <c r="X17" s="13">
        <v>2155936.4215909997</v>
      </c>
      <c r="Y17" s="13">
        <v>1534032.6085586799</v>
      </c>
      <c r="Z17" s="13">
        <v>330346.7975859518</v>
      </c>
      <c r="AA17" s="13">
        <v>1265103.1522948029</v>
      </c>
      <c r="AB17" s="29">
        <v>18233332</v>
      </c>
      <c r="AC17" s="29">
        <v>8439563.4117653202</v>
      </c>
      <c r="AD17" s="29">
        <v>552765.64483935456</v>
      </c>
      <c r="AE17" s="29">
        <v>379110</v>
      </c>
      <c r="AF17" s="29">
        <v>456398.27067669155</v>
      </c>
      <c r="AG17" s="174">
        <f t="shared" si="6"/>
        <v>36200842.712995328</v>
      </c>
      <c r="AH17" s="174">
        <f t="shared" si="7"/>
        <v>49366181.794289753</v>
      </c>
      <c r="AI17" s="192">
        <f>AH17/'Collections and ACP'!E20</f>
        <v>0.41873433838159502</v>
      </c>
      <c r="AJ17" s="185">
        <v>49540338.13993609</v>
      </c>
      <c r="AK17" s="185">
        <f t="shared" si="8"/>
        <v>-174156.34564633667</v>
      </c>
      <c r="AL17" s="172">
        <f t="shared" si="9"/>
        <v>28208867.794289745</v>
      </c>
      <c r="AM17" s="172">
        <f t="shared" si="10"/>
        <v>21157314</v>
      </c>
      <c r="AN17" s="105">
        <f t="shared" si="11"/>
        <v>0.57142089521601824</v>
      </c>
      <c r="AO17" s="105">
        <f t="shared" si="12"/>
        <v>0.42857910478398176</v>
      </c>
    </row>
    <row r="18" spans="1:41" x14ac:dyDescent="0.35">
      <c r="A18" s="177" t="s">
        <v>32</v>
      </c>
      <c r="B18" s="178">
        <f>'ABP Under Contract'!B18</f>
        <v>558816</v>
      </c>
      <c r="C18" s="178">
        <f>'ABP Under Contract'!C18</f>
        <v>558875</v>
      </c>
      <c r="D18" s="178">
        <f>'ABP Under Contract'!D18</f>
        <v>1590151</v>
      </c>
      <c r="E18" s="178">
        <f>'ABP Under Contract'!E18</f>
        <v>25185</v>
      </c>
      <c r="F18" s="178">
        <f>'ABP Under Contract'!F18</f>
        <v>152607</v>
      </c>
      <c r="G18" s="178">
        <f>'ABP Under Contract'!G18</f>
        <v>586439</v>
      </c>
      <c r="H18" s="174">
        <f t="shared" si="2"/>
        <v>3472073</v>
      </c>
      <c r="I18" s="30"/>
      <c r="J18" s="30"/>
      <c r="K18" s="30"/>
      <c r="L18" s="178">
        <v>1635519</v>
      </c>
      <c r="M18" s="178">
        <f t="shared" si="3"/>
        <v>1995629.5746000002</v>
      </c>
      <c r="N18" s="178">
        <v>1288463</v>
      </c>
      <c r="O18" s="178">
        <v>3970612.9377771257</v>
      </c>
      <c r="P18" s="178">
        <v>156904.85509939294</v>
      </c>
      <c r="Q18" s="178">
        <v>61069.536284434718</v>
      </c>
      <c r="R18" s="174">
        <f t="shared" si="0"/>
        <v>9108198.9037609547</v>
      </c>
      <c r="S18" s="174">
        <f t="shared" si="4"/>
        <v>9656289.9037609547</v>
      </c>
      <c r="T18" s="174">
        <f t="shared" si="5"/>
        <v>2923982</v>
      </c>
      <c r="U18" s="174">
        <f t="shared" si="1"/>
        <v>12580271.903760955</v>
      </c>
      <c r="V18" s="13">
        <v>1409976.8602673928</v>
      </c>
      <c r="W18" s="13">
        <v>1597366.9399470235</v>
      </c>
      <c r="X18" s="13">
        <v>2441515.4848030442</v>
      </c>
      <c r="Y18" s="13">
        <v>1600452.1318458868</v>
      </c>
      <c r="Z18" s="13">
        <v>378088.1878180221</v>
      </c>
      <c r="AA18" s="13">
        <v>1301928.2864586657</v>
      </c>
      <c r="AB18" s="29">
        <v>19233332</v>
      </c>
      <c r="AC18" s="29">
        <v>9147365.5947064944</v>
      </c>
      <c r="AD18" s="29">
        <v>600001.81661515776</v>
      </c>
      <c r="AE18" s="29">
        <v>379110</v>
      </c>
      <c r="AF18" s="29">
        <v>491559.92481202987</v>
      </c>
      <c r="AG18" s="174">
        <f t="shared" si="6"/>
        <v>38580697.227273718</v>
      </c>
      <c r="AH18" s="174">
        <f t="shared" si="7"/>
        <v>51160969.131034672</v>
      </c>
      <c r="AI18" s="192">
        <f>AH18/'Collections and ACP'!E21</f>
        <v>0.43178784946643683</v>
      </c>
      <c r="AJ18" s="185">
        <v>51746466.779952779</v>
      </c>
      <c r="AK18" s="185">
        <f t="shared" si="8"/>
        <v>-585497.64891810715</v>
      </c>
      <c r="AL18" s="172">
        <f t="shared" si="9"/>
        <v>29003655.131034669</v>
      </c>
      <c r="AM18" s="172">
        <f t="shared" si="10"/>
        <v>22157314</v>
      </c>
      <c r="AN18" s="105">
        <f t="shared" si="11"/>
        <v>0.56690980690279391</v>
      </c>
      <c r="AO18" s="105">
        <f t="shared" si="12"/>
        <v>0.43309019309720609</v>
      </c>
    </row>
    <row r="19" spans="1:41" x14ac:dyDescent="0.35">
      <c r="A19" s="177" t="s">
        <v>33</v>
      </c>
      <c r="B19" s="178">
        <f>'ABP Under Contract'!B19</f>
        <v>493695</v>
      </c>
      <c r="C19" s="178">
        <f>'ABP Under Contract'!C19</f>
        <v>546393</v>
      </c>
      <c r="D19" s="178">
        <f>'ABP Under Contract'!D19</f>
        <v>1582206</v>
      </c>
      <c r="E19" s="178">
        <f>'ABP Under Contract'!E19</f>
        <v>25059</v>
      </c>
      <c r="F19" s="178">
        <f>'ABP Under Contract'!F19</f>
        <v>151840</v>
      </c>
      <c r="G19" s="178">
        <f>'ABP Under Contract'!G19</f>
        <v>583499</v>
      </c>
      <c r="H19" s="174">
        <f t="shared" si="2"/>
        <v>3382692</v>
      </c>
      <c r="I19" s="30"/>
      <c r="J19" s="30"/>
      <c r="K19" s="30"/>
      <c r="L19" s="178">
        <v>1335519</v>
      </c>
      <c r="M19" s="178">
        <f t="shared" si="3"/>
        <v>1989043.2823000001</v>
      </c>
      <c r="N19" s="178">
        <v>1288463</v>
      </c>
      <c r="O19" s="178">
        <v>3950759.8730882402</v>
      </c>
      <c r="P19" s="178">
        <v>156120.33082389599</v>
      </c>
      <c r="Q19" s="178">
        <v>60764.188603012546</v>
      </c>
      <c r="R19" s="174">
        <f t="shared" si="0"/>
        <v>8780669.6748151481</v>
      </c>
      <c r="S19" s="174">
        <f t="shared" si="4"/>
        <v>9539379.6748151481</v>
      </c>
      <c r="T19" s="174">
        <f t="shared" si="5"/>
        <v>2623982</v>
      </c>
      <c r="U19" s="174">
        <f t="shared" si="1"/>
        <v>12163361.674815148</v>
      </c>
      <c r="V19" s="13">
        <v>1483986.3426746961</v>
      </c>
      <c r="W19" s="13">
        <v>1675681.4050979624</v>
      </c>
      <c r="X19" s="13">
        <v>2577487.2800390292</v>
      </c>
      <c r="Y19" s="13">
        <v>1666539.5575166575</v>
      </c>
      <c r="Z19" s="13">
        <v>400894.30898893194</v>
      </c>
      <c r="AA19" s="13">
        <v>1338569.2949517095</v>
      </c>
      <c r="AB19" s="29">
        <v>21733332</v>
      </c>
      <c r="AC19" s="29">
        <v>9851628.7667329628</v>
      </c>
      <c r="AD19" s="29">
        <v>647001.80753208185</v>
      </c>
      <c r="AE19" s="29">
        <v>379110</v>
      </c>
      <c r="AF19" s="29">
        <v>526721.57894736819</v>
      </c>
      <c r="AG19" s="174">
        <f t="shared" si="6"/>
        <v>42280952.34248139</v>
      </c>
      <c r="AH19" s="174">
        <f t="shared" si="7"/>
        <v>54444314.017296538</v>
      </c>
      <c r="AI19" s="192">
        <f>AH19/'Collections and ACP'!E22</f>
        <v>0.45781861201000057</v>
      </c>
      <c r="AJ19" s="185">
        <v>55096065.102970064</v>
      </c>
      <c r="AK19" s="185">
        <f t="shared" si="8"/>
        <v>-651751.08567352593</v>
      </c>
      <c r="AL19" s="172">
        <f t="shared" si="9"/>
        <v>30087000.017296549</v>
      </c>
      <c r="AM19" s="172">
        <f t="shared" si="10"/>
        <v>24357314</v>
      </c>
      <c r="AN19" s="105">
        <f t="shared" si="11"/>
        <v>0.55261969152073687</v>
      </c>
      <c r="AO19" s="105">
        <f t="shared" si="12"/>
        <v>0.44738030847926313</v>
      </c>
    </row>
    <row r="20" spans="1:41" x14ac:dyDescent="0.35">
      <c r="A20" s="177" t="s">
        <v>34</v>
      </c>
      <c r="B20" s="178">
        <f>'ABP Under Contract'!B20</f>
        <v>437705</v>
      </c>
      <c r="C20" s="178">
        <f>'ABP Under Contract'!C20</f>
        <v>456603</v>
      </c>
      <c r="D20" s="178">
        <f>'ABP Under Contract'!D20</f>
        <v>1356161</v>
      </c>
      <c r="E20" s="178">
        <f>'ABP Under Contract'!E20</f>
        <v>24934</v>
      </c>
      <c r="F20" s="178">
        <f>'ABP Under Contract'!F20</f>
        <v>151083</v>
      </c>
      <c r="G20" s="178">
        <f>'ABP Under Contract'!G20</f>
        <v>580582</v>
      </c>
      <c r="H20" s="174">
        <f t="shared" si="2"/>
        <v>3007068</v>
      </c>
      <c r="I20" s="30"/>
      <c r="J20" s="30"/>
      <c r="K20" s="30"/>
      <c r="L20" s="30"/>
      <c r="M20" s="178">
        <f t="shared" si="3"/>
        <v>0</v>
      </c>
      <c r="N20" s="178">
        <v>1288463</v>
      </c>
      <c r="O20" s="178">
        <v>3931006.0737227993</v>
      </c>
      <c r="P20" s="178">
        <v>155339.72916977652</v>
      </c>
      <c r="Q20" s="178">
        <v>60460.367659997486</v>
      </c>
      <c r="R20" s="174">
        <f t="shared" si="0"/>
        <v>5435269.1705525732</v>
      </c>
      <c r="S20" s="174">
        <f t="shared" si="4"/>
        <v>7153874.1705525732</v>
      </c>
      <c r="T20" s="174">
        <f t="shared" si="5"/>
        <v>1288463</v>
      </c>
      <c r="U20" s="174">
        <f t="shared" si="1"/>
        <v>8442337.1705525741</v>
      </c>
      <c r="V20" s="13">
        <v>1557625.7776699623</v>
      </c>
      <c r="W20" s="13">
        <v>1753604.2979231465</v>
      </c>
      <c r="X20" s="13">
        <v>2712779.216298834</v>
      </c>
      <c r="Y20" s="13">
        <v>1732296.5460590741</v>
      </c>
      <c r="Z20" s="13">
        <v>423586.39955398726</v>
      </c>
      <c r="AA20" s="13">
        <v>1375027.0984022878</v>
      </c>
      <c r="AB20" s="29">
        <v>21233332</v>
      </c>
      <c r="AC20" s="29">
        <v>10552370.622899298</v>
      </c>
      <c r="AD20" s="29">
        <v>693766.79849442153</v>
      </c>
      <c r="AE20" s="29">
        <v>379110</v>
      </c>
      <c r="AF20" s="29">
        <v>561883.23308270646</v>
      </c>
      <c r="AG20" s="174">
        <f t="shared" si="6"/>
        <v>42975381.990383714</v>
      </c>
      <c r="AH20" s="174">
        <f t="shared" si="7"/>
        <v>51417719.160936289</v>
      </c>
      <c r="AI20" s="192">
        <f>AH20/'Collections and ACP'!E23</f>
        <v>0.43049550114201779</v>
      </c>
      <c r="AJ20" s="185">
        <v>52107275.731181443</v>
      </c>
      <c r="AK20" s="185">
        <f t="shared" si="8"/>
        <v>-689556.5702451542</v>
      </c>
      <c r="AL20" s="172">
        <f t="shared" si="9"/>
        <v>28895924.160936292</v>
      </c>
      <c r="AM20" s="172">
        <f t="shared" si="10"/>
        <v>22521795</v>
      </c>
      <c r="AN20" s="105">
        <f t="shared" si="11"/>
        <v>0.56198377976457303</v>
      </c>
      <c r="AO20" s="105">
        <f t="shared" si="12"/>
        <v>0.43801622023542697</v>
      </c>
    </row>
    <row r="21" spans="1:41" x14ac:dyDescent="0.35">
      <c r="A21" s="177" t="s">
        <v>35</v>
      </c>
      <c r="B21" s="178">
        <f>'ABP Under Contract'!B21</f>
        <v>355925</v>
      </c>
      <c r="C21" s="178">
        <f>'ABP Under Contract'!C21</f>
        <v>418315</v>
      </c>
      <c r="D21" s="178">
        <f>'ABP Under Contract'!D21</f>
        <v>1275730</v>
      </c>
      <c r="E21" s="178">
        <f>'ABP Under Contract'!E21</f>
        <v>24807</v>
      </c>
      <c r="F21" s="178">
        <f>'ABP Under Contract'!F21</f>
        <v>150329</v>
      </c>
      <c r="G21" s="178">
        <f>'ABP Under Contract'!G21</f>
        <v>577685</v>
      </c>
      <c r="H21" s="174">
        <f t="shared" si="2"/>
        <v>2802791</v>
      </c>
      <c r="I21" s="30"/>
      <c r="J21" s="30"/>
      <c r="K21" s="30"/>
      <c r="L21" s="30"/>
      <c r="M21" s="178">
        <f t="shared" si="3"/>
        <v>0</v>
      </c>
      <c r="N21" s="178">
        <v>1288463</v>
      </c>
      <c r="O21" s="178">
        <v>3911351.0433541853</v>
      </c>
      <c r="P21" s="178">
        <v>154563.03052392765</v>
      </c>
      <c r="Q21" s="178">
        <v>60158.065821697499</v>
      </c>
      <c r="R21" s="174">
        <f t="shared" si="0"/>
        <v>5414535.1396998111</v>
      </c>
      <c r="S21" s="174">
        <f t="shared" si="4"/>
        <v>6928863.1396998111</v>
      </c>
      <c r="T21" s="174">
        <f t="shared" si="5"/>
        <v>1288463</v>
      </c>
      <c r="U21" s="174">
        <f t="shared" si="1"/>
        <v>8217326.1396998111</v>
      </c>
      <c r="V21" s="13">
        <v>1630897.0154902525</v>
      </c>
      <c r="W21" s="13">
        <v>1831137.5762842051</v>
      </c>
      <c r="X21" s="13">
        <v>2847394.6928773397</v>
      </c>
      <c r="Y21" s="13">
        <v>1797724.7496587785</v>
      </c>
      <c r="Z21" s="13">
        <v>446165.02966621722</v>
      </c>
      <c r="AA21" s="13">
        <v>1411302.6128356131</v>
      </c>
      <c r="AB21" s="29">
        <v>22233332</v>
      </c>
      <c r="AC21" s="29">
        <v>11249608.769784801</v>
      </c>
      <c r="AD21" s="29">
        <v>740297.96450194949</v>
      </c>
      <c r="AE21" s="29">
        <v>379110</v>
      </c>
      <c r="AF21" s="29">
        <v>597044.88721804484</v>
      </c>
      <c r="AG21" s="174">
        <f t="shared" si="6"/>
        <v>45164015.298317194</v>
      </c>
      <c r="AH21" s="174">
        <f t="shared" si="7"/>
        <v>53381341.438017003</v>
      </c>
      <c r="AI21" s="192">
        <f>AH21/'Collections and ACP'!E24</f>
        <v>0.44600576787741592</v>
      </c>
      <c r="AJ21" s="185">
        <v>54181029.455410942</v>
      </c>
      <c r="AK21" s="185">
        <f t="shared" si="8"/>
        <v>-799688.0173939392</v>
      </c>
      <c r="AL21" s="172">
        <f t="shared" si="9"/>
        <v>29859546.438017011</v>
      </c>
      <c r="AM21" s="172">
        <f t="shared" si="10"/>
        <v>23521795</v>
      </c>
      <c r="AN21" s="105">
        <f t="shared" si="11"/>
        <v>0.55936298402482076</v>
      </c>
      <c r="AO21" s="105">
        <f t="shared" si="12"/>
        <v>0.44063701597517924</v>
      </c>
    </row>
    <row r="22" spans="1:41" x14ac:dyDescent="0.35">
      <c r="A22" s="177" t="s">
        <v>36</v>
      </c>
      <c r="B22" s="178">
        <f>'ABP Under Contract'!B22</f>
        <v>134732</v>
      </c>
      <c r="C22" s="178">
        <f>'ABP Under Contract'!C22</f>
        <v>264483</v>
      </c>
      <c r="D22" s="178">
        <f>'ABP Under Contract'!D22</f>
        <v>1258130</v>
      </c>
      <c r="E22" s="178">
        <f>'ABP Under Contract'!E22</f>
        <v>24684</v>
      </c>
      <c r="F22" s="178">
        <f>'ABP Under Contract'!F22</f>
        <v>149575</v>
      </c>
      <c r="G22" s="178">
        <f>'ABP Under Contract'!G22</f>
        <v>574787</v>
      </c>
      <c r="H22" s="174">
        <f t="shared" si="2"/>
        <v>2406391</v>
      </c>
      <c r="I22" s="30"/>
      <c r="J22" s="30"/>
      <c r="K22" s="30"/>
      <c r="L22" s="30"/>
      <c r="M22" s="178">
        <f t="shared" si="3"/>
        <v>0</v>
      </c>
      <c r="N22" s="178">
        <v>1288463</v>
      </c>
      <c r="O22" s="178">
        <v>3891794.2881374145</v>
      </c>
      <c r="P22" s="178">
        <v>153790.215371308</v>
      </c>
      <c r="Q22" s="178">
        <v>59857.275492589011</v>
      </c>
      <c r="R22" s="174">
        <f t="shared" si="0"/>
        <v>5393904.7790013114</v>
      </c>
      <c r="S22" s="174">
        <f t="shared" si="4"/>
        <v>6511832.7790013114</v>
      </c>
      <c r="T22" s="174">
        <f t="shared" si="5"/>
        <v>1288463</v>
      </c>
      <c r="U22" s="174">
        <f t="shared" si="1"/>
        <v>7800295.7790013114</v>
      </c>
      <c r="V22" s="13">
        <v>1703801.8971214411</v>
      </c>
      <c r="W22" s="13">
        <v>1908283.1882534579</v>
      </c>
      <c r="X22" s="13">
        <v>2981337.0920729525</v>
      </c>
      <c r="Y22" s="13">
        <v>1862825.8122404846</v>
      </c>
      <c r="Z22" s="13">
        <v>468630.76662788622</v>
      </c>
      <c r="AA22" s="13">
        <v>1447396.7496967723</v>
      </c>
      <c r="AB22" s="29">
        <v>23233332</v>
      </c>
      <c r="AC22" s="29">
        <v>11943360.725935878</v>
      </c>
      <c r="AD22" s="29">
        <v>786596.47467943968</v>
      </c>
      <c r="AE22" s="29">
        <v>379110</v>
      </c>
      <c r="AF22" s="29">
        <v>632206.5413533831</v>
      </c>
      <c r="AG22" s="174">
        <f t="shared" si="6"/>
        <v>47346881.24798169</v>
      </c>
      <c r="AH22" s="174">
        <f t="shared" si="7"/>
        <v>55147177.026983</v>
      </c>
      <c r="AI22" s="192">
        <f>AH22/'Collections and ACP'!E25</f>
        <v>0.45864771002183807</v>
      </c>
      <c r="AJ22" s="185">
        <v>56280144.369289964</v>
      </c>
      <c r="AK22" s="185">
        <f t="shared" si="8"/>
        <v>-1132967.3423069641</v>
      </c>
      <c r="AL22" s="172">
        <f t="shared" si="9"/>
        <v>30625382.026983004</v>
      </c>
      <c r="AM22" s="172">
        <f t="shared" si="10"/>
        <v>24521795</v>
      </c>
      <c r="AN22" s="105">
        <f t="shared" si="11"/>
        <v>0.55533907042963027</v>
      </c>
      <c r="AO22" s="105">
        <f t="shared" si="12"/>
        <v>0.44466092957036973</v>
      </c>
    </row>
    <row r="23" spans="1:41" x14ac:dyDescent="0.35">
      <c r="A23" s="177" t="s">
        <v>37</v>
      </c>
      <c r="B23" s="178">
        <f>'ABP Under Contract'!B23</f>
        <v>54835</v>
      </c>
      <c r="C23" s="178">
        <f>'ABP Under Contract'!C23</f>
        <v>33414</v>
      </c>
      <c r="D23" s="178">
        <f>'ABP Under Contract'!D23</f>
        <v>1251843</v>
      </c>
      <c r="E23" s="178">
        <f>'ABP Under Contract'!E23</f>
        <v>24561</v>
      </c>
      <c r="F23" s="178">
        <f>'ABP Under Contract'!F23</f>
        <v>142970</v>
      </c>
      <c r="G23" s="178">
        <f>'ABP Under Contract'!G23</f>
        <v>571919</v>
      </c>
      <c r="H23" s="174">
        <f t="shared" si="2"/>
        <v>2079542</v>
      </c>
      <c r="I23" s="30"/>
      <c r="J23" s="30"/>
      <c r="K23" s="30"/>
      <c r="L23" s="30"/>
      <c r="M23" s="178">
        <f t="shared" si="3"/>
        <v>0</v>
      </c>
      <c r="N23" s="178">
        <v>1288463</v>
      </c>
      <c r="O23" s="178">
        <v>3872335.3166967272</v>
      </c>
      <c r="P23" s="178">
        <v>153021.26429445145</v>
      </c>
      <c r="Q23" s="178">
        <v>59557.989115126067</v>
      </c>
      <c r="R23" s="174">
        <f t="shared" si="0"/>
        <v>5373377.5701063052</v>
      </c>
      <c r="S23" s="174">
        <f t="shared" si="4"/>
        <v>6164456.5701063052</v>
      </c>
      <c r="T23" s="174">
        <f t="shared" si="5"/>
        <v>1288463</v>
      </c>
      <c r="U23" s="174">
        <f t="shared" si="1"/>
        <v>7452919.5701063052</v>
      </c>
      <c r="V23" s="13">
        <v>1776342.2543444741</v>
      </c>
      <c r="W23" s="13">
        <v>1891214.4487956462</v>
      </c>
      <c r="X23" s="13">
        <v>3114609.779272588</v>
      </c>
      <c r="Y23" s="13">
        <v>1595631.1838189648</v>
      </c>
      <c r="Z23" s="13">
        <v>490984.17490474676</v>
      </c>
      <c r="AA23" s="13">
        <v>1483310.4158736255</v>
      </c>
      <c r="AB23" s="29">
        <v>24233332</v>
      </c>
      <c r="AC23" s="29">
        <v>12633643.922306197</v>
      </c>
      <c r="AD23" s="29">
        <v>832663.49230604235</v>
      </c>
      <c r="AE23" s="29">
        <v>379110</v>
      </c>
      <c r="AF23" s="29">
        <v>667368.19548872148</v>
      </c>
      <c r="AG23" s="174">
        <f t="shared" si="6"/>
        <v>49098209.867110997</v>
      </c>
      <c r="AH23" s="174">
        <f t="shared" si="7"/>
        <v>56551129.437217303</v>
      </c>
      <c r="AI23" s="192">
        <f>AH23/'Collections and ACP'!E26</f>
        <v>0.46857893624331481</v>
      </c>
      <c r="AJ23" s="185">
        <v>57356310.108593807</v>
      </c>
      <c r="AK23" s="185">
        <f t="shared" si="8"/>
        <v>-805180.671376504</v>
      </c>
      <c r="AL23" s="172">
        <f t="shared" si="9"/>
        <v>31029334.43721731</v>
      </c>
      <c r="AM23" s="172">
        <f t="shared" si="10"/>
        <v>25521795</v>
      </c>
      <c r="AN23" s="105">
        <f t="shared" si="11"/>
        <v>0.54869522052014663</v>
      </c>
      <c r="AO23" s="105">
        <f t="shared" si="12"/>
        <v>0.45130477947985337</v>
      </c>
    </row>
    <row r="24" spans="1:41" x14ac:dyDescent="0.35">
      <c r="A24" s="177" t="s">
        <v>38</v>
      </c>
      <c r="B24" s="178">
        <f>'ABP Under Contract'!B24</f>
        <v>80</v>
      </c>
      <c r="C24" s="178">
        <f>'ABP Under Contract'!C24</f>
        <v>0</v>
      </c>
      <c r="D24" s="178">
        <f>'ABP Under Contract'!D24</f>
        <v>1245578</v>
      </c>
      <c r="E24" s="178">
        <f>'ABP Under Contract'!E24</f>
        <v>24438</v>
      </c>
      <c r="F24" s="178">
        <f>'ABP Under Contract'!F24</f>
        <v>0</v>
      </c>
      <c r="G24" s="178">
        <f>'ABP Under Contract'!G24</f>
        <v>569064</v>
      </c>
      <c r="H24" s="174">
        <f t="shared" si="2"/>
        <v>1839160</v>
      </c>
      <c r="I24" s="30"/>
      <c r="J24" s="30"/>
      <c r="K24" s="30"/>
      <c r="L24" s="30"/>
      <c r="M24" s="178">
        <f t="shared" si="3"/>
        <v>0</v>
      </c>
      <c r="N24" s="178">
        <v>1288463</v>
      </c>
      <c r="O24" s="178">
        <v>3852973.6401132434</v>
      </c>
      <c r="P24" s="178">
        <v>152256.15797297921</v>
      </c>
      <c r="Q24" s="178">
        <v>59260.199169550433</v>
      </c>
      <c r="R24" s="174">
        <f t="shared" si="0"/>
        <v>5352952.9972557733</v>
      </c>
      <c r="S24" s="174">
        <f t="shared" si="4"/>
        <v>5903649.9972557733</v>
      </c>
      <c r="T24" s="174">
        <f t="shared" si="5"/>
        <v>1288463</v>
      </c>
      <c r="U24" s="174">
        <f t="shared" si="1"/>
        <v>7192112.9972557733</v>
      </c>
      <c r="V24" s="13">
        <v>1713181.2340375918</v>
      </c>
      <c r="W24" s="13">
        <v>1823968.9425240343</v>
      </c>
      <c r="X24" s="13">
        <v>3247216.1030362248</v>
      </c>
      <c r="Y24" s="13">
        <v>1661742.7142298697</v>
      </c>
      <c r="Z24" s="13">
        <v>513225.81614022312</v>
      </c>
      <c r="AA24" s="13">
        <v>1358943.6982992524</v>
      </c>
      <c r="AB24" s="29">
        <v>25233332</v>
      </c>
      <c r="AC24" s="29">
        <v>13320475.702694668</v>
      </c>
      <c r="AD24" s="29">
        <v>878500.17484451213</v>
      </c>
      <c r="AE24" s="29">
        <v>379110</v>
      </c>
      <c r="AF24" s="29">
        <v>702529.84962405975</v>
      </c>
      <c r="AG24" s="174">
        <f t="shared" si="6"/>
        <v>50832226.235430434</v>
      </c>
      <c r="AH24" s="174">
        <f t="shared" si="7"/>
        <v>58024339.232686207</v>
      </c>
      <c r="AI24" s="192">
        <f>AH24/'Collections and ACP'!E27</f>
        <v>0.47866509804410229</v>
      </c>
      <c r="AJ24" s="185">
        <v>58945753.695705831</v>
      </c>
      <c r="AK24" s="185">
        <f t="shared" si="8"/>
        <v>-921414.46301962435</v>
      </c>
      <c r="AL24" s="172">
        <f t="shared" si="9"/>
        <v>31502544.23268621</v>
      </c>
      <c r="AM24" s="172">
        <f t="shared" si="10"/>
        <v>26521795</v>
      </c>
      <c r="AN24" s="105">
        <f t="shared" si="11"/>
        <v>0.54291948257017342</v>
      </c>
      <c r="AO24" s="105">
        <f t="shared" si="12"/>
        <v>0.45708051742982658</v>
      </c>
    </row>
    <row r="25" spans="1:41" x14ac:dyDescent="0.35">
      <c r="A25" s="177" t="s">
        <v>39</v>
      </c>
      <c r="B25" s="178">
        <f>'ABP Under Contract'!B25</f>
        <v>60</v>
      </c>
      <c r="C25" s="178">
        <f>'ABP Under Contract'!C25</f>
        <v>0</v>
      </c>
      <c r="D25" s="178">
        <f>'ABP Under Contract'!D25</f>
        <v>1239358</v>
      </c>
      <c r="E25" s="178">
        <f>'ABP Under Contract'!E25</f>
        <v>24317</v>
      </c>
      <c r="F25" s="178">
        <f>'ABP Under Contract'!F25</f>
        <v>0</v>
      </c>
      <c r="G25" s="178">
        <f>'ABP Under Contract'!G25</f>
        <v>566217</v>
      </c>
      <c r="H25" s="174">
        <f t="shared" si="2"/>
        <v>1829952</v>
      </c>
      <c r="I25" s="30"/>
      <c r="J25" s="30"/>
      <c r="K25" s="30"/>
      <c r="L25" s="30"/>
      <c r="M25" s="178">
        <f t="shared" si="3"/>
        <v>0</v>
      </c>
      <c r="N25" s="178">
        <v>1288463</v>
      </c>
      <c r="O25" s="178">
        <v>3833708.7719126772</v>
      </c>
      <c r="P25" s="178">
        <v>151494.87718311429</v>
      </c>
      <c r="Q25" s="178">
        <v>58963.898173702677</v>
      </c>
      <c r="R25" s="174">
        <f t="shared" si="0"/>
        <v>5332630.5472694943</v>
      </c>
      <c r="S25" s="174">
        <f t="shared" si="4"/>
        <v>5874119.5472694943</v>
      </c>
      <c r="T25" s="174">
        <f t="shared" si="5"/>
        <v>1288463</v>
      </c>
      <c r="U25" s="174">
        <f t="shared" si="1"/>
        <v>7162582.5472694943</v>
      </c>
      <c r="V25" s="13">
        <v>1650336.018832244</v>
      </c>
      <c r="W25" s="13">
        <v>1757059.6637837801</v>
      </c>
      <c r="X25" s="13">
        <v>3379159.3951810435</v>
      </c>
      <c r="Y25" s="13">
        <v>1727523.6869887207</v>
      </c>
      <c r="Z25" s="13">
        <v>498703.82572995318</v>
      </c>
      <c r="AA25" s="13">
        <v>1235198.8143127509</v>
      </c>
      <c r="AB25" s="29">
        <v>27733332</v>
      </c>
      <c r="AC25" s="29">
        <v>14003873.324181193</v>
      </c>
      <c r="AD25" s="29">
        <v>924107.67397028964</v>
      </c>
      <c r="AE25" s="29">
        <v>379110</v>
      </c>
      <c r="AF25" s="29">
        <v>737691.50375939801</v>
      </c>
      <c r="AG25" s="174">
        <f t="shared" si="6"/>
        <v>54026095.906739369</v>
      </c>
      <c r="AH25" s="174">
        <f t="shared" si="7"/>
        <v>61188678.454008862</v>
      </c>
      <c r="AI25" s="192">
        <f>AH25/'Collections and ACP'!E28</f>
        <v>0.50324099551916435</v>
      </c>
      <c r="AJ25" s="185">
        <v>62081899.349713385</v>
      </c>
      <c r="AK25" s="185">
        <f t="shared" si="8"/>
        <v>-893220.89570452273</v>
      </c>
      <c r="AL25" s="172">
        <f t="shared" si="9"/>
        <v>32166883.454008866</v>
      </c>
      <c r="AM25" s="172">
        <f t="shared" si="10"/>
        <v>29021795</v>
      </c>
      <c r="AN25" s="105">
        <f t="shared" si="11"/>
        <v>0.52569992140272159</v>
      </c>
      <c r="AO25" s="105">
        <f t="shared" si="12"/>
        <v>0.47430007859727841</v>
      </c>
    </row>
    <row r="26" spans="1:41" x14ac:dyDescent="0.35">
      <c r="A26" s="177" t="s">
        <v>40</v>
      </c>
      <c r="B26" s="178">
        <f>'ABP Under Contract'!B26</f>
        <v>8</v>
      </c>
      <c r="C26" s="178">
        <f>'ABP Under Contract'!C26</f>
        <v>0</v>
      </c>
      <c r="D26" s="178">
        <f>'ABP Under Contract'!D26</f>
        <v>1233161</v>
      </c>
      <c r="E26" s="178">
        <f>'ABP Under Contract'!E26</f>
        <v>24196</v>
      </c>
      <c r="F26" s="178">
        <f>'ABP Under Contract'!F26</f>
        <v>0</v>
      </c>
      <c r="G26" s="178">
        <f>'ABP Under Contract'!G26</f>
        <v>563379</v>
      </c>
      <c r="H26" s="174">
        <f t="shared" si="2"/>
        <v>1820744</v>
      </c>
      <c r="I26" s="30"/>
      <c r="J26" s="30"/>
      <c r="K26" s="30"/>
      <c r="L26" s="30"/>
      <c r="M26" s="178">
        <f t="shared" si="3"/>
        <v>0</v>
      </c>
      <c r="N26" s="178">
        <v>1288463</v>
      </c>
      <c r="O26" s="178">
        <v>3814540.2280531134</v>
      </c>
      <c r="P26" s="178">
        <v>150737.40279719874</v>
      </c>
      <c r="Q26" s="178">
        <v>58669.078682834166</v>
      </c>
      <c r="R26" s="174">
        <f t="shared" si="0"/>
        <v>5312409.7095331466</v>
      </c>
      <c r="S26" s="174">
        <f t="shared" si="4"/>
        <v>5844690.7095331466</v>
      </c>
      <c r="T26" s="174">
        <f t="shared" si="5"/>
        <v>1288463</v>
      </c>
      <c r="U26" s="174">
        <f t="shared" si="1"/>
        <v>7133153.7095331466</v>
      </c>
      <c r="V26" s="13">
        <v>1506745.662994283</v>
      </c>
      <c r="W26" s="13">
        <v>1604183.6315865531</v>
      </c>
      <c r="X26" s="13">
        <v>3510442.9708651383</v>
      </c>
      <c r="Y26" s="13">
        <v>1718886.0685537769</v>
      </c>
      <c r="Z26" s="13">
        <v>484254.44527173461</v>
      </c>
      <c r="AA26" s="13">
        <v>1068922.0048208453</v>
      </c>
      <c r="AB26" s="29">
        <v>27233332</v>
      </c>
      <c r="AC26" s="29">
        <v>14683853.957560286</v>
      </c>
      <c r="AD26" s="29">
        <v>969487.13560043823</v>
      </c>
      <c r="AE26" s="29">
        <v>379110</v>
      </c>
      <c r="AF26" s="29">
        <v>772853.15789473639</v>
      </c>
      <c r="AG26" s="174">
        <f t="shared" si="6"/>
        <v>53932071.035147794</v>
      </c>
      <c r="AH26" s="174">
        <f t="shared" si="7"/>
        <v>61065224.744680941</v>
      </c>
      <c r="AI26" s="192">
        <f>AH26/'Collections and ACP'!E29</f>
        <v>0.5006819544757064</v>
      </c>
      <c r="AJ26" s="185">
        <v>61534544.680906937</v>
      </c>
      <c r="AK26" s="185">
        <f t="shared" si="8"/>
        <v>-469319.93622599542</v>
      </c>
      <c r="AL26" s="172">
        <f t="shared" si="9"/>
        <v>32543429.744680941</v>
      </c>
      <c r="AM26" s="172">
        <f t="shared" si="10"/>
        <v>28521795</v>
      </c>
      <c r="AN26" s="105">
        <f t="shared" si="11"/>
        <v>0.53292900960813416</v>
      </c>
      <c r="AO26" s="105">
        <f t="shared" si="12"/>
        <v>0.46707099039186584</v>
      </c>
    </row>
    <row r="27" spans="1:41" x14ac:dyDescent="0.35">
      <c r="A27" s="190" t="s">
        <v>163</v>
      </c>
      <c r="B27" s="178">
        <f>'ABP Under Contract'!B27</f>
        <v>0</v>
      </c>
      <c r="C27" s="178">
        <f>'ABP Under Contract'!C27</f>
        <v>0</v>
      </c>
      <c r="D27" s="178">
        <f>'ABP Under Contract'!D27</f>
        <v>1034410</v>
      </c>
      <c r="E27" s="178">
        <f>'ABP Under Contract'!E27</f>
        <v>24074</v>
      </c>
      <c r="F27" s="178">
        <f>'ABP Under Contract'!F27</f>
        <v>0</v>
      </c>
      <c r="G27" s="178">
        <f>'ABP Under Contract'!G27</f>
        <v>560565</v>
      </c>
      <c r="H27" s="174">
        <f>SUM(B27:G27)</f>
        <v>1619049</v>
      </c>
      <c r="I27" s="30"/>
      <c r="J27" s="30"/>
      <c r="K27" s="30"/>
      <c r="L27" s="30"/>
      <c r="M27" s="178">
        <f t="shared" si="3"/>
        <v>0</v>
      </c>
      <c r="N27" s="178">
        <v>1288463</v>
      </c>
      <c r="O27" s="178">
        <v>3804153.6013355423</v>
      </c>
      <c r="P27" s="178">
        <v>150250.43065333107</v>
      </c>
      <c r="Q27" s="178"/>
      <c r="R27" s="174">
        <f>SUM(I27:Q27)</f>
        <v>5242867.0319888731</v>
      </c>
      <c r="S27" s="174">
        <f t="shared" si="4"/>
        <v>5573453.0319888731</v>
      </c>
      <c r="T27" s="174">
        <f t="shared" si="5"/>
        <v>1288463</v>
      </c>
      <c r="U27" s="174">
        <f t="shared" si="1"/>
        <v>6861916.0319888731</v>
      </c>
      <c r="V27" s="185">
        <v>1363873.2589355118</v>
      </c>
      <c r="W27" s="185">
        <v>1452071.9795503127</v>
      </c>
      <c r="X27" s="185">
        <v>3492890.7560108132</v>
      </c>
      <c r="Y27" s="185">
        <v>1710291.6382110079</v>
      </c>
      <c r="Z27" s="185">
        <v>445180.74960580713</v>
      </c>
      <c r="AA27" s="185">
        <v>903476.57937639905</v>
      </c>
      <c r="AB27" s="185">
        <v>28233332</v>
      </c>
      <c r="AC27" s="185">
        <v>15364185.687772484</v>
      </c>
      <c r="AD27" s="185">
        <v>1014639.6999224358</v>
      </c>
      <c r="AG27" s="174">
        <f t="shared" ref="AG27" si="13">SUM(V27:AF27)</f>
        <v>53979942.34938477</v>
      </c>
      <c r="AH27" s="174">
        <f t="shared" ref="AH27" si="14">H27+R27+AG27</f>
        <v>60841858.381373644</v>
      </c>
      <c r="AI27" s="192"/>
      <c r="AJ27" s="185">
        <v>61395847.932918511</v>
      </c>
      <c r="AK27" s="185">
        <f t="shared" si="8"/>
        <v>-553989.55154486746</v>
      </c>
      <c r="AL27" s="172">
        <f t="shared" si="9"/>
        <v>31320063.38137364</v>
      </c>
      <c r="AM27" s="172">
        <f t="shared" si="10"/>
        <v>29521795</v>
      </c>
      <c r="AN27" s="105">
        <f t="shared" si="11"/>
        <v>0.5147782170796098</v>
      </c>
      <c r="AO27" s="105">
        <f t="shared" si="12"/>
        <v>0.4852217829203902</v>
      </c>
    </row>
    <row r="29" spans="1:41" x14ac:dyDescent="0.35">
      <c r="A29" s="190"/>
      <c r="C29" t="s">
        <v>202</v>
      </c>
      <c r="H29" s="31"/>
      <c r="I29" s="31"/>
      <c r="J29" s="31"/>
      <c r="V29" s="185"/>
      <c r="W29" s="185"/>
      <c r="X29" s="185"/>
      <c r="Y29" s="185"/>
      <c r="Z29" s="185"/>
      <c r="AA29" s="185"/>
      <c r="AB29" s="185"/>
    </row>
    <row r="30" spans="1:41" x14ac:dyDescent="0.35">
      <c r="A30" s="177" t="s">
        <v>41</v>
      </c>
      <c r="B30" s="22">
        <v>0.2896143019416435</v>
      </c>
      <c r="C30" s="22">
        <v>0.28693999999999997</v>
      </c>
    </row>
    <row r="31" spans="1:41" ht="29" x14ac:dyDescent="0.35">
      <c r="A31" s="184" t="s">
        <v>1</v>
      </c>
      <c r="B31" s="184" t="str">
        <f t="shared" ref="B31:G31" si="15">B2</f>
        <v>Small DG</v>
      </c>
      <c r="C31" s="184" t="str">
        <f t="shared" si="15"/>
        <v>Large DG</v>
      </c>
      <c r="D31" s="184" t="str">
        <f t="shared" si="15"/>
        <v>Traditional CS</v>
      </c>
      <c r="E31" s="184" t="str">
        <f t="shared" si="15"/>
        <v xml:space="preserve"> Public Schools </v>
      </c>
      <c r="F31" s="184" t="str">
        <f t="shared" si="15"/>
        <v xml:space="preserve"> CDCS </v>
      </c>
      <c r="G31" s="184" t="str">
        <f t="shared" si="15"/>
        <v xml:space="preserve"> EEC </v>
      </c>
      <c r="H31" s="24" t="s">
        <v>190</v>
      </c>
      <c r="I31" s="184" t="s">
        <v>338</v>
      </c>
      <c r="J31" s="184" t="s">
        <v>339</v>
      </c>
      <c r="K31" s="184" t="s">
        <v>191</v>
      </c>
      <c r="L31" s="184" t="s">
        <v>211</v>
      </c>
      <c r="M31" s="184" t="s">
        <v>212</v>
      </c>
      <c r="N31" s="184" t="s">
        <v>194</v>
      </c>
      <c r="O31" s="184" t="s">
        <v>195</v>
      </c>
      <c r="P31" s="184" t="s">
        <v>196</v>
      </c>
      <c r="Q31" s="240" t="s">
        <v>197</v>
      </c>
      <c r="R31" s="24" t="s">
        <v>198</v>
      </c>
      <c r="S31" s="24" t="s">
        <v>199</v>
      </c>
      <c r="T31" s="24" t="s">
        <v>200</v>
      </c>
      <c r="U31" s="24" t="s">
        <v>201</v>
      </c>
      <c r="V31" s="184" t="s">
        <v>129</v>
      </c>
      <c r="W31" s="184" t="s">
        <v>135</v>
      </c>
      <c r="X31" s="25" t="s">
        <v>144</v>
      </c>
      <c r="Y31" s="184" t="s">
        <v>149</v>
      </c>
      <c r="Z31" s="25" t="s">
        <v>153</v>
      </c>
      <c r="AA31" s="25" t="s">
        <v>156</v>
      </c>
      <c r="AB31" s="184" t="s">
        <v>86</v>
      </c>
      <c r="AC31" s="184" t="s">
        <v>87</v>
      </c>
      <c r="AD31" s="184" t="s">
        <v>82</v>
      </c>
      <c r="AE31" s="184" t="s">
        <v>202</v>
      </c>
      <c r="AF31" s="25" t="s">
        <v>203</v>
      </c>
      <c r="AG31" s="193" t="s">
        <v>204</v>
      </c>
      <c r="AH31" s="24" t="s">
        <v>205</v>
      </c>
      <c r="AI31" s="24" t="s">
        <v>206</v>
      </c>
      <c r="AL31" s="76" t="s">
        <v>207</v>
      </c>
      <c r="AM31" s="76" t="s">
        <v>208</v>
      </c>
      <c r="AN31" t="s">
        <v>209</v>
      </c>
      <c r="AO31" t="s">
        <v>210</v>
      </c>
    </row>
    <row r="32" spans="1:41" x14ac:dyDescent="0.35">
      <c r="A32" s="184"/>
      <c r="B32" s="184"/>
      <c r="C32" s="184"/>
      <c r="D32" s="184"/>
      <c r="E32" s="184"/>
      <c r="F32" s="184"/>
      <c r="G32" s="184"/>
      <c r="H32" s="24"/>
      <c r="I32" s="184"/>
      <c r="J32" s="184"/>
      <c r="K32" s="184"/>
      <c r="L32" s="184"/>
      <c r="M32" s="184"/>
      <c r="N32" s="184"/>
      <c r="O32" s="184"/>
      <c r="P32" s="184"/>
      <c r="Q32" s="184"/>
      <c r="R32" s="24"/>
      <c r="S32" s="174"/>
      <c r="T32" s="174">
        <f t="shared" ref="T32:T56" si="16">I32+L32+N32</f>
        <v>0</v>
      </c>
      <c r="U32" s="174">
        <f t="shared" ref="U32:U56" si="17">H32+R32</f>
        <v>0</v>
      </c>
      <c r="V32" s="184"/>
      <c r="W32" s="184"/>
      <c r="X32" s="184"/>
      <c r="Y32" s="184"/>
      <c r="Z32" s="184"/>
      <c r="AA32" s="184"/>
      <c r="AB32" s="184"/>
      <c r="AC32" s="184"/>
      <c r="AD32" s="184"/>
      <c r="AE32" s="184"/>
      <c r="AF32" s="184"/>
      <c r="AG32" s="24"/>
      <c r="AH32" s="24"/>
      <c r="AI32" s="24"/>
    </row>
    <row r="33" spans="1:41" x14ac:dyDescent="0.35">
      <c r="A33" s="177" t="s">
        <v>17</v>
      </c>
      <c r="B33" s="178">
        <f>'ABP Under Contract'!B32</f>
        <v>35659</v>
      </c>
      <c r="C33" s="178">
        <f>'ABP Under Contract'!C32</f>
        <v>126418</v>
      </c>
      <c r="D33" s="178">
        <f>'ABP Under Contract'!D32</f>
        <v>46468</v>
      </c>
      <c r="E33" s="178">
        <f>'ABP Under Contract'!E32</f>
        <v>0</v>
      </c>
      <c r="F33" s="178">
        <f>'ABP Under Contract'!F32</f>
        <v>0</v>
      </c>
      <c r="G33" s="178">
        <f>'ABP Under Contract'!G32</f>
        <v>0</v>
      </c>
      <c r="H33" s="174">
        <f>SUM(B33:G33)</f>
        <v>208545</v>
      </c>
      <c r="I33" s="178">
        <v>596571</v>
      </c>
      <c r="J33" s="178">
        <v>3429</v>
      </c>
      <c r="K33" s="178">
        <v>3273</v>
      </c>
      <c r="L33" s="178">
        <v>214109</v>
      </c>
      <c r="M33" s="178">
        <v>2838</v>
      </c>
      <c r="N33" s="178"/>
      <c r="O33" s="178"/>
      <c r="P33" s="178"/>
      <c r="Q33" s="178">
        <f t="shared" ref="Q33:Q55" si="18">Q4*$B$30</f>
        <v>16876.288757022674</v>
      </c>
      <c r="R33" s="174">
        <f>SUM(I33:Q33)</f>
        <v>837096.2887570227</v>
      </c>
      <c r="S33" s="174">
        <f>H33+J33+K33+M33+O33+P33+Q33</f>
        <v>234961.28875702267</v>
      </c>
      <c r="T33" s="174">
        <f>I33+L33+N33</f>
        <v>810680</v>
      </c>
      <c r="U33" s="174">
        <f>H33+R33</f>
        <v>1045641.2887570227</v>
      </c>
      <c r="V33" s="174">
        <f t="shared" ref="V33:AD33" si="19">$B$30*V4</f>
        <v>0</v>
      </c>
      <c r="W33" s="174">
        <f t="shared" si="19"/>
        <v>0</v>
      </c>
      <c r="X33" s="174">
        <f t="shared" si="19"/>
        <v>0</v>
      </c>
      <c r="Y33" s="174">
        <f t="shared" si="19"/>
        <v>0</v>
      </c>
      <c r="Z33" s="174">
        <f t="shared" si="19"/>
        <v>0</v>
      </c>
      <c r="AA33" s="174">
        <f t="shared" si="19"/>
        <v>0</v>
      </c>
      <c r="AB33" s="174">
        <f t="shared" si="19"/>
        <v>0</v>
      </c>
      <c r="AC33" s="174">
        <f t="shared" si="19"/>
        <v>0</v>
      </c>
      <c r="AD33" s="174">
        <f t="shared" si="19"/>
        <v>0</v>
      </c>
      <c r="AE33" s="174"/>
      <c r="AF33" s="174">
        <f t="shared" ref="AF33:AF56" si="20">AF4*$B$30</f>
        <v>0</v>
      </c>
      <c r="AG33" s="174">
        <f>SUM(V33:AF33)</f>
        <v>0</v>
      </c>
      <c r="AH33" s="174">
        <f t="shared" ref="AH33:AH55" si="21">H33+R33+AG33</f>
        <v>1045641.2887570227</v>
      </c>
      <c r="AI33" s="192">
        <f>AH33/'Collections and ACP'!E40</f>
        <v>2.9489065117554173E-2</v>
      </c>
      <c r="AL33" s="172">
        <f>H33+J33+K33+M33+Q33+V33+W33+X33+Y33+Z33+AA33+AC33+AD33+AF33+O33+P33+AE33</f>
        <v>234961.28875702267</v>
      </c>
      <c r="AM33" s="172">
        <f>I33+L33+AB33+N33</f>
        <v>810680</v>
      </c>
      <c r="AN33" s="105">
        <f>AL33/(AL33+AM33)</f>
        <v>0.22470544275879392</v>
      </c>
      <c r="AO33" s="105">
        <f>1-AN33</f>
        <v>0.77529455724120611</v>
      </c>
    </row>
    <row r="34" spans="1:41" x14ac:dyDescent="0.35">
      <c r="A34" s="177" t="s">
        <v>18</v>
      </c>
      <c r="B34" s="178">
        <f>'ABP Under Contract'!B33</f>
        <v>49951</v>
      </c>
      <c r="C34" s="178">
        <f>'ABP Under Contract'!C33</f>
        <v>164267</v>
      </c>
      <c r="D34" s="178">
        <f>'ABP Under Contract'!D33</f>
        <v>99556</v>
      </c>
      <c r="E34" s="178">
        <f>'ABP Under Contract'!E33</f>
        <v>0</v>
      </c>
      <c r="F34" s="178">
        <f>'ABP Under Contract'!F33</f>
        <v>0</v>
      </c>
      <c r="G34" s="178">
        <f>'ABP Under Contract'!G33</f>
        <v>0</v>
      </c>
      <c r="H34" s="174">
        <f t="shared" ref="H34:H55" si="22">SUM(B34:G34)</f>
        <v>313774</v>
      </c>
      <c r="I34" s="178">
        <v>596571</v>
      </c>
      <c r="J34" s="178">
        <v>3429</v>
      </c>
      <c r="K34" s="178">
        <v>2838</v>
      </c>
      <c r="L34" s="178">
        <v>605816</v>
      </c>
      <c r="M34" s="178">
        <v>269620.28230000002</v>
      </c>
      <c r="N34" s="178"/>
      <c r="O34" s="178"/>
      <c r="P34" s="178"/>
      <c r="Q34" s="178">
        <f t="shared" si="18"/>
        <v>18877.504275819301</v>
      </c>
      <c r="R34" s="174">
        <f t="shared" ref="R34:R55" si="23">SUM(I34:Q34)</f>
        <v>1497151.7865758194</v>
      </c>
      <c r="S34" s="174">
        <f t="shared" ref="S34:S56" si="24">H34+J34+K34+M34+O34+P34+Q34</f>
        <v>608538.78657581937</v>
      </c>
      <c r="T34" s="174">
        <f t="shared" si="16"/>
        <v>1202387</v>
      </c>
      <c r="U34" s="174">
        <f t="shared" si="17"/>
        <v>1810925.7865758194</v>
      </c>
      <c r="V34" s="174">
        <f t="shared" ref="V34:AD34" si="25">$B$30*V5</f>
        <v>0</v>
      </c>
      <c r="W34" s="174">
        <f t="shared" si="25"/>
        <v>0</v>
      </c>
      <c r="X34" s="174">
        <f t="shared" si="25"/>
        <v>0</v>
      </c>
      <c r="Y34" s="174">
        <f t="shared" si="25"/>
        <v>0</v>
      </c>
      <c r="Z34" s="174">
        <f t="shared" si="25"/>
        <v>0</v>
      </c>
      <c r="AA34" s="174">
        <f t="shared" si="25"/>
        <v>0</v>
      </c>
      <c r="AB34" s="174">
        <f t="shared" si="25"/>
        <v>0</v>
      </c>
      <c r="AC34" s="174">
        <f t="shared" si="25"/>
        <v>0</v>
      </c>
      <c r="AD34" s="174">
        <f t="shared" si="25"/>
        <v>0</v>
      </c>
      <c r="AE34" s="174"/>
      <c r="AF34" s="174">
        <f t="shared" si="20"/>
        <v>0</v>
      </c>
      <c r="AG34" s="174">
        <f t="shared" ref="AG34:AG35" si="26">SUM(V34:AF34)</f>
        <v>0</v>
      </c>
      <c r="AH34" s="174">
        <f t="shared" si="21"/>
        <v>1810925.7865758194</v>
      </c>
      <c r="AI34" s="192">
        <f>AH34/'Collections and ACP'!E41</f>
        <v>5.1630847139424632E-2</v>
      </c>
      <c r="AL34" s="172">
        <f t="shared" ref="AL34:AL56" si="27">H34+J34+K34+M34+Q34+V34+W34+X34+Y34+Z34+AA34+AC34+AD34+AF34+O34+P34+AE34</f>
        <v>608538.78657581937</v>
      </c>
      <c r="AM34" s="172">
        <f t="shared" ref="AM34:AM56" si="28">I34+L34+AB34+N34</f>
        <v>1202387</v>
      </c>
      <c r="AN34" s="105">
        <f t="shared" ref="AN34:AN56" si="29">AL34/(AL34+AM34)</f>
        <v>0.3360373965000919</v>
      </c>
      <c r="AO34" s="105">
        <f t="shared" ref="AO34:AO56" si="30">1-AN34</f>
        <v>0.6639626034999081</v>
      </c>
    </row>
    <row r="35" spans="1:41" x14ac:dyDescent="0.35">
      <c r="A35" s="177" t="s">
        <v>19</v>
      </c>
      <c r="B35" s="178">
        <f>'ABP Under Contract'!B34</f>
        <v>67231</v>
      </c>
      <c r="C35" s="178">
        <f>'ABP Under Contract'!C34</f>
        <v>181303</v>
      </c>
      <c r="D35" s="178">
        <f>'ABP Under Contract'!D34</f>
        <v>111722</v>
      </c>
      <c r="E35" s="178">
        <f>'ABP Under Contract'!E34</f>
        <v>0</v>
      </c>
      <c r="F35" s="178">
        <f>'ABP Under Contract'!F34</f>
        <v>0</v>
      </c>
      <c r="G35" s="178">
        <f>'ABP Under Contract'!G34</f>
        <v>0</v>
      </c>
      <c r="H35" s="174">
        <f t="shared" si="22"/>
        <v>360256</v>
      </c>
      <c r="I35" s="178">
        <v>596571</v>
      </c>
      <c r="J35" s="178">
        <v>3429</v>
      </c>
      <c r="K35" s="178">
        <v>327</v>
      </c>
      <c r="L35" s="178">
        <v>605816</v>
      </c>
      <c r="M35" s="178">
        <v>585317.28229999996</v>
      </c>
      <c r="N35" s="178"/>
      <c r="O35" s="178"/>
      <c r="P35" s="178"/>
      <c r="Q35" s="178">
        <f t="shared" si="18"/>
        <v>18783.116754440205</v>
      </c>
      <c r="R35" s="174">
        <f t="shared" si="23"/>
        <v>1810243.3990544402</v>
      </c>
      <c r="S35" s="174">
        <f t="shared" si="24"/>
        <v>968112.3990544402</v>
      </c>
      <c r="T35" s="174">
        <f t="shared" si="16"/>
        <v>1202387</v>
      </c>
      <c r="U35" s="174">
        <f t="shared" si="17"/>
        <v>2170499.3990544402</v>
      </c>
      <c r="V35" s="174">
        <f t="shared" ref="V35:AD35" si="31">$B$30*V6</f>
        <v>0</v>
      </c>
      <c r="W35" s="174">
        <f t="shared" si="31"/>
        <v>0</v>
      </c>
      <c r="X35" s="174">
        <f t="shared" si="31"/>
        <v>0</v>
      </c>
      <c r="Y35" s="174">
        <f t="shared" si="31"/>
        <v>0</v>
      </c>
      <c r="Z35" s="174">
        <f t="shared" si="31"/>
        <v>0</v>
      </c>
      <c r="AA35" s="174">
        <f t="shared" si="31"/>
        <v>0</v>
      </c>
      <c r="AB35" s="174">
        <f t="shared" si="31"/>
        <v>0</v>
      </c>
      <c r="AC35" s="174">
        <f t="shared" si="31"/>
        <v>0</v>
      </c>
      <c r="AD35" s="174">
        <f t="shared" si="31"/>
        <v>0</v>
      </c>
      <c r="AE35" s="174"/>
      <c r="AF35" s="174">
        <f t="shared" si="20"/>
        <v>0</v>
      </c>
      <c r="AG35" s="174">
        <f t="shared" si="26"/>
        <v>0</v>
      </c>
      <c r="AH35" s="174">
        <f t="shared" si="21"/>
        <v>2170499.3990544402</v>
      </c>
      <c r="AI35" s="192">
        <f>AH35/'Collections and ACP'!E42</f>
        <v>6.3245719087073188E-2</v>
      </c>
      <c r="AJ35" s="172"/>
      <c r="AK35" s="172"/>
      <c r="AL35" s="172">
        <f t="shared" si="27"/>
        <v>968112.3990544402</v>
      </c>
      <c r="AM35" s="172">
        <f t="shared" si="28"/>
        <v>1202387</v>
      </c>
      <c r="AN35" s="105">
        <f t="shared" si="29"/>
        <v>0.4460320972565992</v>
      </c>
      <c r="AO35" s="105">
        <f t="shared" si="30"/>
        <v>0.5539679027434008</v>
      </c>
    </row>
    <row r="36" spans="1:41" x14ac:dyDescent="0.35">
      <c r="A36" s="177" t="s">
        <v>20</v>
      </c>
      <c r="B36" s="178">
        <f>'ABP Under Contract'!B35</f>
        <v>99315</v>
      </c>
      <c r="C36" s="178">
        <f>'ABP Under Contract'!C35</f>
        <v>233600</v>
      </c>
      <c r="D36" s="178">
        <f>'ABP Under Contract'!D35</f>
        <v>169313</v>
      </c>
      <c r="E36" s="178">
        <f>'ABP Under Contract'!E35</f>
        <v>0</v>
      </c>
      <c r="F36" s="178">
        <f>'ABP Under Contract'!F35</f>
        <v>0</v>
      </c>
      <c r="G36" s="178">
        <f>'ABP Under Contract'!G35</f>
        <v>0</v>
      </c>
      <c r="H36" s="174">
        <f t="shared" si="22"/>
        <v>502228</v>
      </c>
      <c r="I36" s="178">
        <v>596571</v>
      </c>
      <c r="J36" s="178">
        <v>3429</v>
      </c>
      <c r="K36" s="30"/>
      <c r="L36" s="178">
        <v>605816</v>
      </c>
      <c r="M36" s="178">
        <v>585317.28229999996</v>
      </c>
      <c r="N36" s="178"/>
      <c r="O36" s="178"/>
      <c r="P36" s="178"/>
      <c r="Q36" s="178">
        <f t="shared" si="18"/>
        <v>18689.201170668006</v>
      </c>
      <c r="R36" s="174">
        <f t="shared" si="23"/>
        <v>1809822.4834706681</v>
      </c>
      <c r="S36" s="174">
        <f t="shared" si="24"/>
        <v>1109663.4834706681</v>
      </c>
      <c r="T36" s="174">
        <f t="shared" si="16"/>
        <v>1202387</v>
      </c>
      <c r="U36" s="174">
        <f t="shared" si="17"/>
        <v>2312050.4834706681</v>
      </c>
      <c r="V36" s="174">
        <f t="shared" ref="V36:AD36" si="32">$B$30*V7</f>
        <v>0</v>
      </c>
      <c r="W36" s="174">
        <f t="shared" si="32"/>
        <v>0</v>
      </c>
      <c r="X36" s="174">
        <f t="shared" si="32"/>
        <v>0</v>
      </c>
      <c r="Y36" s="174">
        <f t="shared" si="32"/>
        <v>0</v>
      </c>
      <c r="Z36" s="174">
        <f t="shared" si="32"/>
        <v>0</v>
      </c>
      <c r="AA36" s="174">
        <f t="shared" si="32"/>
        <v>0</v>
      </c>
      <c r="AB36" s="174">
        <f t="shared" si="32"/>
        <v>0</v>
      </c>
      <c r="AC36" s="174">
        <f t="shared" si="32"/>
        <v>0</v>
      </c>
      <c r="AD36" s="174">
        <f t="shared" si="32"/>
        <v>0</v>
      </c>
      <c r="AE36" s="174"/>
      <c r="AF36" s="174">
        <f t="shared" si="20"/>
        <v>13611.872191257246</v>
      </c>
      <c r="AG36" s="174">
        <f>SUM(V36:AF36)</f>
        <v>13611.872191257246</v>
      </c>
      <c r="AH36" s="174">
        <f t="shared" si="21"/>
        <v>2325662.3556619254</v>
      </c>
      <c r="AI36" s="192">
        <f>AH36/'Collections and ACP'!E43</f>
        <v>6.8475818892349147E-2</v>
      </c>
      <c r="AJ36" s="172"/>
      <c r="AK36" s="172"/>
      <c r="AL36" s="172">
        <f t="shared" si="27"/>
        <v>1123275.3556619254</v>
      </c>
      <c r="AM36" s="172">
        <f t="shared" si="28"/>
        <v>1202387</v>
      </c>
      <c r="AN36" s="105">
        <f t="shared" si="29"/>
        <v>0.48299158858002883</v>
      </c>
      <c r="AO36" s="105">
        <f t="shared" si="30"/>
        <v>0.51700841141997111</v>
      </c>
    </row>
    <row r="37" spans="1:41" x14ac:dyDescent="0.35">
      <c r="A37" s="177" t="s">
        <v>22</v>
      </c>
      <c r="B37" s="178">
        <f>'ABP Under Contract'!B36</f>
        <v>103578</v>
      </c>
      <c r="C37" s="178">
        <f>'ABP Under Contract'!C36</f>
        <v>253800</v>
      </c>
      <c r="D37" s="178">
        <f>'ABP Under Contract'!D36</f>
        <v>271269</v>
      </c>
      <c r="E37" s="178">
        <f>'ABP Under Contract'!E36</f>
        <v>715</v>
      </c>
      <c r="F37" s="178">
        <f>'ABP Under Contract'!F36</f>
        <v>0</v>
      </c>
      <c r="G37" s="178">
        <f>'ABP Under Contract'!G36</f>
        <v>0</v>
      </c>
      <c r="H37" s="174">
        <f t="shared" si="22"/>
        <v>629362</v>
      </c>
      <c r="I37" s="178">
        <v>596571</v>
      </c>
      <c r="J37" s="178">
        <v>3429</v>
      </c>
      <c r="K37" s="30"/>
      <c r="L37" s="178">
        <v>605816</v>
      </c>
      <c r="M37" s="178">
        <v>585317.28229999996</v>
      </c>
      <c r="N37" s="178">
        <f t="shared" ref="N37:P56" si="33">N8*$B$30</f>
        <v>0</v>
      </c>
      <c r="O37" s="178">
        <f t="shared" si="33"/>
        <v>0</v>
      </c>
      <c r="P37" s="178">
        <f t="shared" si="33"/>
        <v>0</v>
      </c>
      <c r="Q37" s="178">
        <f t="shared" si="18"/>
        <v>18595.755164814665</v>
      </c>
      <c r="R37" s="174">
        <f t="shared" si="23"/>
        <v>1809729.0374648147</v>
      </c>
      <c r="S37" s="174">
        <f>H37+J37+K37+M37+O37+P37+Q37</f>
        <v>1236704.0374648147</v>
      </c>
      <c r="T37" s="174">
        <f t="shared" si="16"/>
        <v>1202387</v>
      </c>
      <c r="U37" s="174">
        <f t="shared" si="17"/>
        <v>2439091.0374648147</v>
      </c>
      <c r="V37" s="174">
        <f t="shared" ref="V37:AD37" si="34">$B$30*V8</f>
        <v>0</v>
      </c>
      <c r="W37" s="174">
        <f t="shared" si="34"/>
        <v>29296.05471090812</v>
      </c>
      <c r="X37" s="174">
        <f t="shared" si="34"/>
        <v>0</v>
      </c>
      <c r="Y37" s="174">
        <f t="shared" si="34"/>
        <v>103650.85166294473</v>
      </c>
      <c r="Z37" s="174">
        <f t="shared" si="34"/>
        <v>0</v>
      </c>
      <c r="AA37" s="174">
        <f t="shared" si="34"/>
        <v>0</v>
      </c>
      <c r="AB37" s="174">
        <f t="shared" si="34"/>
        <v>0</v>
      </c>
      <c r="AC37" s="174">
        <f t="shared" si="34"/>
        <v>0</v>
      </c>
      <c r="AD37" s="174">
        <f t="shared" si="34"/>
        <v>0</v>
      </c>
      <c r="AE37" s="174">
        <f t="shared" ref="AE37:AE56" si="35">AE8*$C$30</f>
        <v>108781.82339999999</v>
      </c>
      <c r="AF37" s="174">
        <f t="shared" si="20"/>
        <v>27087.625660601916</v>
      </c>
      <c r="AG37" s="174">
        <f>SUM(V37:AF37)</f>
        <v>268816.35543445474</v>
      </c>
      <c r="AH37" s="174">
        <f t="shared" si="21"/>
        <v>2707907.3928992692</v>
      </c>
      <c r="AI37" s="192">
        <f>AH37/'Collections and ACP'!E44</f>
        <v>8.072082432928647E-2</v>
      </c>
      <c r="AJ37" s="172"/>
      <c r="AK37" s="172"/>
      <c r="AL37" s="172">
        <f t="shared" si="27"/>
        <v>1505520.3928992697</v>
      </c>
      <c r="AM37" s="172">
        <f t="shared" si="28"/>
        <v>1202387</v>
      </c>
      <c r="AN37" s="105">
        <f t="shared" si="29"/>
        <v>0.55597189063668728</v>
      </c>
      <c r="AO37" s="105">
        <f t="shared" si="30"/>
        <v>0.44402810936331272</v>
      </c>
    </row>
    <row r="38" spans="1:41" x14ac:dyDescent="0.35">
      <c r="A38" s="177" t="s">
        <v>23</v>
      </c>
      <c r="B38" s="178">
        <f>'ABP Under Contract'!B37</f>
        <v>104157</v>
      </c>
      <c r="C38" s="178">
        <f>'ABP Under Contract'!C37</f>
        <v>252522</v>
      </c>
      <c r="D38" s="178">
        <f>'ABP Under Contract'!D37</f>
        <v>535277</v>
      </c>
      <c r="E38" s="178">
        <f>'ABP Under Contract'!E37</f>
        <v>6019</v>
      </c>
      <c r="F38" s="178">
        <f>'ABP Under Contract'!F37</f>
        <v>37532</v>
      </c>
      <c r="G38" s="178">
        <f>'ABP Under Contract'!G37</f>
        <v>269651</v>
      </c>
      <c r="H38" s="174">
        <f t="shared" si="22"/>
        <v>1205158</v>
      </c>
      <c r="I38" s="178">
        <v>596571</v>
      </c>
      <c r="J38" s="178">
        <v>3429</v>
      </c>
      <c r="K38" s="30"/>
      <c r="L38" s="178">
        <v>605816</v>
      </c>
      <c r="M38" s="178">
        <v>585317.28229999996</v>
      </c>
      <c r="N38" s="178">
        <f t="shared" si="33"/>
        <v>133222.57889315602</v>
      </c>
      <c r="O38" s="178">
        <f t="shared" si="33"/>
        <v>547811.53402295941</v>
      </c>
      <c r="P38" s="178">
        <f t="shared" si="33"/>
        <v>16759.979653362909</v>
      </c>
      <c r="Q38" s="178">
        <f t="shared" si="18"/>
        <v>18502.776388990595</v>
      </c>
      <c r="R38" s="174">
        <f t="shared" si="23"/>
        <v>2507430.1512584696</v>
      </c>
      <c r="S38" s="174">
        <f t="shared" si="24"/>
        <v>2376978.5723653133</v>
      </c>
      <c r="T38" s="174">
        <f t="shared" si="16"/>
        <v>1335609.578893156</v>
      </c>
      <c r="U38" s="174">
        <f t="shared" si="17"/>
        <v>3712588.1512584696</v>
      </c>
      <c r="V38" s="174">
        <f t="shared" ref="V38:AD38" si="36">$B$30*V9</f>
        <v>42256.713429278054</v>
      </c>
      <c r="W38" s="174">
        <f t="shared" si="36"/>
        <v>74138.937720590548</v>
      </c>
      <c r="X38" s="174">
        <f t="shared" si="36"/>
        <v>0</v>
      </c>
      <c r="Y38" s="174">
        <f t="shared" si="36"/>
        <v>140325.48090302967</v>
      </c>
      <c r="Z38" s="174">
        <f t="shared" si="36"/>
        <v>0</v>
      </c>
      <c r="AA38" s="174">
        <f t="shared" si="36"/>
        <v>49988.181425818853</v>
      </c>
      <c r="AB38" s="174">
        <f t="shared" si="36"/>
        <v>0</v>
      </c>
      <c r="AC38" s="174">
        <f t="shared" si="36"/>
        <v>0</v>
      </c>
      <c r="AD38" s="174">
        <f t="shared" si="36"/>
        <v>0</v>
      </c>
      <c r="AE38" s="174">
        <f t="shared" si="35"/>
        <v>108781.82339999999</v>
      </c>
      <c r="AF38" s="174">
        <f t="shared" si="20"/>
        <v>40631.438490902874</v>
      </c>
      <c r="AG38" s="174">
        <f t="shared" ref="AG38:AG56" si="37">SUM(V38:AF38)</f>
        <v>456122.57536962</v>
      </c>
      <c r="AH38" s="174">
        <f t="shared" si="21"/>
        <v>4168710.7266280893</v>
      </c>
      <c r="AI38" s="192">
        <f>AH38/'Collections and ACP'!E45</f>
        <v>0.12569797523430706</v>
      </c>
      <c r="AJ38" s="172"/>
      <c r="AK38" s="172"/>
      <c r="AL38" s="172">
        <f t="shared" si="27"/>
        <v>2833101.1477349335</v>
      </c>
      <c r="AM38" s="172">
        <f t="shared" si="28"/>
        <v>1335609.578893156</v>
      </c>
      <c r="AN38" s="105">
        <f t="shared" si="29"/>
        <v>0.67961087576506429</v>
      </c>
      <c r="AO38" s="105">
        <f t="shared" si="30"/>
        <v>0.32038912423493571</v>
      </c>
    </row>
    <row r="39" spans="1:41" x14ac:dyDescent="0.35">
      <c r="A39" s="177" t="s">
        <v>24</v>
      </c>
      <c r="B39" s="178">
        <f>'ABP Under Contract'!B38</f>
        <v>103633</v>
      </c>
      <c r="C39" s="178">
        <f>'ABP Under Contract'!C38</f>
        <v>251231</v>
      </c>
      <c r="D39" s="178">
        <f>'ABP Under Contract'!D38</f>
        <v>532601</v>
      </c>
      <c r="E39" s="178">
        <f>'ABP Under Contract'!E38</f>
        <v>5989</v>
      </c>
      <c r="F39" s="178">
        <f>'ABP Under Contract'!F38</f>
        <v>37344</v>
      </c>
      <c r="G39" s="178">
        <f>'ABP Under Contract'!G38</f>
        <v>268308</v>
      </c>
      <c r="H39" s="174">
        <f t="shared" si="22"/>
        <v>1199106</v>
      </c>
      <c r="I39" s="178">
        <v>596571</v>
      </c>
      <c r="J39" s="178">
        <v>3429</v>
      </c>
      <c r="K39" s="30"/>
      <c r="L39" s="178">
        <v>605816</v>
      </c>
      <c r="M39" s="178">
        <v>585317.28229999996</v>
      </c>
      <c r="N39" s="178">
        <f t="shared" si="33"/>
        <v>133222.57889315602</v>
      </c>
      <c r="O39" s="178">
        <f t="shared" si="33"/>
        <v>1196996.5869378997</v>
      </c>
      <c r="P39" s="178">
        <f t="shared" si="33"/>
        <v>47301.154499613243</v>
      </c>
      <c r="Q39" s="178">
        <f t="shared" si="18"/>
        <v>18410.262507045642</v>
      </c>
      <c r="R39" s="174">
        <f t="shared" si="23"/>
        <v>3187063.8651377144</v>
      </c>
      <c r="S39" s="174">
        <f t="shared" si="24"/>
        <v>3050560.2862445586</v>
      </c>
      <c r="T39" s="174">
        <f t="shared" si="16"/>
        <v>1335609.578893156</v>
      </c>
      <c r="U39" s="174">
        <f t="shared" si="17"/>
        <v>4386169.8651377149</v>
      </c>
      <c r="V39" s="174">
        <f t="shared" ref="V39:AD39" si="38">$B$30*V10</f>
        <v>84302.143291409709</v>
      </c>
      <c r="W39" s="174">
        <f t="shared" si="38"/>
        <v>118757.60631522455</v>
      </c>
      <c r="X39" s="174">
        <f t="shared" si="38"/>
        <v>77246.758035137798</v>
      </c>
      <c r="Y39" s="174">
        <f t="shared" si="38"/>
        <v>176816.73699691423</v>
      </c>
      <c r="Z39" s="174">
        <f t="shared" si="38"/>
        <v>11443.964153353747</v>
      </c>
      <c r="AA39" s="174">
        <f t="shared" si="38"/>
        <v>99726.421944508606</v>
      </c>
      <c r="AB39" s="174">
        <f t="shared" si="38"/>
        <v>0</v>
      </c>
      <c r="AC39" s="174">
        <f t="shared" si="38"/>
        <v>0</v>
      </c>
      <c r="AD39" s="174">
        <f t="shared" si="38"/>
        <v>0</v>
      </c>
      <c r="AE39" s="174">
        <f t="shared" si="35"/>
        <v>108781.82339999999</v>
      </c>
      <c r="AF39" s="174">
        <f t="shared" si="20"/>
        <v>54175.251321203832</v>
      </c>
      <c r="AG39" s="174">
        <f t="shared" si="37"/>
        <v>731250.70545775257</v>
      </c>
      <c r="AH39" s="174">
        <f t="shared" si="21"/>
        <v>5117420.5705954675</v>
      </c>
      <c r="AI39" s="192">
        <f>AH39/'Collections and ACP'!E46</f>
        <v>0.15537370128790162</v>
      </c>
      <c r="AJ39" s="172"/>
      <c r="AK39" s="172"/>
      <c r="AL39" s="172">
        <f t="shared" si="27"/>
        <v>3781810.9917023112</v>
      </c>
      <c r="AM39" s="172">
        <f t="shared" si="28"/>
        <v>1335609.578893156</v>
      </c>
      <c r="AN39" s="105">
        <f t="shared" si="29"/>
        <v>0.73900726733942379</v>
      </c>
      <c r="AO39" s="105">
        <f t="shared" si="30"/>
        <v>0.26099273266057621</v>
      </c>
    </row>
    <row r="40" spans="1:41" x14ac:dyDescent="0.35">
      <c r="A40" s="177" t="s">
        <v>25</v>
      </c>
      <c r="B40" s="178">
        <f>'ABP Under Contract'!B39</f>
        <v>103133</v>
      </c>
      <c r="C40" s="178">
        <f>'ABP Under Contract'!C39</f>
        <v>249959</v>
      </c>
      <c r="D40" s="178">
        <f>'ABP Under Contract'!D39</f>
        <v>529933</v>
      </c>
      <c r="E40" s="178">
        <f>'ABP Under Contract'!E39</f>
        <v>5960</v>
      </c>
      <c r="F40" s="178">
        <f>'ABP Under Contract'!F39</f>
        <v>37156</v>
      </c>
      <c r="G40" s="178">
        <f>'ABP Under Contract'!G39</f>
        <v>266964</v>
      </c>
      <c r="H40" s="174">
        <f t="shared" si="22"/>
        <v>1193105</v>
      </c>
      <c r="I40" s="178">
        <v>596571</v>
      </c>
      <c r="J40" s="178">
        <v>3429</v>
      </c>
      <c r="K40" s="30"/>
      <c r="L40" s="178">
        <v>605816</v>
      </c>
      <c r="M40" s="178">
        <v>585317.28229999996</v>
      </c>
      <c r="N40" s="178">
        <f t="shared" si="33"/>
        <v>373157.31232263579</v>
      </c>
      <c r="O40" s="178">
        <f t="shared" si="33"/>
        <v>1191011.6040032103</v>
      </c>
      <c r="P40" s="178">
        <f t="shared" si="33"/>
        <v>47064.648727115178</v>
      </c>
      <c r="Q40" s="178">
        <f t="shared" si="18"/>
        <v>18318.211194510412</v>
      </c>
      <c r="R40" s="174">
        <f t="shared" si="23"/>
        <v>3420685.0585474716</v>
      </c>
      <c r="S40" s="174">
        <f t="shared" si="24"/>
        <v>3038245.7462248364</v>
      </c>
      <c r="T40" s="174">
        <f t="shared" si="16"/>
        <v>1575544.3123226357</v>
      </c>
      <c r="U40" s="174">
        <f t="shared" si="17"/>
        <v>4613790.0585474716</v>
      </c>
      <c r="V40" s="174">
        <f t="shared" ref="V40:AD40" si="39">$B$30*V11</f>
        <v>126137.34600423071</v>
      </c>
      <c r="W40" s="174">
        <f t="shared" si="39"/>
        <v>163153.18156688541</v>
      </c>
      <c r="X40" s="174">
        <f t="shared" si="39"/>
        <v>154107.2822800999</v>
      </c>
      <c r="Y40" s="174">
        <f t="shared" si="39"/>
        <v>213125.5368103293</v>
      </c>
      <c r="Z40" s="174">
        <f t="shared" si="39"/>
        <v>22830.708485940726</v>
      </c>
      <c r="AA40" s="174">
        <f t="shared" si="39"/>
        <v>149215.97126060491</v>
      </c>
      <c r="AB40" s="174">
        <f t="shared" si="39"/>
        <v>1805262.0959505085</v>
      </c>
      <c r="AC40" s="174">
        <f t="shared" si="39"/>
        <v>386152.01643645542</v>
      </c>
      <c r="AD40" s="174">
        <f t="shared" si="39"/>
        <v>25099.713092074475</v>
      </c>
      <c r="AE40" s="174">
        <f t="shared" si="35"/>
        <v>108781.82339999999</v>
      </c>
      <c r="AF40" s="174">
        <f t="shared" si="20"/>
        <v>67719.06415150479</v>
      </c>
      <c r="AG40" s="174">
        <f t="shared" si="37"/>
        <v>3221584.7394386344</v>
      </c>
      <c r="AH40" s="174">
        <f t="shared" si="21"/>
        <v>7835374.797986106</v>
      </c>
      <c r="AI40" s="192">
        <f>AH40/'Collections and ACP'!E47</f>
        <v>0.23789547224948657</v>
      </c>
      <c r="AJ40" s="172"/>
      <c r="AK40" s="172"/>
      <c r="AL40" s="172">
        <f t="shared" si="27"/>
        <v>4454568.3897129614</v>
      </c>
      <c r="AM40" s="172">
        <f t="shared" si="28"/>
        <v>3380806.4082731442</v>
      </c>
      <c r="AN40" s="105">
        <f t="shared" si="29"/>
        <v>0.56852014160929498</v>
      </c>
      <c r="AO40" s="105">
        <f t="shared" si="30"/>
        <v>0.43147985839070502</v>
      </c>
    </row>
    <row r="41" spans="1:41" x14ac:dyDescent="0.35">
      <c r="A41" s="177" t="s">
        <v>26</v>
      </c>
      <c r="B41" s="178">
        <f>'ABP Under Contract'!B40</f>
        <v>102588</v>
      </c>
      <c r="C41" s="178">
        <f>'ABP Under Contract'!C40</f>
        <v>248741</v>
      </c>
      <c r="D41" s="178">
        <f>'ABP Under Contract'!D40</f>
        <v>527286</v>
      </c>
      <c r="E41" s="178">
        <f>'ABP Under Contract'!E40</f>
        <v>5930</v>
      </c>
      <c r="F41" s="178">
        <f>'ABP Under Contract'!F40</f>
        <v>36972</v>
      </c>
      <c r="G41" s="178">
        <f>'ABP Under Contract'!G40</f>
        <v>265631</v>
      </c>
      <c r="H41" s="174">
        <f t="shared" si="22"/>
        <v>1187148</v>
      </c>
      <c r="I41" s="178">
        <v>596571</v>
      </c>
      <c r="J41" s="178">
        <v>3429</v>
      </c>
      <c r="K41" s="30"/>
      <c r="L41" s="178">
        <v>605816</v>
      </c>
      <c r="M41" s="178">
        <v>585317.28229999996</v>
      </c>
      <c r="N41" s="178">
        <f t="shared" si="33"/>
        <v>373157.31232263579</v>
      </c>
      <c r="O41" s="178">
        <f t="shared" si="33"/>
        <v>1185056.5459831941</v>
      </c>
      <c r="P41" s="178">
        <f t="shared" si="33"/>
        <v>46829.32548347961</v>
      </c>
      <c r="Q41" s="178">
        <f t="shared" si="18"/>
        <v>18226.620138537863</v>
      </c>
      <c r="R41" s="174">
        <f t="shared" si="23"/>
        <v>3414403.0862278473</v>
      </c>
      <c r="S41" s="174">
        <f t="shared" si="24"/>
        <v>3026006.7739052121</v>
      </c>
      <c r="T41" s="174">
        <f t="shared" si="16"/>
        <v>1575544.3123226357</v>
      </c>
      <c r="U41" s="174">
        <f t="shared" si="17"/>
        <v>4601551.0862278473</v>
      </c>
      <c r="V41" s="174">
        <f t="shared" ref="V41:AD41" si="40">$B$30*V12</f>
        <v>167763.37270348761</v>
      </c>
      <c r="W41" s="174">
        <f t="shared" si="40"/>
        <v>207326.77894228793</v>
      </c>
      <c r="X41" s="174">
        <f t="shared" si="40"/>
        <v>230583.50390383721</v>
      </c>
      <c r="Y41" s="174">
        <f t="shared" si="40"/>
        <v>249252.79262467736</v>
      </c>
      <c r="Z41" s="174">
        <f t="shared" si="40"/>
        <v>34160.519096864766</v>
      </c>
      <c r="AA41" s="174">
        <f t="shared" si="40"/>
        <v>198458.07283012074</v>
      </c>
      <c r="AB41" s="174">
        <f t="shared" si="40"/>
        <v>2529297.8508046172</v>
      </c>
      <c r="AC41" s="174">
        <f t="shared" si="40"/>
        <v>818642.70926673838</v>
      </c>
      <c r="AD41" s="174">
        <f t="shared" si="40"/>
        <v>49591.430191653795</v>
      </c>
      <c r="AE41" s="174">
        <f t="shared" si="35"/>
        <v>108781.82339999999</v>
      </c>
      <c r="AF41" s="174">
        <f t="shared" si="20"/>
        <v>81262.876981805748</v>
      </c>
      <c r="AG41" s="174">
        <f t="shared" si="37"/>
        <v>4675121.7307460904</v>
      </c>
      <c r="AH41" s="174">
        <f t="shared" si="21"/>
        <v>9276672.8169739377</v>
      </c>
      <c r="AI41" s="192">
        <f>AH41/'Collections and ACP'!E48</f>
        <v>0.28165576218066996</v>
      </c>
      <c r="AJ41" s="172"/>
      <c r="AK41" s="172"/>
      <c r="AL41" s="172">
        <f t="shared" si="27"/>
        <v>5171830.6538466858</v>
      </c>
      <c r="AM41" s="172">
        <f t="shared" si="28"/>
        <v>4104842.1631272528</v>
      </c>
      <c r="AN41" s="105">
        <f t="shared" si="29"/>
        <v>0.55750922296014993</v>
      </c>
      <c r="AO41" s="105">
        <f t="shared" si="30"/>
        <v>0.44249077703985007</v>
      </c>
    </row>
    <row r="42" spans="1:41" x14ac:dyDescent="0.35">
      <c r="A42" s="177" t="s">
        <v>27</v>
      </c>
      <c r="B42" s="178">
        <f>'ABP Under Contract'!B41</f>
        <v>102084</v>
      </c>
      <c r="C42" s="178">
        <f>'ABP Under Contract'!C41</f>
        <v>247501</v>
      </c>
      <c r="D42" s="178">
        <f>'ABP Under Contract'!D41</f>
        <v>524641</v>
      </c>
      <c r="E42" s="178">
        <f>'ABP Under Contract'!E41</f>
        <v>5900</v>
      </c>
      <c r="F42" s="178">
        <f>'ABP Under Contract'!F41</f>
        <v>36785</v>
      </c>
      <c r="G42" s="178">
        <f>'ABP Under Contract'!G41</f>
        <v>264298</v>
      </c>
      <c r="H42" s="174">
        <f t="shared" si="22"/>
        <v>1181209</v>
      </c>
      <c r="I42" s="178">
        <v>596571</v>
      </c>
      <c r="J42" s="178">
        <v>3429</v>
      </c>
      <c r="K42" s="30"/>
      <c r="L42" s="178">
        <v>605816</v>
      </c>
      <c r="M42" s="178">
        <v>585317.28229999996</v>
      </c>
      <c r="N42" s="178">
        <f t="shared" si="33"/>
        <v>373157.31232263579</v>
      </c>
      <c r="O42" s="178">
        <f t="shared" si="33"/>
        <v>1179131.2632532781</v>
      </c>
      <c r="P42" s="178">
        <f t="shared" si="33"/>
        <v>46595.178856062201</v>
      </c>
      <c r="Q42" s="178">
        <f t="shared" si="18"/>
        <v>18135.487037845171</v>
      </c>
      <c r="R42" s="174">
        <f t="shared" si="23"/>
        <v>3408152.523769821</v>
      </c>
      <c r="S42" s="174">
        <f t="shared" si="24"/>
        <v>3013817.2114471854</v>
      </c>
      <c r="T42" s="174">
        <f t="shared" si="16"/>
        <v>1575544.3123226357</v>
      </c>
      <c r="U42" s="174">
        <f t="shared" si="17"/>
        <v>4589361.523769821</v>
      </c>
      <c r="V42" s="174">
        <f t="shared" ref="V42:AD42" si="41">$B$30*V13</f>
        <v>209181.26926924824</v>
      </c>
      <c r="W42" s="174">
        <f t="shared" si="41"/>
        <v>251279.50833081346</v>
      </c>
      <c r="X42" s="174">
        <f t="shared" si="41"/>
        <v>306677.3444194558</v>
      </c>
      <c r="Y42" s="174">
        <f t="shared" si="41"/>
        <v>285199.41215995362</v>
      </c>
      <c r="Z42" s="174">
        <f t="shared" si="41"/>
        <v>45433.680654734198</v>
      </c>
      <c r="AA42" s="174">
        <f t="shared" si="41"/>
        <v>247453.96389178903</v>
      </c>
      <c r="AB42" s="174">
        <f t="shared" si="41"/>
        <v>3253333.6056587263</v>
      </c>
      <c r="AC42" s="174">
        <f t="shared" si="41"/>
        <v>1248970.9486328699</v>
      </c>
      <c r="AD42" s="174">
        <f t="shared" si="41"/>
        <v>73960.688705735229</v>
      </c>
      <c r="AE42" s="174">
        <f t="shared" si="35"/>
        <v>108781.82339999999</v>
      </c>
      <c r="AF42" s="174">
        <f t="shared" si="20"/>
        <v>91446.194899325259</v>
      </c>
      <c r="AG42" s="174">
        <f t="shared" si="37"/>
        <v>6121718.4400226502</v>
      </c>
      <c r="AH42" s="174">
        <f t="shared" si="21"/>
        <v>10711079.963792471</v>
      </c>
      <c r="AI42" s="192">
        <f>AH42/'Collections and ACP'!E49</f>
        <v>0.32520683336594891</v>
      </c>
      <c r="AJ42" s="172"/>
      <c r="AK42" s="172"/>
      <c r="AL42" s="172">
        <f t="shared" si="27"/>
        <v>5882202.0458111092</v>
      </c>
      <c r="AM42" s="172">
        <f t="shared" si="28"/>
        <v>4828877.9179813629</v>
      </c>
      <c r="AN42" s="105">
        <f t="shared" si="29"/>
        <v>0.54916983774700501</v>
      </c>
      <c r="AO42" s="105">
        <f t="shared" si="30"/>
        <v>0.45083016225299499</v>
      </c>
    </row>
    <row r="43" spans="1:41" x14ac:dyDescent="0.35">
      <c r="A43" s="177" t="s">
        <v>28</v>
      </c>
      <c r="B43" s="178">
        <f>'ABP Under Contract'!B42</f>
        <v>101589</v>
      </c>
      <c r="C43" s="178">
        <f>'ABP Under Contract'!C42</f>
        <v>246248</v>
      </c>
      <c r="D43" s="178">
        <f>'ABP Under Contract'!D42</f>
        <v>522028</v>
      </c>
      <c r="E43" s="178">
        <f>'ABP Under Contract'!E42</f>
        <v>5870</v>
      </c>
      <c r="F43" s="178">
        <f>'ABP Under Contract'!F42</f>
        <v>36602</v>
      </c>
      <c r="G43" s="178">
        <f>'ABP Under Contract'!G42</f>
        <v>262978</v>
      </c>
      <c r="H43" s="174">
        <f t="shared" si="22"/>
        <v>1175315</v>
      </c>
      <c r="I43" s="178">
        <v>596571</v>
      </c>
      <c r="J43" s="178">
        <v>3429</v>
      </c>
      <c r="K43" s="30"/>
      <c r="L43" s="178">
        <v>605816</v>
      </c>
      <c r="M43" s="178">
        <v>585317.28229999996</v>
      </c>
      <c r="N43" s="178">
        <f t="shared" si="33"/>
        <v>373157.31232263579</v>
      </c>
      <c r="O43" s="178">
        <f t="shared" si="33"/>
        <v>1173235.6069370117</v>
      </c>
      <c r="P43" s="178">
        <f t="shared" si="33"/>
        <v>46362.202961781892</v>
      </c>
      <c r="Q43" s="178">
        <f t="shared" si="18"/>
        <v>18044.809602655947</v>
      </c>
      <c r="R43" s="174">
        <f t="shared" si="23"/>
        <v>3401933.2141240854</v>
      </c>
      <c r="S43" s="174">
        <f t="shared" si="24"/>
        <v>3001703.9018014497</v>
      </c>
      <c r="T43" s="174">
        <f t="shared" si="16"/>
        <v>1575544.3123226357</v>
      </c>
      <c r="U43" s="174">
        <f t="shared" si="17"/>
        <v>4577248.2141240854</v>
      </c>
      <c r="V43" s="174">
        <f t="shared" ref="V43:AD43" si="42">$B$30*V14</f>
        <v>250392.07635218004</v>
      </c>
      <c r="W43" s="174">
        <f t="shared" si="42"/>
        <v>295012.47407239641</v>
      </c>
      <c r="X43" s="174">
        <f t="shared" si="42"/>
        <v>382390.71573249635</v>
      </c>
      <c r="Y43" s="174">
        <f t="shared" si="42"/>
        <v>320966.29859755351</v>
      </c>
      <c r="Z43" s="174">
        <f t="shared" si="42"/>
        <v>56650.476404814268</v>
      </c>
      <c r="AA43" s="174">
        <f t="shared" si="42"/>
        <v>296204.8754981489</v>
      </c>
      <c r="AB43" s="174">
        <f t="shared" si="42"/>
        <v>3977369.360512835</v>
      </c>
      <c r="AC43" s="174">
        <f t="shared" si="42"/>
        <v>1677147.5468021708</v>
      </c>
      <c r="AD43" s="174">
        <f t="shared" si="42"/>
        <v>98208.10092724624</v>
      </c>
      <c r="AE43" s="174">
        <f t="shared" si="35"/>
        <v>108781.82339999999</v>
      </c>
      <c r="AF43" s="174">
        <f t="shared" si="20"/>
        <v>101629.51281684477</v>
      </c>
      <c r="AG43" s="174">
        <f t="shared" si="37"/>
        <v>7564753.2611166853</v>
      </c>
      <c r="AH43" s="174">
        <f t="shared" si="21"/>
        <v>12142001.475240771</v>
      </c>
      <c r="AI43" s="192">
        <f>AH43/'Collections and ACP'!E50</f>
        <v>0.36865207465873767</v>
      </c>
      <c r="AJ43" s="172"/>
      <c r="AK43" s="172"/>
      <c r="AL43" s="172">
        <f t="shared" si="27"/>
        <v>6589087.8024053006</v>
      </c>
      <c r="AM43" s="172">
        <f t="shared" si="28"/>
        <v>5552913.6728354711</v>
      </c>
      <c r="AN43" s="105">
        <f t="shared" si="29"/>
        <v>0.5426690003160819</v>
      </c>
      <c r="AO43" s="105">
        <f t="shared" si="30"/>
        <v>0.4573309996839181</v>
      </c>
    </row>
    <row r="44" spans="1:41" x14ac:dyDescent="0.35">
      <c r="A44" s="177" t="s">
        <v>29</v>
      </c>
      <c r="B44" s="178">
        <f>'ABP Under Contract'!B43</f>
        <v>101123</v>
      </c>
      <c r="C44" s="178">
        <f>'ABP Under Contract'!C43</f>
        <v>245034</v>
      </c>
      <c r="D44" s="178">
        <f>'ABP Under Contract'!D43</f>
        <v>519417</v>
      </c>
      <c r="E44" s="178">
        <f>'ABP Under Contract'!E43</f>
        <v>5841</v>
      </c>
      <c r="F44" s="178">
        <f>'ABP Under Contract'!F43</f>
        <v>36420</v>
      </c>
      <c r="G44" s="178">
        <f>'ABP Under Contract'!G43</f>
        <v>261661</v>
      </c>
      <c r="H44" s="174">
        <f t="shared" si="22"/>
        <v>1169496</v>
      </c>
      <c r="I44" s="178">
        <v>596571</v>
      </c>
      <c r="J44" s="178">
        <v>3429</v>
      </c>
      <c r="K44" s="30"/>
      <c r="L44" s="178">
        <v>605816</v>
      </c>
      <c r="M44" s="178">
        <v>585317.28229999996</v>
      </c>
      <c r="N44" s="178">
        <f t="shared" si="33"/>
        <v>373157.31232263579</v>
      </c>
      <c r="O44" s="178">
        <f t="shared" si="33"/>
        <v>1167369.4289023266</v>
      </c>
      <c r="P44" s="178">
        <f t="shared" si="33"/>
        <v>46130.391946972981</v>
      </c>
      <c r="Q44" s="178">
        <f t="shared" si="18"/>
        <v>17954.585554642668</v>
      </c>
      <c r="R44" s="174">
        <f t="shared" si="23"/>
        <v>3395745.0010265778</v>
      </c>
      <c r="S44" s="174">
        <f t="shared" si="24"/>
        <v>2989696.6887039421</v>
      </c>
      <c r="T44" s="174">
        <f t="shared" si="16"/>
        <v>1575544.3123226357</v>
      </c>
      <c r="U44" s="174">
        <f t="shared" si="17"/>
        <v>4565241.0010265782</v>
      </c>
      <c r="V44" s="174">
        <f t="shared" ref="V44:AD44" si="43">$B$30*V15</f>
        <v>296092.01978072803</v>
      </c>
      <c r="W44" s="174">
        <f t="shared" si="43"/>
        <v>343525.59312785324</v>
      </c>
      <c r="X44" s="174">
        <f t="shared" si="43"/>
        <v>457725.52018897166</v>
      </c>
      <c r="Y44" s="174">
        <f t="shared" si="43"/>
        <v>362276.33267964225</v>
      </c>
      <c r="Z44" s="174">
        <f t="shared" si="43"/>
        <v>67811.188176143958</v>
      </c>
      <c r="AA44" s="174">
        <f t="shared" si="43"/>
        <v>319717.94183356763</v>
      </c>
      <c r="AB44" s="174">
        <f t="shared" si="43"/>
        <v>4701405.1153669432</v>
      </c>
      <c r="AC44" s="174">
        <f t="shared" si="43"/>
        <v>1958376.1110098034</v>
      </c>
      <c r="AD44" s="174">
        <f t="shared" si="43"/>
        <v>122334.27608764972</v>
      </c>
      <c r="AE44" s="174">
        <f t="shared" si="35"/>
        <v>108781.82339999999</v>
      </c>
      <c r="AF44" s="174">
        <f t="shared" si="20"/>
        <v>111812.83073436427</v>
      </c>
      <c r="AG44" s="174">
        <f t="shared" si="37"/>
        <v>8849858.7523856666</v>
      </c>
      <c r="AH44" s="174">
        <f t="shared" si="21"/>
        <v>13415099.753412245</v>
      </c>
      <c r="AI44" s="192">
        <f>AH44/'Collections and ACP'!E51</f>
        <v>0.40730553080016629</v>
      </c>
      <c r="AJ44" s="172"/>
      <c r="AK44" s="172"/>
      <c r="AL44" s="172">
        <f t="shared" si="27"/>
        <v>7138150.3257226683</v>
      </c>
      <c r="AM44" s="172">
        <f t="shared" si="28"/>
        <v>6276949.4276895793</v>
      </c>
      <c r="AN44" s="105">
        <f t="shared" si="29"/>
        <v>0.53209819210677267</v>
      </c>
      <c r="AO44" s="105">
        <f t="shared" si="30"/>
        <v>0.46790180789322733</v>
      </c>
    </row>
    <row r="45" spans="1:41" x14ac:dyDescent="0.35">
      <c r="A45" s="177" t="s">
        <v>30</v>
      </c>
      <c r="B45" s="178">
        <f>'ABP Under Contract'!B44</f>
        <v>100491</v>
      </c>
      <c r="C45" s="178">
        <f>'ABP Under Contract'!C44</f>
        <v>243769</v>
      </c>
      <c r="D45" s="178">
        <f>'ABP Under Contract'!D44</f>
        <v>516818</v>
      </c>
      <c r="E45" s="178">
        <f>'ABP Under Contract'!E44</f>
        <v>5811</v>
      </c>
      <c r="F45" s="178">
        <f>'ABP Under Contract'!F44</f>
        <v>36237</v>
      </c>
      <c r="G45" s="178">
        <f>'ABP Under Contract'!G44</f>
        <v>260354</v>
      </c>
      <c r="H45" s="174">
        <f t="shared" si="22"/>
        <v>1163480</v>
      </c>
      <c r="I45" s="30"/>
      <c r="J45" s="30"/>
      <c r="K45" s="30"/>
      <c r="L45" s="178">
        <v>605816</v>
      </c>
      <c r="M45" s="178">
        <v>585317.28229999996</v>
      </c>
      <c r="N45" s="178">
        <f t="shared" si="33"/>
        <v>373157.31232263579</v>
      </c>
      <c r="O45" s="178">
        <f t="shared" si="33"/>
        <v>1161532.5817578151</v>
      </c>
      <c r="P45" s="178">
        <f t="shared" si="33"/>
        <v>45899.739987238121</v>
      </c>
      <c r="Q45" s="178">
        <f t="shared" si="18"/>
        <v>17864.812626869454</v>
      </c>
      <c r="R45" s="174">
        <f t="shared" si="23"/>
        <v>2789587.7289945586</v>
      </c>
      <c r="S45" s="174">
        <f t="shared" si="24"/>
        <v>2974094.4166719229</v>
      </c>
      <c r="T45" s="174">
        <f t="shared" si="16"/>
        <v>978973.31232263579</v>
      </c>
      <c r="U45" s="174">
        <f t="shared" si="17"/>
        <v>3953067.7289945586</v>
      </c>
      <c r="V45" s="174">
        <f t="shared" ref="V45:AD45" si="44">$B$30*V16</f>
        <v>341563.46349213336</v>
      </c>
      <c r="W45" s="174">
        <f t="shared" si="44"/>
        <v>391796.14658803283</v>
      </c>
      <c r="X45" s="174">
        <f t="shared" si="44"/>
        <v>541266.62373817991</v>
      </c>
      <c r="Y45" s="174">
        <f t="shared" si="44"/>
        <v>403379.81659132062</v>
      </c>
      <c r="Z45" s="174">
        <f t="shared" si="44"/>
        <v>81777.087426955419</v>
      </c>
      <c r="AA45" s="174">
        <f t="shared" si="44"/>
        <v>343113.44283730921</v>
      </c>
      <c r="AB45" s="174">
        <f t="shared" si="44"/>
        <v>5425440.8702210523</v>
      </c>
      <c r="AC45" s="174">
        <f t="shared" si="44"/>
        <v>2238198.532396398</v>
      </c>
      <c r="AD45" s="174">
        <f t="shared" si="44"/>
        <v>146339.82037225118</v>
      </c>
      <c r="AE45" s="174">
        <f t="shared" si="35"/>
        <v>108781.82339999999</v>
      </c>
      <c r="AF45" s="174">
        <f t="shared" si="20"/>
        <v>121996.14865188378</v>
      </c>
      <c r="AG45" s="174">
        <f t="shared" si="37"/>
        <v>10143653.775715517</v>
      </c>
      <c r="AH45" s="174">
        <f t="shared" si="21"/>
        <v>14096721.504710075</v>
      </c>
      <c r="AI45" s="192">
        <f>AH45/'Collections and ACP'!E52</f>
        <v>0.42800074099766666</v>
      </c>
      <c r="AJ45" s="172"/>
      <c r="AK45" s="172"/>
      <c r="AL45" s="172">
        <f t="shared" si="27"/>
        <v>7692307.3221663861</v>
      </c>
      <c r="AM45" s="172">
        <f t="shared" si="28"/>
        <v>6404414.1825436885</v>
      </c>
      <c r="AN45" s="105">
        <f t="shared" si="29"/>
        <v>0.5456805910222593</v>
      </c>
      <c r="AO45" s="105">
        <f t="shared" si="30"/>
        <v>0.4543194089777407</v>
      </c>
    </row>
    <row r="46" spans="1:41" x14ac:dyDescent="0.35">
      <c r="A46" s="177" t="s">
        <v>31</v>
      </c>
      <c r="B46" s="178">
        <f>'ABP Under Contract'!B45</f>
        <v>99955</v>
      </c>
      <c r="C46" s="178">
        <f>'ABP Under Contract'!C45</f>
        <v>242543</v>
      </c>
      <c r="D46" s="178">
        <f>'ABP Under Contract'!D45</f>
        <v>514230</v>
      </c>
      <c r="E46" s="178">
        <f>'ABP Under Contract'!E45</f>
        <v>5783</v>
      </c>
      <c r="F46" s="178">
        <f>'ABP Under Contract'!F45</f>
        <v>36056</v>
      </c>
      <c r="G46" s="178">
        <f>'ABP Under Contract'!G45</f>
        <v>259053</v>
      </c>
      <c r="H46" s="174">
        <f t="shared" si="22"/>
        <v>1157620</v>
      </c>
      <c r="I46" s="30"/>
      <c r="J46" s="30"/>
      <c r="K46" s="30"/>
      <c r="L46" s="178">
        <v>479697</v>
      </c>
      <c r="M46" s="178">
        <v>585317.28229999996</v>
      </c>
      <c r="N46" s="178">
        <f t="shared" si="33"/>
        <v>373157.31232263579</v>
      </c>
      <c r="O46" s="178">
        <f t="shared" si="33"/>
        <v>1155724.9188490259</v>
      </c>
      <c r="P46" s="178">
        <f t="shared" si="33"/>
        <v>45670.241287301928</v>
      </c>
      <c r="Q46" s="178">
        <f t="shared" si="18"/>
        <v>17775.488563735107</v>
      </c>
      <c r="R46" s="174">
        <f t="shared" si="23"/>
        <v>2657342.2433226984</v>
      </c>
      <c r="S46" s="174">
        <f t="shared" si="24"/>
        <v>2962107.9310000627</v>
      </c>
      <c r="T46" s="174">
        <f t="shared" si="16"/>
        <v>852854.31232263579</v>
      </c>
      <c r="U46" s="174">
        <f t="shared" si="17"/>
        <v>3814962.2433226984</v>
      </c>
      <c r="V46" s="174">
        <f t="shared" ref="V46:AD46" si="45">$B$30*V17</f>
        <v>386807.5499849816</v>
      </c>
      <c r="W46" s="174">
        <f t="shared" si="45"/>
        <v>439825.34728091152</v>
      </c>
      <c r="X46" s="174">
        <f t="shared" si="45"/>
        <v>624390.02176964225</v>
      </c>
      <c r="Y46" s="174">
        <f t="shared" si="45"/>
        <v>444277.78308344056</v>
      </c>
      <c r="Z46" s="174">
        <f t="shared" si="45"/>
        <v>95673.157181512841</v>
      </c>
      <c r="AA46" s="174">
        <f t="shared" si="45"/>
        <v>366391.96633603208</v>
      </c>
      <c r="AB46" s="174">
        <f t="shared" si="45"/>
        <v>5280633.719250231</v>
      </c>
      <c r="AC46" s="174">
        <f t="shared" si="45"/>
        <v>2444218.2661906485</v>
      </c>
      <c r="AD46" s="174">
        <f t="shared" si="45"/>
        <v>160088.8363674721</v>
      </c>
      <c r="AE46" s="174">
        <f t="shared" si="35"/>
        <v>108781.82339999999</v>
      </c>
      <c r="AF46" s="174">
        <f t="shared" si="20"/>
        <v>132179.46656940327</v>
      </c>
      <c r="AG46" s="174">
        <f t="shared" si="37"/>
        <v>10483267.937414275</v>
      </c>
      <c r="AH46" s="174">
        <f t="shared" si="21"/>
        <v>14298230.180736974</v>
      </c>
      <c r="AI46" s="192">
        <f>AH46/'Collections and ACP'!E53</f>
        <v>0.43411889142208659</v>
      </c>
      <c r="AJ46" s="172"/>
      <c r="AK46" s="172"/>
      <c r="AL46" s="172">
        <f t="shared" si="27"/>
        <v>8164742.1491641086</v>
      </c>
      <c r="AM46" s="172">
        <f t="shared" si="28"/>
        <v>6133488.0315728672</v>
      </c>
      <c r="AN46" s="105">
        <f t="shared" si="29"/>
        <v>0.57103166237762104</v>
      </c>
      <c r="AO46" s="105">
        <f t="shared" si="30"/>
        <v>0.42896833762237896</v>
      </c>
    </row>
    <row r="47" spans="1:41" x14ac:dyDescent="0.35">
      <c r="A47" s="177" t="s">
        <v>32</v>
      </c>
      <c r="B47" s="178">
        <f>'ABP Under Contract'!B46</f>
        <v>72085</v>
      </c>
      <c r="C47" s="178">
        <f>'ABP Under Contract'!C46</f>
        <v>129174</v>
      </c>
      <c r="D47" s="178">
        <f>'ABP Under Contract'!D46</f>
        <v>468344</v>
      </c>
      <c r="E47" s="178">
        <f>'ABP Under Contract'!E46</f>
        <v>5754</v>
      </c>
      <c r="F47" s="178">
        <f>'ABP Under Contract'!F46</f>
        <v>35875</v>
      </c>
      <c r="G47" s="178">
        <f>'ABP Under Contract'!G46</f>
        <v>257761</v>
      </c>
      <c r="H47" s="174">
        <f t="shared" si="22"/>
        <v>968993</v>
      </c>
      <c r="I47" s="30"/>
      <c r="J47" s="30"/>
      <c r="K47" s="30"/>
      <c r="L47" s="178">
        <v>479697</v>
      </c>
      <c r="M47" s="178">
        <v>585317.28229999996</v>
      </c>
      <c r="N47" s="178">
        <f t="shared" si="33"/>
        <v>373157.31232263579</v>
      </c>
      <c r="O47" s="178">
        <f t="shared" si="33"/>
        <v>1149946.2942547807</v>
      </c>
      <c r="P47" s="178">
        <f t="shared" si="33"/>
        <v>45441.890080865407</v>
      </c>
      <c r="Q47" s="178">
        <f t="shared" si="18"/>
        <v>17686.61112091643</v>
      </c>
      <c r="R47" s="174">
        <f t="shared" si="23"/>
        <v>2651246.3900791984</v>
      </c>
      <c r="S47" s="174">
        <f t="shared" si="24"/>
        <v>2767385.0777565627</v>
      </c>
      <c r="T47" s="174">
        <f t="shared" si="16"/>
        <v>852854.31232263579</v>
      </c>
      <c r="U47" s="174">
        <f t="shared" si="17"/>
        <v>3620239.3900791984</v>
      </c>
      <c r="V47" s="174">
        <f t="shared" ref="V47:AD47" si="46">$B$30*V18</f>
        <v>408349.46414021117</v>
      </c>
      <c r="W47" s="174">
        <f t="shared" si="46"/>
        <v>462620.31125741638</v>
      </c>
      <c r="X47" s="174">
        <f t="shared" si="46"/>
        <v>707097.80281094695</v>
      </c>
      <c r="Y47" s="174">
        <f t="shared" si="46"/>
        <v>463513.8269555617</v>
      </c>
      <c r="Z47" s="174">
        <f t="shared" si="46"/>
        <v>109499.74658729747</v>
      </c>
      <c r="AA47" s="174">
        <f t="shared" si="46"/>
        <v>377057.05186080653</v>
      </c>
      <c r="AB47" s="174">
        <f t="shared" si="46"/>
        <v>5570248.0211918745</v>
      </c>
      <c r="AC47" s="174">
        <f t="shared" si="46"/>
        <v>2649207.901315928</v>
      </c>
      <c r="AD47" s="174">
        <f t="shared" si="46"/>
        <v>173769.10728271693</v>
      </c>
      <c r="AE47" s="174">
        <f t="shared" si="35"/>
        <v>108781.82339999999</v>
      </c>
      <c r="AF47" s="174">
        <f t="shared" si="20"/>
        <v>142362.78448692278</v>
      </c>
      <c r="AG47" s="174">
        <f t="shared" si="37"/>
        <v>11172507.841289682</v>
      </c>
      <c r="AH47" s="174">
        <f t="shared" si="21"/>
        <v>14792747.231368881</v>
      </c>
      <c r="AI47" s="192">
        <f>AH47/'Collections and ACP'!E54</f>
        <v>0.44913328069236608</v>
      </c>
      <c r="AJ47" s="172"/>
      <c r="AK47" s="172"/>
      <c r="AL47" s="172">
        <f t="shared" si="27"/>
        <v>8369644.8978543701</v>
      </c>
      <c r="AM47" s="172">
        <f t="shared" si="28"/>
        <v>6423102.3335145107</v>
      </c>
      <c r="AN47" s="105">
        <f t="shared" si="29"/>
        <v>0.56579381550615904</v>
      </c>
      <c r="AO47" s="105">
        <f t="shared" si="30"/>
        <v>0.43420618449384096</v>
      </c>
    </row>
    <row r="48" spans="1:41" x14ac:dyDescent="0.35">
      <c r="A48" s="177" t="s">
        <v>33</v>
      </c>
      <c r="B48" s="178">
        <f>'ABP Under Contract'!B47</f>
        <v>65832</v>
      </c>
      <c r="C48" s="178">
        <f>'ABP Under Contract'!C47</f>
        <v>122896</v>
      </c>
      <c r="D48" s="178">
        <f>'ABP Under Contract'!D47</f>
        <v>465998</v>
      </c>
      <c r="E48" s="178">
        <f>'ABP Under Contract'!E47</f>
        <v>5725</v>
      </c>
      <c r="F48" s="178">
        <f>'ABP Under Contract'!F47</f>
        <v>35695</v>
      </c>
      <c r="G48" s="178">
        <f>'ABP Under Contract'!G47</f>
        <v>256467</v>
      </c>
      <c r="H48" s="174">
        <f t="shared" si="22"/>
        <v>952613</v>
      </c>
      <c r="I48" s="30"/>
      <c r="J48" s="30"/>
      <c r="K48" s="30"/>
      <c r="L48" s="178">
        <v>391707</v>
      </c>
      <c r="M48" s="178">
        <v>585317.28229999996</v>
      </c>
      <c r="N48" s="178">
        <f t="shared" si="33"/>
        <v>373157.31232263579</v>
      </c>
      <c r="O48" s="178">
        <f t="shared" si="33"/>
        <v>1144196.5627835067</v>
      </c>
      <c r="P48" s="178">
        <f t="shared" si="33"/>
        <v>45214.680630461087</v>
      </c>
      <c r="Q48" s="178">
        <f t="shared" si="18"/>
        <v>17598.178065311848</v>
      </c>
      <c r="R48" s="174">
        <f t="shared" si="23"/>
        <v>2557191.0161019154</v>
      </c>
      <c r="S48" s="174">
        <f t="shared" si="24"/>
        <v>2744939.7037792797</v>
      </c>
      <c r="T48" s="174">
        <f t="shared" si="16"/>
        <v>764864.31232263579</v>
      </c>
      <c r="U48" s="174">
        <f t="shared" si="17"/>
        <v>3509804.0161019154</v>
      </c>
      <c r="V48" s="174">
        <f t="shared" ref="V48:AD48" si="47">$B$30*V19</f>
        <v>429783.66872466466</v>
      </c>
      <c r="W48" s="174">
        <f t="shared" si="47"/>
        <v>485301.30041403871</v>
      </c>
      <c r="X48" s="174">
        <f t="shared" si="47"/>
        <v>746477.17937196884</v>
      </c>
      <c r="Y48" s="174">
        <f t="shared" si="47"/>
        <v>482653.69060832221</v>
      </c>
      <c r="Z48" s="174">
        <f t="shared" si="47"/>
        <v>116104.72545020706</v>
      </c>
      <c r="AA48" s="174">
        <f t="shared" si="47"/>
        <v>387668.81195795722</v>
      </c>
      <c r="AB48" s="174">
        <f t="shared" si="47"/>
        <v>6294283.7760459827</v>
      </c>
      <c r="AC48" s="174">
        <f t="shared" si="47"/>
        <v>2853172.5882655815</v>
      </c>
      <c r="AD48" s="174">
        <f t="shared" si="47"/>
        <v>187380.97684338546</v>
      </c>
      <c r="AE48" s="174">
        <f t="shared" si="35"/>
        <v>108781.82339999999</v>
      </c>
      <c r="AF48" s="174">
        <f t="shared" si="20"/>
        <v>152546.1024044423</v>
      </c>
      <c r="AG48" s="174">
        <f t="shared" si="37"/>
        <v>12244154.64348655</v>
      </c>
      <c r="AH48" s="174">
        <f t="shared" si="21"/>
        <v>15753958.659588465</v>
      </c>
      <c r="AI48" s="192">
        <f>AH48/'Collections and ACP'!E55</f>
        <v>0.47831731496557978</v>
      </c>
      <c r="AJ48" s="172"/>
      <c r="AK48" s="172"/>
      <c r="AL48" s="172">
        <f t="shared" si="27"/>
        <v>8694810.5712198466</v>
      </c>
      <c r="AM48" s="172">
        <f t="shared" si="28"/>
        <v>7059148.0883686189</v>
      </c>
      <c r="AN48" s="105">
        <f t="shared" si="29"/>
        <v>0.55191274517708921</v>
      </c>
      <c r="AO48" s="105">
        <f t="shared" si="30"/>
        <v>0.44808725482291079</v>
      </c>
    </row>
    <row r="49" spans="1:41" x14ac:dyDescent="0.35">
      <c r="A49" s="177" t="s">
        <v>34</v>
      </c>
      <c r="B49" s="178">
        <f>'ABP Under Contract'!B48</f>
        <v>52112</v>
      </c>
      <c r="C49" s="178">
        <f>'ABP Under Contract'!C48</f>
        <v>86602</v>
      </c>
      <c r="D49" s="178">
        <f>'ABP Under Contract'!D48</f>
        <v>414210</v>
      </c>
      <c r="E49" s="178">
        <f>'ABP Under Contract'!E48</f>
        <v>5697</v>
      </c>
      <c r="F49" s="178">
        <f>'ABP Under Contract'!F48</f>
        <v>35518</v>
      </c>
      <c r="G49" s="178">
        <f>'ABP Under Contract'!G48</f>
        <v>255186</v>
      </c>
      <c r="H49" s="174">
        <f t="shared" si="22"/>
        <v>849325</v>
      </c>
      <c r="I49" s="30"/>
      <c r="J49" s="30"/>
      <c r="K49" s="30"/>
      <c r="L49" s="178">
        <f t="shared" ref="L49:L56" si="48">L20*$B$30</f>
        <v>0</v>
      </c>
      <c r="M49" s="30"/>
      <c r="N49" s="178">
        <f t="shared" si="33"/>
        <v>373157.31232263579</v>
      </c>
      <c r="O49" s="178">
        <f t="shared" si="33"/>
        <v>1138475.5799695894</v>
      </c>
      <c r="P49" s="178">
        <f t="shared" si="33"/>
        <v>44988.607227308785</v>
      </c>
      <c r="Q49" s="178">
        <f t="shared" si="18"/>
        <v>17510.187174985291</v>
      </c>
      <c r="R49" s="174">
        <f t="shared" si="23"/>
        <v>1574131.6866945191</v>
      </c>
      <c r="S49" s="174">
        <f t="shared" si="24"/>
        <v>2050299.3743718832</v>
      </c>
      <c r="T49" s="174">
        <f t="shared" si="16"/>
        <v>373157.31232263579</v>
      </c>
      <c r="U49" s="174">
        <f t="shared" si="17"/>
        <v>2423456.6866945191</v>
      </c>
      <c r="V49" s="174">
        <f t="shared" ref="V49:AD49" si="49">$B$30*V20</f>
        <v>451110.70228619571</v>
      </c>
      <c r="W49" s="174">
        <f t="shared" si="49"/>
        <v>507868.88462487794</v>
      </c>
      <c r="X49" s="174">
        <f t="shared" si="49"/>
        <v>785659.65905018558</v>
      </c>
      <c r="Y49" s="174">
        <f t="shared" si="49"/>
        <v>501697.85494281887</v>
      </c>
      <c r="Z49" s="174">
        <f t="shared" si="49"/>
        <v>122676.67941880212</v>
      </c>
      <c r="AA49" s="174">
        <f t="shared" si="49"/>
        <v>398227.51325462211</v>
      </c>
      <c r="AB49" s="174">
        <f t="shared" si="49"/>
        <v>6149476.6250751615</v>
      </c>
      <c r="AC49" s="174">
        <f t="shared" si="49"/>
        <v>3056117.4517804859</v>
      </c>
      <c r="AD49" s="174">
        <f t="shared" si="49"/>
        <v>200924.78705625073</v>
      </c>
      <c r="AE49" s="174">
        <f t="shared" si="35"/>
        <v>108781.82339999999</v>
      </c>
      <c r="AF49" s="174">
        <f t="shared" si="20"/>
        <v>162729.42032196181</v>
      </c>
      <c r="AG49" s="174">
        <f t="shared" si="37"/>
        <v>12445271.401211364</v>
      </c>
      <c r="AH49" s="174">
        <f t="shared" si="21"/>
        <v>14868728.087905884</v>
      </c>
      <c r="AI49" s="192">
        <f>AH49/'Collections and ACP'!E56</f>
        <v>0.45144019034427407</v>
      </c>
      <c r="AJ49" s="172"/>
      <c r="AK49" s="172"/>
      <c r="AL49" s="172">
        <f t="shared" si="27"/>
        <v>8346094.1505080843</v>
      </c>
      <c r="AM49" s="172">
        <f t="shared" si="28"/>
        <v>6522633.9373977976</v>
      </c>
      <c r="AN49" s="105">
        <f t="shared" si="29"/>
        <v>0.56131863473222965</v>
      </c>
      <c r="AO49" s="105">
        <f t="shared" si="30"/>
        <v>0.43868136526777035</v>
      </c>
    </row>
    <row r="50" spans="1:41" x14ac:dyDescent="0.35">
      <c r="A50" s="177" t="s">
        <v>35</v>
      </c>
      <c r="B50" s="178">
        <f>'ABP Under Contract'!B49</f>
        <v>35679</v>
      </c>
      <c r="C50" s="178">
        <f>'ABP Under Contract'!C49</f>
        <v>69614</v>
      </c>
      <c r="D50" s="178">
        <f>'ABP Under Contract'!D49</f>
        <v>400393</v>
      </c>
      <c r="E50" s="178">
        <f>'ABP Under Contract'!E49</f>
        <v>5666</v>
      </c>
      <c r="F50" s="178">
        <f>'ABP Under Contract'!F49</f>
        <v>35340</v>
      </c>
      <c r="G50" s="178">
        <f>'ABP Under Contract'!G49</f>
        <v>253913</v>
      </c>
      <c r="H50" s="174">
        <f t="shared" si="22"/>
        <v>800605</v>
      </c>
      <c r="I50" s="30"/>
      <c r="J50" s="30"/>
      <c r="K50" s="30"/>
      <c r="L50" s="178">
        <f t="shared" si="48"/>
        <v>0</v>
      </c>
      <c r="M50" s="30"/>
      <c r="N50" s="178">
        <f t="shared" si="33"/>
        <v>373157.31232263579</v>
      </c>
      <c r="O50" s="178">
        <f t="shared" si="33"/>
        <v>1132783.2020697414</v>
      </c>
      <c r="P50" s="178">
        <f t="shared" si="33"/>
        <v>44763.664191172247</v>
      </c>
      <c r="Q50" s="178">
        <f t="shared" si="18"/>
        <v>17422.636239110365</v>
      </c>
      <c r="R50" s="174">
        <f t="shared" si="23"/>
        <v>1568126.8148226598</v>
      </c>
      <c r="S50" s="174">
        <f t="shared" si="24"/>
        <v>1995574.5025000239</v>
      </c>
      <c r="T50" s="174">
        <f t="shared" si="16"/>
        <v>373157.31232263579</v>
      </c>
      <c r="U50" s="174">
        <f t="shared" si="17"/>
        <v>2368731.8148226598</v>
      </c>
      <c r="V50" s="174">
        <f t="shared" ref="V50:AD50" si="50">$B$30*V21</f>
        <v>472331.10067991924</v>
      </c>
      <c r="W50" s="174">
        <f t="shared" si="50"/>
        <v>530323.63091466308</v>
      </c>
      <c r="X50" s="174">
        <f t="shared" si="50"/>
        <v>824646.22633001115</v>
      </c>
      <c r="Y50" s="174">
        <f t="shared" si="50"/>
        <v>520646.79845564294</v>
      </c>
      <c r="Z50" s="174">
        <f t="shared" si="50"/>
        <v>129215.77361755416</v>
      </c>
      <c r="AA50" s="174">
        <f t="shared" si="50"/>
        <v>408733.42104480363</v>
      </c>
      <c r="AB50" s="174">
        <f t="shared" si="50"/>
        <v>6439090.9270168049</v>
      </c>
      <c r="AC50" s="174">
        <f t="shared" si="50"/>
        <v>3258047.5909778159</v>
      </c>
      <c r="AD50" s="174">
        <f t="shared" si="50"/>
        <v>214400.87821805169</v>
      </c>
      <c r="AE50" s="174">
        <f t="shared" si="35"/>
        <v>108781.82339999999</v>
      </c>
      <c r="AF50" s="174">
        <f t="shared" si="20"/>
        <v>172912.73823948132</v>
      </c>
      <c r="AG50" s="174">
        <f t="shared" si="37"/>
        <v>13079130.908894747</v>
      </c>
      <c r="AH50" s="174">
        <f t="shared" si="21"/>
        <v>15447862.723717406</v>
      </c>
      <c r="AI50" s="192">
        <f>AH50/'Collections and ACP'!E57</f>
        <v>0.46902371522145386</v>
      </c>
      <c r="AJ50" s="172"/>
      <c r="AK50" s="172"/>
      <c r="AL50" s="172">
        <f t="shared" si="27"/>
        <v>8635614.4843779653</v>
      </c>
      <c r="AM50" s="172">
        <f t="shared" si="28"/>
        <v>6812248.2393394411</v>
      </c>
      <c r="AN50" s="105">
        <f t="shared" si="29"/>
        <v>0.55901678043264436</v>
      </c>
      <c r="AO50" s="105">
        <f t="shared" si="30"/>
        <v>0.44098321956735564</v>
      </c>
    </row>
    <row r="51" spans="1:41" x14ac:dyDescent="0.35">
      <c r="A51" s="177" t="s">
        <v>36</v>
      </c>
      <c r="B51" s="178">
        <f>'ABP Under Contract'!B50</f>
        <v>5534</v>
      </c>
      <c r="C51" s="178">
        <f>'ABP Under Contract'!C50</f>
        <v>19901</v>
      </c>
      <c r="D51" s="178">
        <f>'ABP Under Contract'!D50</f>
        <v>398392</v>
      </c>
      <c r="E51" s="178">
        <f>'ABP Under Contract'!E50</f>
        <v>5638</v>
      </c>
      <c r="F51" s="178">
        <f>'ABP Under Contract'!F50</f>
        <v>35164</v>
      </c>
      <c r="G51" s="178">
        <f>'ABP Under Contract'!G50</f>
        <v>252640</v>
      </c>
      <c r="H51" s="174">
        <f t="shared" si="22"/>
        <v>717269</v>
      </c>
      <c r="I51" s="30"/>
      <c r="J51" s="30"/>
      <c r="K51" s="30"/>
      <c r="L51" s="178">
        <f t="shared" si="48"/>
        <v>0</v>
      </c>
      <c r="M51" s="30"/>
      <c r="N51" s="178">
        <f t="shared" si="33"/>
        <v>373157.31232263579</v>
      </c>
      <c r="O51" s="178">
        <f t="shared" si="33"/>
        <v>1127119.2860593926</v>
      </c>
      <c r="P51" s="178">
        <f t="shared" si="33"/>
        <v>44539.845870216377</v>
      </c>
      <c r="Q51" s="178">
        <f t="shared" si="18"/>
        <v>17335.523057914812</v>
      </c>
      <c r="R51" s="174">
        <f t="shared" si="23"/>
        <v>1562151.9673101595</v>
      </c>
      <c r="S51" s="174">
        <f t="shared" si="24"/>
        <v>1906263.6549875238</v>
      </c>
      <c r="T51" s="174">
        <f t="shared" si="16"/>
        <v>373157.31232263579</v>
      </c>
      <c r="U51" s="174">
        <f t="shared" si="17"/>
        <v>2279420.9673101595</v>
      </c>
      <c r="V51" s="174">
        <f t="shared" ref="V51:AD51" si="51">$B$30*V22</f>
        <v>493445.39708167408</v>
      </c>
      <c r="W51" s="174">
        <f t="shared" si="51"/>
        <v>552666.10347299906</v>
      </c>
      <c r="X51" s="174">
        <f t="shared" si="51"/>
        <v>863437.86077343754</v>
      </c>
      <c r="Y51" s="174">
        <f t="shared" si="51"/>
        <v>539500.99725090305</v>
      </c>
      <c r="Z51" s="174">
        <f t="shared" si="51"/>
        <v>135722.17234531252</v>
      </c>
      <c r="AA51" s="174">
        <f t="shared" si="51"/>
        <v>419186.79929603444</v>
      </c>
      <c r="AB51" s="174">
        <f t="shared" si="51"/>
        <v>6728705.2289584484</v>
      </c>
      <c r="AC51" s="174">
        <f t="shared" si="51"/>
        <v>3458968.0794791598</v>
      </c>
      <c r="AD51" s="174">
        <f t="shared" si="51"/>
        <v>227809.58892404358</v>
      </c>
      <c r="AE51" s="174">
        <f t="shared" si="35"/>
        <v>108781.82339999999</v>
      </c>
      <c r="AF51" s="174">
        <f t="shared" si="20"/>
        <v>183096.05615700083</v>
      </c>
      <c r="AG51" s="174">
        <f t="shared" si="37"/>
        <v>13711320.107139012</v>
      </c>
      <c r="AH51" s="174">
        <f t="shared" si="21"/>
        <v>15990741.07444917</v>
      </c>
      <c r="AI51" s="192">
        <f>AH51/'Collections and ACP'!E58</f>
        <v>0.48550643684627648</v>
      </c>
      <c r="AJ51" s="172"/>
      <c r="AK51" s="172"/>
      <c r="AL51" s="172">
        <f t="shared" si="27"/>
        <v>8888878.5331680905</v>
      </c>
      <c r="AM51" s="172">
        <f t="shared" si="28"/>
        <v>7101862.5412810845</v>
      </c>
      <c r="AN51" s="105">
        <f t="shared" si="29"/>
        <v>0.555876584567503</v>
      </c>
      <c r="AO51" s="105">
        <f t="shared" si="30"/>
        <v>0.444123415432497</v>
      </c>
    </row>
    <row r="52" spans="1:41" x14ac:dyDescent="0.35">
      <c r="A52" s="177" t="s">
        <v>37</v>
      </c>
      <c r="B52" s="178">
        <f>'ABP Under Contract'!B51</f>
        <v>1058</v>
      </c>
      <c r="C52" s="178">
        <f>'ABP Under Contract'!C51</f>
        <v>0</v>
      </c>
      <c r="D52" s="178">
        <f>'ABP Under Contract'!D51</f>
        <v>396398</v>
      </c>
      <c r="E52" s="178">
        <f>'ABP Under Contract'!E51</f>
        <v>5610</v>
      </c>
      <c r="F52" s="178">
        <f>'ABP Under Contract'!F51</f>
        <v>34988</v>
      </c>
      <c r="G52" s="178">
        <f>'ABP Under Contract'!G51</f>
        <v>251376</v>
      </c>
      <c r="H52" s="174">
        <f t="shared" si="22"/>
        <v>689430</v>
      </c>
      <c r="I52" s="30"/>
      <c r="J52" s="30"/>
      <c r="K52" s="30"/>
      <c r="L52" s="178">
        <f t="shared" si="48"/>
        <v>0</v>
      </c>
      <c r="M52" s="30"/>
      <c r="N52" s="178">
        <f t="shared" si="33"/>
        <v>373157.31232263579</v>
      </c>
      <c r="O52" s="178">
        <f t="shared" si="33"/>
        <v>1121483.6896290956</v>
      </c>
      <c r="P52" s="178">
        <f t="shared" si="33"/>
        <v>44317.146640865292</v>
      </c>
      <c r="Q52" s="178">
        <f t="shared" si="18"/>
        <v>17248.845442625239</v>
      </c>
      <c r="R52" s="174">
        <f t="shared" si="23"/>
        <v>1556206.9940352219</v>
      </c>
      <c r="S52" s="174">
        <f t="shared" si="24"/>
        <v>1872479.6817125862</v>
      </c>
      <c r="T52" s="174">
        <f t="shared" si="16"/>
        <v>373157.31232263579</v>
      </c>
      <c r="U52" s="174">
        <f t="shared" si="17"/>
        <v>2245636.9940352216</v>
      </c>
      <c r="V52" s="174">
        <f t="shared" ref="V52:AD52" si="52">$B$30*V23</f>
        <v>514454.12200142024</v>
      </c>
      <c r="W52" s="174">
        <f t="shared" si="52"/>
        <v>547722.75240990112</v>
      </c>
      <c r="X52" s="174">
        <f t="shared" si="52"/>
        <v>902035.53704464692</v>
      </c>
      <c r="Y52" s="174">
        <f t="shared" si="52"/>
        <v>462117.6114580477</v>
      </c>
      <c r="Z52" s="174">
        <f t="shared" si="52"/>
        <v>142196.03907943203</v>
      </c>
      <c r="AA52" s="174">
        <f t="shared" si="52"/>
        <v>429587.91065600899</v>
      </c>
      <c r="AB52" s="174">
        <f t="shared" si="52"/>
        <v>7018319.5309000919</v>
      </c>
      <c r="AC52" s="174">
        <f t="shared" si="52"/>
        <v>3658883.965537996</v>
      </c>
      <c r="AD52" s="174">
        <f t="shared" si="52"/>
        <v>241151.2560765055</v>
      </c>
      <c r="AE52" s="174">
        <f t="shared" si="35"/>
        <v>108781.82339999999</v>
      </c>
      <c r="AF52" s="174">
        <f t="shared" si="20"/>
        <v>193279.37407452034</v>
      </c>
      <c r="AG52" s="174">
        <f t="shared" si="37"/>
        <v>14218529.922638571</v>
      </c>
      <c r="AH52" s="174">
        <f t="shared" si="21"/>
        <v>16464166.916673793</v>
      </c>
      <c r="AI52" s="192">
        <f>AH52/'Collections and ACP'!E59</f>
        <v>0.49988046070791547</v>
      </c>
      <c r="AJ52" s="172"/>
      <c r="AK52" s="172"/>
      <c r="AL52" s="172">
        <f t="shared" si="27"/>
        <v>9072690.0734510645</v>
      </c>
      <c r="AM52" s="172">
        <f t="shared" si="28"/>
        <v>7391476.843222728</v>
      </c>
      <c r="AN52" s="105">
        <f t="shared" si="29"/>
        <v>0.55105673547702305</v>
      </c>
      <c r="AO52" s="105">
        <f t="shared" si="30"/>
        <v>0.44894326452297695</v>
      </c>
    </row>
    <row r="53" spans="1:41" x14ac:dyDescent="0.35">
      <c r="A53" s="177" t="s">
        <v>38</v>
      </c>
      <c r="B53" s="178">
        <f>'ABP Under Contract'!B52</f>
        <v>10</v>
      </c>
      <c r="C53" s="178">
        <f>'ABP Under Contract'!C52</f>
        <v>0</v>
      </c>
      <c r="D53" s="178">
        <f>'ABP Under Contract'!D52</f>
        <v>394418</v>
      </c>
      <c r="E53" s="178">
        <f>'ABP Under Contract'!E52</f>
        <v>5582</v>
      </c>
      <c r="F53" s="178">
        <f>'ABP Under Contract'!F52</f>
        <v>0</v>
      </c>
      <c r="G53" s="178">
        <f>'ABP Under Contract'!G52</f>
        <v>250124</v>
      </c>
      <c r="H53" s="174">
        <f t="shared" si="22"/>
        <v>650134</v>
      </c>
      <c r="I53" s="30"/>
      <c r="J53" s="30"/>
      <c r="K53" s="30"/>
      <c r="L53" s="178">
        <f t="shared" si="48"/>
        <v>0</v>
      </c>
      <c r="M53" s="30"/>
      <c r="N53" s="178">
        <f t="shared" si="33"/>
        <v>373157.31232263579</v>
      </c>
      <c r="O53" s="178">
        <f t="shared" si="33"/>
        <v>1115876.2711809501</v>
      </c>
      <c r="P53" s="178">
        <f t="shared" si="33"/>
        <v>44095.560907660976</v>
      </c>
      <c r="Q53" s="178">
        <f t="shared" si="18"/>
        <v>17162.601215412109</v>
      </c>
      <c r="R53" s="174">
        <f t="shared" si="23"/>
        <v>1550291.7456266589</v>
      </c>
      <c r="S53" s="174">
        <f t="shared" si="24"/>
        <v>1827268.4333040232</v>
      </c>
      <c r="T53" s="174">
        <f t="shared" si="16"/>
        <v>373157.31232263579</v>
      </c>
      <c r="U53" s="174">
        <f t="shared" si="17"/>
        <v>2200425.7456266591</v>
      </c>
      <c r="V53" s="174">
        <f t="shared" ref="V53:AD53" si="53">$B$30*V24</f>
        <v>496161.78719532053</v>
      </c>
      <c r="W53" s="174">
        <f t="shared" si="53"/>
        <v>528247.49205233587</v>
      </c>
      <c r="X53" s="174">
        <f t="shared" si="53"/>
        <v>940440.22493450018</v>
      </c>
      <c r="Y53" s="174">
        <f t="shared" si="53"/>
        <v>481264.45618829568</v>
      </c>
      <c r="Z53" s="174">
        <f t="shared" si="53"/>
        <v>148637.536479881</v>
      </c>
      <c r="AA53" s="174">
        <f t="shared" si="53"/>
        <v>393569.5305609334</v>
      </c>
      <c r="AB53" s="174">
        <f t="shared" si="53"/>
        <v>7307933.8328417353</v>
      </c>
      <c r="AC53" s="174">
        <f t="shared" si="53"/>
        <v>3857800.2721665394</v>
      </c>
      <c r="AD53" s="174">
        <f t="shared" si="53"/>
        <v>254426.21489320515</v>
      </c>
      <c r="AE53" s="174">
        <f t="shared" si="35"/>
        <v>108781.82339999999</v>
      </c>
      <c r="AF53" s="174">
        <f t="shared" si="20"/>
        <v>203462.69199203985</v>
      </c>
      <c r="AG53" s="174">
        <f t="shared" si="37"/>
        <v>14720725.862704787</v>
      </c>
      <c r="AH53" s="174">
        <f t="shared" si="21"/>
        <v>16921151.608331446</v>
      </c>
      <c r="AI53" s="192">
        <f>AH53/'Collections and ACP'!E60</f>
        <v>0.51375530292486038</v>
      </c>
      <c r="AJ53" s="172"/>
      <c r="AK53" s="172"/>
      <c r="AL53" s="172">
        <f t="shared" si="27"/>
        <v>9240060.4631670732</v>
      </c>
      <c r="AM53" s="172">
        <f t="shared" si="28"/>
        <v>7681091.1451643715</v>
      </c>
      <c r="AN53" s="105">
        <f t="shared" si="29"/>
        <v>0.54606569795270654</v>
      </c>
      <c r="AO53" s="105">
        <f t="shared" si="30"/>
        <v>0.45393430204729346</v>
      </c>
    </row>
    <row r="54" spans="1:41" x14ac:dyDescent="0.35">
      <c r="A54" s="177" t="s">
        <v>39</v>
      </c>
      <c r="B54" s="178">
        <f>'ABP Under Contract'!B53</f>
        <v>10</v>
      </c>
      <c r="C54" s="178">
        <f>'ABP Under Contract'!C53</f>
        <v>0</v>
      </c>
      <c r="D54" s="178">
        <f>'ABP Under Contract'!D53</f>
        <v>392444</v>
      </c>
      <c r="E54" s="178">
        <f>'ABP Under Contract'!E53</f>
        <v>5556</v>
      </c>
      <c r="F54" s="178">
        <f>'ABP Under Contract'!F53</f>
        <v>0</v>
      </c>
      <c r="G54" s="178">
        <f>'ABP Under Contract'!G53</f>
        <v>248870</v>
      </c>
      <c r="H54" s="174">
        <f t="shared" si="22"/>
        <v>646880</v>
      </c>
      <c r="I54" s="30"/>
      <c r="J54" s="30"/>
      <c r="K54" s="30"/>
      <c r="L54" s="178">
        <f t="shared" si="48"/>
        <v>0</v>
      </c>
      <c r="M54" s="30"/>
      <c r="N54" s="178">
        <f t="shared" si="33"/>
        <v>373157.31232263579</v>
      </c>
      <c r="O54" s="178">
        <f t="shared" si="33"/>
        <v>1110296.8898250454</v>
      </c>
      <c r="P54" s="178">
        <f t="shared" si="33"/>
        <v>43875.083103122663</v>
      </c>
      <c r="Q54" s="178">
        <f t="shared" si="18"/>
        <v>17076.788209335049</v>
      </c>
      <c r="R54" s="174">
        <f t="shared" si="23"/>
        <v>1544406.0734601389</v>
      </c>
      <c r="S54" s="174">
        <f t="shared" si="24"/>
        <v>1818128.761137503</v>
      </c>
      <c r="T54" s="174">
        <f t="shared" si="16"/>
        <v>373157.31232263579</v>
      </c>
      <c r="U54" s="174">
        <f t="shared" si="17"/>
        <v>2191286.0734601389</v>
      </c>
      <c r="V54" s="174">
        <f t="shared" ref="V54:AD54" si="54">$B$30*V25</f>
        <v>477960.91406325134</v>
      </c>
      <c r="W54" s="174">
        <f t="shared" si="54"/>
        <v>508869.6079965583</v>
      </c>
      <c r="X54" s="174">
        <f t="shared" si="54"/>
        <v>978652.88938490418</v>
      </c>
      <c r="Y54" s="174">
        <f t="shared" si="54"/>
        <v>500315.56669489259</v>
      </c>
      <c r="Z54" s="174">
        <f t="shared" si="54"/>
        <v>144431.76036440741</v>
      </c>
      <c r="AA54" s="174">
        <f t="shared" si="54"/>
        <v>357731.24236633308</v>
      </c>
      <c r="AB54" s="174">
        <f t="shared" si="54"/>
        <v>8031969.5876958435</v>
      </c>
      <c r="AC54" s="174">
        <f t="shared" si="54"/>
        <v>4055721.9972619391</v>
      </c>
      <c r="AD54" s="174">
        <f t="shared" si="54"/>
        <v>267634.7989158213</v>
      </c>
      <c r="AE54" s="174">
        <f t="shared" si="35"/>
        <v>108781.82339999999</v>
      </c>
      <c r="AF54" s="174">
        <f t="shared" si="20"/>
        <v>213646.00990955933</v>
      </c>
      <c r="AG54" s="174">
        <f t="shared" si="37"/>
        <v>15645716.198053511</v>
      </c>
      <c r="AH54" s="174">
        <f t="shared" si="21"/>
        <v>17837002.271513648</v>
      </c>
      <c r="AI54" s="192">
        <f>AH54/'Collections and ACP'!E61</f>
        <v>0.54156210625528123</v>
      </c>
      <c r="AJ54" s="172"/>
      <c r="AK54" s="172"/>
      <c r="AL54" s="172">
        <f t="shared" si="27"/>
        <v>9431875.3714951687</v>
      </c>
      <c r="AM54" s="172">
        <f t="shared" si="28"/>
        <v>8405126.9000184797</v>
      </c>
      <c r="AN54" s="105">
        <f t="shared" si="29"/>
        <v>0.52878141898082409</v>
      </c>
      <c r="AO54" s="105">
        <f t="shared" si="30"/>
        <v>0.47121858101917591</v>
      </c>
    </row>
    <row r="55" spans="1:41" x14ac:dyDescent="0.35">
      <c r="A55" s="177" t="s">
        <v>40</v>
      </c>
      <c r="B55" s="178">
        <f>'ABP Under Contract'!B54</f>
        <v>0</v>
      </c>
      <c r="C55" s="178">
        <f>'ABP Under Contract'!C54</f>
        <v>0</v>
      </c>
      <c r="D55" s="178">
        <f>'ABP Under Contract'!D54</f>
        <v>390486</v>
      </c>
      <c r="E55" s="178">
        <f>'ABP Under Contract'!E54</f>
        <v>5528</v>
      </c>
      <c r="F55" s="178">
        <f>'ABP Under Contract'!F54</f>
        <v>0</v>
      </c>
      <c r="G55" s="178">
        <f>'ABP Under Contract'!G54</f>
        <v>247622</v>
      </c>
      <c r="H55" s="174">
        <f t="shared" si="22"/>
        <v>643636</v>
      </c>
      <c r="I55" s="30"/>
      <c r="J55" s="30"/>
      <c r="K55" s="30"/>
      <c r="L55" s="178">
        <f t="shared" si="48"/>
        <v>0</v>
      </c>
      <c r="M55" s="30"/>
      <c r="N55" s="178">
        <f t="shared" si="33"/>
        <v>373157.31232263579</v>
      </c>
      <c r="O55" s="178">
        <f t="shared" si="33"/>
        <v>1104745.40537592</v>
      </c>
      <c r="P55" s="178">
        <f t="shared" si="33"/>
        <v>43655.707687607057</v>
      </c>
      <c r="Q55" s="178">
        <f t="shared" si="18"/>
        <v>16991.404268288374</v>
      </c>
      <c r="R55" s="174">
        <f t="shared" si="23"/>
        <v>1538549.8296544512</v>
      </c>
      <c r="S55" s="174">
        <f t="shared" si="24"/>
        <v>1809028.5173318153</v>
      </c>
      <c r="T55" s="174">
        <f t="shared" si="16"/>
        <v>373157.31232263579</v>
      </c>
      <c r="U55" s="174">
        <f t="shared" si="17"/>
        <v>2182185.8296544515</v>
      </c>
      <c r="V55" s="174">
        <f t="shared" ref="V55:AD55" si="55">$B$30*V26</f>
        <v>436375.09339168813</v>
      </c>
      <c r="W55" s="174">
        <f t="shared" si="55"/>
        <v>464594.52264815016</v>
      </c>
      <c r="X55" s="174">
        <f t="shared" si="55"/>
        <v>1016674.4905130562</v>
      </c>
      <c r="Y55" s="174">
        <f t="shared" si="55"/>
        <v>497813.9888614181</v>
      </c>
      <c r="Z55" s="174">
        <f t="shared" si="55"/>
        <v>140247.01312951124</v>
      </c>
      <c r="AA55" s="174">
        <f t="shared" si="55"/>
        <v>309575.10025625123</v>
      </c>
      <c r="AB55" s="174">
        <f t="shared" si="55"/>
        <v>7887162.4367250223</v>
      </c>
      <c r="AC55" s="174">
        <f t="shared" si="55"/>
        <v>4252654.1137318611</v>
      </c>
      <c r="AD55" s="174">
        <f t="shared" si="55"/>
        <v>280777.34001832438</v>
      </c>
      <c r="AE55" s="174">
        <f t="shared" si="35"/>
        <v>108781.82339999999</v>
      </c>
      <c r="AF55" s="174">
        <f t="shared" si="20"/>
        <v>223829.32782707887</v>
      </c>
      <c r="AG55" s="174">
        <f t="shared" si="37"/>
        <v>15618485.250502363</v>
      </c>
      <c r="AH55" s="174">
        <f t="shared" si="21"/>
        <v>17800671.080156814</v>
      </c>
      <c r="AI55" s="192"/>
      <c r="AJ55" s="172"/>
      <c r="AK55" s="172"/>
      <c r="AL55" s="172">
        <f t="shared" si="27"/>
        <v>9540351.331109155</v>
      </c>
      <c r="AM55" s="172">
        <f t="shared" si="28"/>
        <v>8260319.7490476584</v>
      </c>
      <c r="AN55" s="105">
        <f t="shared" si="29"/>
        <v>0.53595458778765936</v>
      </c>
      <c r="AO55" s="105">
        <f t="shared" si="30"/>
        <v>0.46404541221234064</v>
      </c>
    </row>
    <row r="56" spans="1:41" x14ac:dyDescent="0.35">
      <c r="A56" s="190" t="s">
        <v>163</v>
      </c>
      <c r="B56" s="187"/>
      <c r="C56" s="187"/>
      <c r="D56" s="187"/>
      <c r="E56" s="187"/>
      <c r="F56" s="187"/>
      <c r="G56" s="187"/>
      <c r="H56" s="186"/>
      <c r="I56" s="171"/>
      <c r="J56" s="171"/>
      <c r="K56" s="171"/>
      <c r="L56" s="178">
        <f t="shared" si="48"/>
        <v>0</v>
      </c>
      <c r="M56" s="171"/>
      <c r="N56" s="178">
        <f t="shared" si="33"/>
        <v>373157.31232263579</v>
      </c>
      <c r="O56" s="178">
        <f t="shared" si="33"/>
        <v>1101737.2897295824</v>
      </c>
      <c r="P56" s="178">
        <f t="shared" si="33"/>
        <v>43514.673590095794</v>
      </c>
      <c r="Q56" s="187"/>
      <c r="R56" s="174">
        <f>SUM(I56:Q56)</f>
        <v>1518409.275642314</v>
      </c>
      <c r="S56" s="174">
        <f t="shared" si="24"/>
        <v>1145251.9633196781</v>
      </c>
      <c r="T56" s="174">
        <f t="shared" si="16"/>
        <v>373157.31232263579</v>
      </c>
      <c r="U56" s="174">
        <f t="shared" si="17"/>
        <v>1518409.275642314</v>
      </c>
      <c r="V56" s="174">
        <f t="shared" ref="V56:AD56" si="56">$B$30*V27</f>
        <v>394997.20182348264</v>
      </c>
      <c r="W56" s="174">
        <f t="shared" si="56"/>
        <v>420540.81272648426</v>
      </c>
      <c r="X56" s="174">
        <f t="shared" si="56"/>
        <v>1011591.118060491</v>
      </c>
      <c r="Y56" s="174">
        <f t="shared" si="56"/>
        <v>495324.91891711095</v>
      </c>
      <c r="Z56" s="174">
        <f t="shared" si="56"/>
        <v>128930.71203494341</v>
      </c>
      <c r="AA56" s="174">
        <f t="shared" si="56"/>
        <v>261659.73885671969</v>
      </c>
      <c r="AB56" s="174">
        <f t="shared" si="56"/>
        <v>8176776.7386666657</v>
      </c>
      <c r="AC56" s="174">
        <f t="shared" si="56"/>
        <v>4449687.9128660178</v>
      </c>
      <c r="AD56" s="174">
        <f t="shared" si="56"/>
        <v>293854.16841531487</v>
      </c>
      <c r="AE56" s="174">
        <f t="shared" si="35"/>
        <v>0</v>
      </c>
      <c r="AF56" s="174">
        <f t="shared" si="20"/>
        <v>0</v>
      </c>
      <c r="AG56" s="174">
        <f t="shared" si="37"/>
        <v>15633363.322367232</v>
      </c>
      <c r="AH56" s="174">
        <f t="shared" ref="AH56" si="57">H56+R56+AG56</f>
        <v>17151772.598009545</v>
      </c>
      <c r="AI56" s="192"/>
      <c r="AL56" s="172">
        <f t="shared" si="27"/>
        <v>8601838.5470202435</v>
      </c>
      <c r="AM56" s="172">
        <f t="shared" si="28"/>
        <v>8549934.0509893019</v>
      </c>
      <c r="AN56" s="105">
        <f t="shared" si="29"/>
        <v>0.50151309422202128</v>
      </c>
      <c r="AO56" s="105">
        <f t="shared" si="30"/>
        <v>0.49848690577797872</v>
      </c>
    </row>
    <row r="57" spans="1:41" x14ac:dyDescent="0.35">
      <c r="C57" t="s">
        <v>202</v>
      </c>
    </row>
    <row r="58" spans="1:41" x14ac:dyDescent="0.35">
      <c r="A58" s="177" t="s">
        <v>43</v>
      </c>
      <c r="B58" s="22">
        <v>0.70538159360122976</v>
      </c>
      <c r="C58" s="22">
        <v>0.71035999999999999</v>
      </c>
    </row>
    <row r="59" spans="1:41" ht="29" x14ac:dyDescent="0.35">
      <c r="A59" s="184" t="s">
        <v>1</v>
      </c>
      <c r="B59" s="184" t="str">
        <f t="shared" ref="B59:G59" si="58">B2</f>
        <v>Small DG</v>
      </c>
      <c r="C59" s="184" t="str">
        <f t="shared" si="58"/>
        <v>Large DG</v>
      </c>
      <c r="D59" s="184" t="str">
        <f t="shared" si="58"/>
        <v>Traditional CS</v>
      </c>
      <c r="E59" s="184" t="str">
        <f t="shared" si="58"/>
        <v xml:space="preserve"> Public Schools </v>
      </c>
      <c r="F59" s="184" t="str">
        <f t="shared" si="58"/>
        <v xml:space="preserve"> CDCS </v>
      </c>
      <c r="G59" s="184" t="str">
        <f t="shared" si="58"/>
        <v xml:space="preserve"> EEC </v>
      </c>
      <c r="H59" s="24" t="s">
        <v>190</v>
      </c>
      <c r="I59" s="184" t="s">
        <v>338</v>
      </c>
      <c r="J59" s="184" t="s">
        <v>339</v>
      </c>
      <c r="K59" s="184" t="s">
        <v>191</v>
      </c>
      <c r="L59" s="184" t="s">
        <v>211</v>
      </c>
      <c r="M59" s="184" t="s">
        <v>212</v>
      </c>
      <c r="N59" s="184" t="s">
        <v>194</v>
      </c>
      <c r="O59" s="184" t="s">
        <v>195</v>
      </c>
      <c r="P59" s="184" t="s">
        <v>196</v>
      </c>
      <c r="Q59" s="240" t="s">
        <v>197</v>
      </c>
      <c r="R59" s="24" t="s">
        <v>198</v>
      </c>
      <c r="S59" s="24" t="s">
        <v>199</v>
      </c>
      <c r="T59" s="24" t="s">
        <v>200</v>
      </c>
      <c r="U59" s="24" t="s">
        <v>201</v>
      </c>
      <c r="V59" s="184" t="s">
        <v>129</v>
      </c>
      <c r="W59" s="184" t="s">
        <v>135</v>
      </c>
      <c r="X59" s="25" t="s">
        <v>144</v>
      </c>
      <c r="Y59" s="184" t="s">
        <v>149</v>
      </c>
      <c r="Z59" s="25" t="s">
        <v>153</v>
      </c>
      <c r="AA59" s="25" t="s">
        <v>156</v>
      </c>
      <c r="AB59" s="184" t="s">
        <v>86</v>
      </c>
      <c r="AC59" s="184" t="s">
        <v>87</v>
      </c>
      <c r="AD59" s="184" t="s">
        <v>82</v>
      </c>
      <c r="AE59" s="184" t="s">
        <v>202</v>
      </c>
      <c r="AF59" s="25" t="s">
        <v>203</v>
      </c>
      <c r="AG59" s="193" t="s">
        <v>204</v>
      </c>
      <c r="AH59" s="24" t="s">
        <v>205</v>
      </c>
      <c r="AI59" s="24" t="s">
        <v>206</v>
      </c>
      <c r="AL59" s="76" t="s">
        <v>207</v>
      </c>
      <c r="AM59" s="76" t="s">
        <v>208</v>
      </c>
      <c r="AN59" t="s">
        <v>209</v>
      </c>
      <c r="AO59" t="s">
        <v>210</v>
      </c>
    </row>
    <row r="60" spans="1:41" x14ac:dyDescent="0.35">
      <c r="A60" s="184"/>
      <c r="B60" s="184"/>
      <c r="C60" s="184"/>
      <c r="D60" s="184"/>
      <c r="E60" s="184"/>
      <c r="F60" s="184"/>
      <c r="G60" s="184"/>
      <c r="H60" s="24"/>
      <c r="I60" s="184"/>
      <c r="J60" s="184"/>
      <c r="K60" s="184"/>
      <c r="L60" s="184"/>
      <c r="M60" s="184"/>
      <c r="N60" s="184"/>
      <c r="O60" s="184"/>
      <c r="P60" s="184"/>
      <c r="Q60" s="240"/>
      <c r="R60" s="24"/>
      <c r="S60" s="174"/>
      <c r="T60" s="174">
        <f t="shared" ref="T60:T84" si="59">I60+L60+N60</f>
        <v>0</v>
      </c>
      <c r="U60" s="174">
        <f t="shared" ref="U60:U84" si="60">H60+R60</f>
        <v>0</v>
      </c>
      <c r="V60" s="184"/>
      <c r="W60" s="184"/>
      <c r="X60" s="25"/>
      <c r="Y60" s="184"/>
      <c r="Z60" s="25"/>
      <c r="AA60" s="25"/>
      <c r="AB60" s="184"/>
      <c r="AC60" s="184"/>
      <c r="AD60" s="184"/>
      <c r="AE60" s="184"/>
      <c r="AF60" s="25"/>
      <c r="AG60" s="24"/>
      <c r="AH60" s="24"/>
      <c r="AI60" s="24"/>
    </row>
    <row r="61" spans="1:41" x14ac:dyDescent="0.35">
      <c r="A61" s="177" t="s">
        <v>17</v>
      </c>
      <c r="B61" s="178">
        <f>'ABP Under Contract'!B62</f>
        <v>141574</v>
      </c>
      <c r="C61" s="178">
        <f>'ABP Under Contract'!C62</f>
        <v>229273</v>
      </c>
      <c r="D61" s="178">
        <f>'ABP Under Contract'!D62</f>
        <v>81355</v>
      </c>
      <c r="E61" s="178">
        <f>'ABP Under Contract'!E62</f>
        <v>0</v>
      </c>
      <c r="F61" s="178">
        <f>'ABP Under Contract'!F62</f>
        <v>0</v>
      </c>
      <c r="G61" s="178">
        <f>'ABP Under Contract'!G62</f>
        <v>0</v>
      </c>
      <c r="H61" s="174">
        <f>SUM(B61:G61)</f>
        <v>452202</v>
      </c>
      <c r="I61" s="178">
        <v>1233838</v>
      </c>
      <c r="J61" s="178">
        <v>27887</v>
      </c>
      <c r="K61" s="178">
        <v>0</v>
      </c>
      <c r="L61" s="178">
        <v>513482</v>
      </c>
      <c r="M61" s="178">
        <v>18445</v>
      </c>
      <c r="N61" s="178"/>
      <c r="O61" s="178"/>
      <c r="P61" s="178"/>
      <c r="Q61" s="178">
        <f t="shared" ref="Q61:Q83" si="61">Q4*$B$58</f>
        <v>41103.714069693422</v>
      </c>
      <c r="R61" s="174">
        <f t="shared" ref="R61:R83" si="62">SUM(I61:Q61)</f>
        <v>1834755.7140696933</v>
      </c>
      <c r="S61" s="174">
        <f>H61+J61+K61+M61+O61+P61+Q61</f>
        <v>539637.71406969347</v>
      </c>
      <c r="T61" s="174">
        <f>I61+L61+N61</f>
        <v>1747320</v>
      </c>
      <c r="U61" s="174">
        <f t="shared" si="60"/>
        <v>2286957.7140696933</v>
      </c>
      <c r="V61" s="174">
        <f t="shared" ref="V61:AD61" si="63">$B$58*V4</f>
        <v>0</v>
      </c>
      <c r="W61" s="174">
        <f t="shared" si="63"/>
        <v>0</v>
      </c>
      <c r="X61" s="174">
        <f t="shared" si="63"/>
        <v>0</v>
      </c>
      <c r="Y61" s="174">
        <f t="shared" si="63"/>
        <v>0</v>
      </c>
      <c r="Z61" s="174">
        <f t="shared" si="63"/>
        <v>0</v>
      </c>
      <c r="AA61" s="174">
        <f t="shared" si="63"/>
        <v>0</v>
      </c>
      <c r="AB61" s="174">
        <f t="shared" si="63"/>
        <v>0</v>
      </c>
      <c r="AC61" s="174">
        <f t="shared" si="63"/>
        <v>0</v>
      </c>
      <c r="AD61" s="174">
        <f t="shared" si="63"/>
        <v>0</v>
      </c>
      <c r="AE61" s="174"/>
      <c r="AF61" s="174">
        <f t="shared" ref="AF61:AF83" si="64">AF4*$B$58</f>
        <v>0</v>
      </c>
      <c r="AG61" s="174">
        <f>SUM(V61:AF61)</f>
        <v>0</v>
      </c>
      <c r="AH61" s="174">
        <f t="shared" ref="AH61:AH83" si="65">H61+R61+AG61</f>
        <v>2286957.7140696933</v>
      </c>
      <c r="AI61" s="192">
        <f>AH61/'Collections and ACP'!E73</f>
        <v>2.7247818404547621E-2</v>
      </c>
      <c r="AL61" s="172">
        <f>H61+J61+K61+M61+Q61+V61+W61+X61+Y61+Z61+AA61+AC61+AD61+AF61+O61+P61+AE61</f>
        <v>539637.71406969347</v>
      </c>
      <c r="AM61" s="172">
        <f>I61+L61+AB61+N61</f>
        <v>1747320</v>
      </c>
      <c r="AN61" s="105">
        <f>AL61/(AL61+AM61)</f>
        <v>0.23596313598181745</v>
      </c>
      <c r="AO61" s="105">
        <f>1-AN61</f>
        <v>0.76403686401818249</v>
      </c>
    </row>
    <row r="62" spans="1:41" x14ac:dyDescent="0.35">
      <c r="A62" s="177" t="s">
        <v>18</v>
      </c>
      <c r="B62" s="178">
        <f>'ABP Under Contract'!B63</f>
        <v>184184</v>
      </c>
      <c r="C62" s="178">
        <f>'ABP Under Contract'!C63</f>
        <v>280699</v>
      </c>
      <c r="D62" s="178">
        <f>'ABP Under Contract'!D63</f>
        <v>262797</v>
      </c>
      <c r="E62" s="178">
        <f>'ABP Under Contract'!E63</f>
        <v>0</v>
      </c>
      <c r="F62" s="178">
        <f>'ABP Under Contract'!F63</f>
        <v>0</v>
      </c>
      <c r="G62" s="178">
        <f>'ABP Under Contract'!G63</f>
        <v>0</v>
      </c>
      <c r="H62" s="174">
        <f t="shared" ref="H62:H83" si="66">SUM(B62:G62)</f>
        <v>727680</v>
      </c>
      <c r="I62" s="178">
        <v>1233838</v>
      </c>
      <c r="J62" s="178">
        <v>27887</v>
      </c>
      <c r="K62" s="178">
        <v>18445</v>
      </c>
      <c r="L62" s="178">
        <v>1452887</v>
      </c>
      <c r="M62" s="178">
        <v>651114</v>
      </c>
      <c r="N62" s="178"/>
      <c r="O62" s="178"/>
      <c r="P62" s="178"/>
      <c r="Q62" s="178">
        <f t="shared" si="61"/>
        <v>45977.853856038346</v>
      </c>
      <c r="R62" s="174">
        <f t="shared" si="62"/>
        <v>3430148.8538560383</v>
      </c>
      <c r="S62" s="174">
        <f t="shared" ref="S62:S84" si="67">H62+J62+K62+M62+O62+P62+Q62</f>
        <v>1471103.8538560383</v>
      </c>
      <c r="T62" s="174">
        <f t="shared" si="59"/>
        <v>2686725</v>
      </c>
      <c r="U62" s="174">
        <f t="shared" si="60"/>
        <v>4157828.8538560383</v>
      </c>
      <c r="V62" s="174">
        <f t="shared" ref="V62:AD62" si="68">$B$58*V5</f>
        <v>0</v>
      </c>
      <c r="W62" s="174">
        <f t="shared" si="68"/>
        <v>0</v>
      </c>
      <c r="X62" s="174">
        <f t="shared" si="68"/>
        <v>0</v>
      </c>
      <c r="Y62" s="174">
        <f t="shared" si="68"/>
        <v>0</v>
      </c>
      <c r="Z62" s="174">
        <f t="shared" si="68"/>
        <v>0</v>
      </c>
      <c r="AA62" s="174">
        <f t="shared" si="68"/>
        <v>0</v>
      </c>
      <c r="AB62" s="174">
        <f t="shared" si="68"/>
        <v>0</v>
      </c>
      <c r="AC62" s="174">
        <f t="shared" si="68"/>
        <v>0</v>
      </c>
      <c r="AD62" s="174">
        <f t="shared" si="68"/>
        <v>0</v>
      </c>
      <c r="AE62" s="174"/>
      <c r="AF62" s="174">
        <f t="shared" si="64"/>
        <v>0</v>
      </c>
      <c r="AG62" s="174">
        <f t="shared" ref="AG62:AG63" si="69">SUM(V62:AF62)</f>
        <v>0</v>
      </c>
      <c r="AH62" s="174">
        <f t="shared" si="65"/>
        <v>4157828.8538560383</v>
      </c>
      <c r="AI62" s="192">
        <f>AH62/'Collections and ACP'!E74</f>
        <v>4.9090452260448211E-2</v>
      </c>
      <c r="AL62" s="172">
        <f t="shared" ref="AL62:AL84" si="70">H62+J62+K62+M62+Q62+V62+W62+X62+Y62+Z62+AA62+AC62+AD62+AF62+O62+P62+AE62</f>
        <v>1471103.8538560383</v>
      </c>
      <c r="AM62" s="172">
        <f t="shared" ref="AM62:AM84" si="71">I62+L62+AB62+N62</f>
        <v>2686725</v>
      </c>
      <c r="AN62" s="105">
        <f t="shared" ref="AN62:AN84" si="72">AL62/(AL62+AM62)</f>
        <v>0.35381539393852457</v>
      </c>
      <c r="AO62" s="105">
        <f t="shared" ref="AO62:AO84" si="73">1-AN62</f>
        <v>0.64618460606147543</v>
      </c>
    </row>
    <row r="63" spans="1:41" x14ac:dyDescent="0.35">
      <c r="A63" s="177" t="s">
        <v>19</v>
      </c>
      <c r="B63" s="178">
        <f>'ABP Under Contract'!B64</f>
        <v>251607</v>
      </c>
      <c r="C63" s="178">
        <f>'ABP Under Contract'!C64</f>
        <v>299718</v>
      </c>
      <c r="D63" s="178">
        <f>'ABP Under Contract'!D64</f>
        <v>328220</v>
      </c>
      <c r="E63" s="178">
        <f>'ABP Under Contract'!E64</f>
        <v>0</v>
      </c>
      <c r="F63" s="178">
        <f>'ABP Under Contract'!F64</f>
        <v>0</v>
      </c>
      <c r="G63" s="178">
        <f>'ABP Under Contract'!G64</f>
        <v>0</v>
      </c>
      <c r="H63" s="174">
        <f t="shared" si="66"/>
        <v>879545</v>
      </c>
      <c r="I63" s="178">
        <v>1233838</v>
      </c>
      <c r="J63" s="178">
        <v>27887</v>
      </c>
      <c r="K63" s="178">
        <v>5286</v>
      </c>
      <c r="L63" s="178">
        <v>1452887</v>
      </c>
      <c r="M63" s="178">
        <v>1403726</v>
      </c>
      <c r="N63" s="178"/>
      <c r="O63" s="178"/>
      <c r="P63" s="178"/>
      <c r="Q63" s="178">
        <f t="shared" si="61"/>
        <v>45747.964586758157</v>
      </c>
      <c r="R63" s="174">
        <f t="shared" si="62"/>
        <v>4169371.9645867581</v>
      </c>
      <c r="S63" s="174">
        <f t="shared" si="67"/>
        <v>2362191.9645867581</v>
      </c>
      <c r="T63" s="174">
        <f t="shared" si="59"/>
        <v>2686725</v>
      </c>
      <c r="U63" s="174">
        <f t="shared" si="60"/>
        <v>5048916.9645867581</v>
      </c>
      <c r="V63" s="174">
        <f t="shared" ref="V63:AD63" si="74">$B$58*V6</f>
        <v>0</v>
      </c>
      <c r="W63" s="174">
        <f t="shared" si="74"/>
        <v>0</v>
      </c>
      <c r="X63" s="174">
        <f t="shared" si="74"/>
        <v>0</v>
      </c>
      <c r="Y63" s="174">
        <f t="shared" si="74"/>
        <v>0</v>
      </c>
      <c r="Z63" s="174">
        <f t="shared" si="74"/>
        <v>0</v>
      </c>
      <c r="AA63" s="174">
        <f t="shared" si="74"/>
        <v>0</v>
      </c>
      <c r="AB63" s="174">
        <f t="shared" si="74"/>
        <v>0</v>
      </c>
      <c r="AC63" s="174">
        <f t="shared" si="74"/>
        <v>0</v>
      </c>
      <c r="AD63" s="174">
        <f t="shared" si="74"/>
        <v>0</v>
      </c>
      <c r="AE63" s="174"/>
      <c r="AF63" s="174">
        <f t="shared" si="64"/>
        <v>0</v>
      </c>
      <c r="AG63" s="174">
        <f t="shared" si="69"/>
        <v>0</v>
      </c>
      <c r="AH63" s="174">
        <f t="shared" si="65"/>
        <v>5048916.9645867581</v>
      </c>
      <c r="AI63" s="192">
        <f>AH63/'Collections and ACP'!E75</f>
        <v>6.0510197852762931E-2</v>
      </c>
      <c r="AJ63" s="172"/>
      <c r="AK63" s="172"/>
      <c r="AL63" s="172">
        <f t="shared" si="70"/>
        <v>2362191.9645867581</v>
      </c>
      <c r="AM63" s="172">
        <f t="shared" si="71"/>
        <v>2686725</v>
      </c>
      <c r="AN63" s="105">
        <f t="shared" si="72"/>
        <v>0.46786112371331062</v>
      </c>
      <c r="AO63" s="105">
        <f t="shared" si="73"/>
        <v>0.53213887628668943</v>
      </c>
    </row>
    <row r="64" spans="1:41" x14ac:dyDescent="0.35">
      <c r="A64" s="177" t="s">
        <v>20</v>
      </c>
      <c r="B64" s="178">
        <f>'ABP Under Contract'!B65</f>
        <v>451207</v>
      </c>
      <c r="C64" s="178">
        <f>'ABP Under Contract'!C65</f>
        <v>401960</v>
      </c>
      <c r="D64" s="178">
        <f>'ABP Under Contract'!D65</f>
        <v>493416</v>
      </c>
      <c r="E64" s="178">
        <f>'ABP Under Contract'!E65</f>
        <v>0</v>
      </c>
      <c r="F64" s="178">
        <f>'ABP Under Contract'!F65</f>
        <v>0</v>
      </c>
      <c r="G64" s="178">
        <f>'ABP Under Contract'!G65</f>
        <v>0</v>
      </c>
      <c r="H64" s="174">
        <f t="shared" si="66"/>
        <v>1346583</v>
      </c>
      <c r="I64" s="178">
        <v>1233838</v>
      </c>
      <c r="J64" s="178">
        <v>27887</v>
      </c>
      <c r="K64" s="30"/>
      <c r="L64" s="178">
        <v>1452887</v>
      </c>
      <c r="M64" s="178">
        <v>1403726</v>
      </c>
      <c r="N64" s="178"/>
      <c r="O64" s="178"/>
      <c r="P64" s="178"/>
      <c r="Q64" s="178">
        <f t="shared" si="61"/>
        <v>45519.224763824372</v>
      </c>
      <c r="R64" s="174">
        <f t="shared" si="62"/>
        <v>4163857.2247638246</v>
      </c>
      <c r="S64" s="174">
        <f t="shared" si="67"/>
        <v>2823715.2247638246</v>
      </c>
      <c r="T64" s="174">
        <f t="shared" si="59"/>
        <v>2686725</v>
      </c>
      <c r="U64" s="174">
        <f t="shared" si="60"/>
        <v>5510440.2247638246</v>
      </c>
      <c r="V64" s="174">
        <f t="shared" ref="V64:AD64" si="75">$B$58*V7</f>
        <v>0</v>
      </c>
      <c r="W64" s="174">
        <f t="shared" si="75"/>
        <v>0</v>
      </c>
      <c r="X64" s="174">
        <f t="shared" si="75"/>
        <v>0</v>
      </c>
      <c r="Y64" s="174">
        <f t="shared" si="75"/>
        <v>0</v>
      </c>
      <c r="Z64" s="174">
        <f t="shared" si="75"/>
        <v>0</v>
      </c>
      <c r="AA64" s="174">
        <f t="shared" si="75"/>
        <v>0</v>
      </c>
      <c r="AB64" s="174">
        <f t="shared" si="75"/>
        <v>0</v>
      </c>
      <c r="AC64" s="174">
        <f t="shared" si="75"/>
        <v>0</v>
      </c>
      <c r="AD64" s="174">
        <f t="shared" si="75"/>
        <v>0</v>
      </c>
      <c r="AE64" s="174"/>
      <c r="AF64" s="174">
        <f t="shared" si="64"/>
        <v>33152.934899257802</v>
      </c>
      <c r="AG64" s="174">
        <f>SUM(V64:AF64)</f>
        <v>33152.934899257802</v>
      </c>
      <c r="AH64" s="174">
        <f t="shared" si="65"/>
        <v>5543593.1596630821</v>
      </c>
      <c r="AI64" s="192">
        <f>AH64/'Collections and ACP'!E76</f>
        <v>6.6825002256520508E-2</v>
      </c>
      <c r="AJ64" s="172"/>
      <c r="AK64" s="172"/>
      <c r="AL64" s="172">
        <f t="shared" si="70"/>
        <v>2856868.1596630826</v>
      </c>
      <c r="AM64" s="172">
        <f t="shared" si="71"/>
        <v>2686725</v>
      </c>
      <c r="AN64" s="105">
        <f t="shared" si="72"/>
        <v>0.51534592770092658</v>
      </c>
      <c r="AO64" s="105">
        <f t="shared" si="73"/>
        <v>0.48465407229907342</v>
      </c>
    </row>
    <row r="65" spans="1:41" x14ac:dyDescent="0.35">
      <c r="A65" s="177" t="s">
        <v>22</v>
      </c>
      <c r="B65" s="178">
        <f>'ABP Under Contract'!B66</f>
        <v>527219</v>
      </c>
      <c r="C65" s="178">
        <f>'ABP Under Contract'!C66</f>
        <v>622125</v>
      </c>
      <c r="D65" s="178">
        <f>'ABP Under Contract'!D66</f>
        <v>748948</v>
      </c>
      <c r="E65" s="178">
        <f>'ABP Under Contract'!E66</f>
        <v>942</v>
      </c>
      <c r="F65" s="178">
        <f>'ABP Under Contract'!F66</f>
        <v>6313</v>
      </c>
      <c r="G65" s="178">
        <f>'ABP Under Contract'!G66</f>
        <v>0</v>
      </c>
      <c r="H65" s="174">
        <f t="shared" si="66"/>
        <v>1905547</v>
      </c>
      <c r="I65" s="178">
        <v>1233838</v>
      </c>
      <c r="J65" s="178">
        <v>27887</v>
      </c>
      <c r="K65" s="30"/>
      <c r="L65" s="178">
        <v>1452887</v>
      </c>
      <c r="M65" s="178">
        <v>1403726</v>
      </c>
      <c r="N65" s="178">
        <f t="shared" ref="N65:P84" si="76">N8*$B$58</f>
        <v>0</v>
      </c>
      <c r="O65" s="178">
        <f t="shared" si="76"/>
        <v>0</v>
      </c>
      <c r="P65" s="178">
        <f t="shared" si="76"/>
        <v>0</v>
      </c>
      <c r="Q65" s="178">
        <f t="shared" si="61"/>
        <v>45291.628640005249</v>
      </c>
      <c r="R65" s="174">
        <f t="shared" si="62"/>
        <v>4163629.6286400054</v>
      </c>
      <c r="S65" s="174">
        <f t="shared" si="67"/>
        <v>3382451.6286400054</v>
      </c>
      <c r="T65" s="174">
        <f t="shared" si="59"/>
        <v>2686725</v>
      </c>
      <c r="U65" s="174">
        <f t="shared" si="60"/>
        <v>6069176.6286400054</v>
      </c>
      <c r="V65" s="174">
        <f t="shared" ref="V65:AD65" si="77">$B$58*V8</f>
        <v>0</v>
      </c>
      <c r="W65" s="174">
        <f t="shared" si="77"/>
        <v>71353.167366620954</v>
      </c>
      <c r="X65" s="174">
        <f t="shared" si="77"/>
        <v>0</v>
      </c>
      <c r="Y65" s="174">
        <f t="shared" si="77"/>
        <v>252450.94055771039</v>
      </c>
      <c r="Z65" s="174">
        <f t="shared" si="77"/>
        <v>0</v>
      </c>
      <c r="AA65" s="174">
        <f t="shared" si="77"/>
        <v>0</v>
      </c>
      <c r="AB65" s="174">
        <f t="shared" si="77"/>
        <v>0</v>
      </c>
      <c r="AC65" s="174">
        <f t="shared" si="77"/>
        <v>0</v>
      </c>
      <c r="AD65" s="174">
        <f t="shared" si="77"/>
        <v>0</v>
      </c>
      <c r="AE65" s="174">
        <f t="shared" ref="AE65:AE83" si="78">AE8*$C$58</f>
        <v>269304.5796</v>
      </c>
      <c r="AF65" s="174">
        <f t="shared" si="64"/>
        <v>65974.340449523021</v>
      </c>
      <c r="AG65" s="174">
        <f>SUM(V65:AF65)</f>
        <v>659083.02797385433</v>
      </c>
      <c r="AH65" s="174">
        <f t="shared" si="65"/>
        <v>6728259.6566138593</v>
      </c>
      <c r="AI65" s="192">
        <f>AH65/'Collections and ACP'!E77</f>
        <v>8.2117517930029457E-2</v>
      </c>
      <c r="AJ65" s="172"/>
      <c r="AK65" s="172"/>
      <c r="AL65" s="172">
        <f t="shared" si="70"/>
        <v>4041534.6566138598</v>
      </c>
      <c r="AM65" s="172">
        <f t="shared" si="71"/>
        <v>2686725</v>
      </c>
      <c r="AN65" s="105">
        <f t="shared" si="72"/>
        <v>0.60068054190522246</v>
      </c>
      <c r="AO65" s="105">
        <f t="shared" si="73"/>
        <v>0.39931945809477754</v>
      </c>
    </row>
    <row r="66" spans="1:41" x14ac:dyDescent="0.35">
      <c r="A66" s="177" t="s">
        <v>23</v>
      </c>
      <c r="B66" s="178">
        <f>'ABP Under Contract'!B67</f>
        <v>581044</v>
      </c>
      <c r="C66" s="178">
        <f>'ABP Under Contract'!C67</f>
        <v>652496</v>
      </c>
      <c r="D66" s="178">
        <f>'ABP Under Contract'!D67</f>
        <v>1252930</v>
      </c>
      <c r="E66" s="178">
        <f>'ABP Under Contract'!E67</f>
        <v>20329</v>
      </c>
      <c r="F66" s="178">
        <f>'ABP Under Contract'!F67</f>
        <v>122119</v>
      </c>
      <c r="G66" s="178">
        <f>'ABP Under Contract'!G67</f>
        <v>343849</v>
      </c>
      <c r="H66" s="174">
        <f t="shared" si="66"/>
        <v>2972767</v>
      </c>
      <c r="I66" s="178">
        <v>1233838</v>
      </c>
      <c r="J66" s="178">
        <v>27887</v>
      </c>
      <c r="K66" s="30"/>
      <c r="L66" s="178">
        <v>1452887</v>
      </c>
      <c r="M66" s="178">
        <v>1403726</v>
      </c>
      <c r="N66" s="178">
        <f t="shared" si="76"/>
        <v>324475.53305656568</v>
      </c>
      <c r="O66" s="178">
        <f t="shared" si="76"/>
        <v>1334244.0973101917</v>
      </c>
      <c r="P66" s="178">
        <f t="shared" si="76"/>
        <v>40820.432821703165</v>
      </c>
      <c r="Q66" s="178">
        <f t="shared" si="61"/>
        <v>45065.170496805222</v>
      </c>
      <c r="R66" s="174">
        <f t="shared" si="62"/>
        <v>5862943.2336852662</v>
      </c>
      <c r="S66" s="174">
        <f t="shared" si="67"/>
        <v>5824509.7006287007</v>
      </c>
      <c r="T66" s="174">
        <f t="shared" si="59"/>
        <v>3011200.5330565656</v>
      </c>
      <c r="U66" s="174">
        <f t="shared" si="60"/>
        <v>8835710.2336852662</v>
      </c>
      <c r="V66" s="174">
        <f t="shared" ref="V66:AD66" si="79">$B$58*V9</f>
        <v>102920.01347744453</v>
      </c>
      <c r="W66" s="174">
        <f t="shared" si="79"/>
        <v>180572.0286831347</v>
      </c>
      <c r="X66" s="174">
        <f t="shared" si="79"/>
        <v>0</v>
      </c>
      <c r="Y66" s="174">
        <f t="shared" si="79"/>
        <v>341775.28761056426</v>
      </c>
      <c r="Z66" s="174">
        <f t="shared" si="79"/>
        <v>0</v>
      </c>
      <c r="AA66" s="174">
        <f t="shared" si="79"/>
        <v>121750.69683705205</v>
      </c>
      <c r="AB66" s="174">
        <f t="shared" si="79"/>
        <v>0</v>
      </c>
      <c r="AC66" s="174">
        <f t="shared" si="79"/>
        <v>0</v>
      </c>
      <c r="AD66" s="174">
        <f t="shared" si="79"/>
        <v>0</v>
      </c>
      <c r="AE66" s="174">
        <f t="shared" si="78"/>
        <v>269304.5796</v>
      </c>
      <c r="AF66" s="174">
        <f t="shared" si="64"/>
        <v>98961.510674284524</v>
      </c>
      <c r="AG66" s="174">
        <f t="shared" ref="AG66:AG84" si="80">SUM(V66:AF66)</f>
        <v>1115284.11688248</v>
      </c>
      <c r="AH66" s="174">
        <f t="shared" si="65"/>
        <v>9950994.3505677469</v>
      </c>
      <c r="AI66" s="192">
        <f>AH66/'Collections and ACP'!E78</f>
        <v>0.12200747712550178</v>
      </c>
      <c r="AJ66" s="172"/>
      <c r="AK66" s="172"/>
      <c r="AL66" s="172">
        <f t="shared" si="70"/>
        <v>6939793.8175111804</v>
      </c>
      <c r="AM66" s="172">
        <f t="shared" si="71"/>
        <v>3011200.5330565656</v>
      </c>
      <c r="AN66" s="105">
        <f t="shared" si="72"/>
        <v>0.69739702114444824</v>
      </c>
      <c r="AO66" s="105">
        <f t="shared" si="73"/>
        <v>0.30260297885555176</v>
      </c>
    </row>
    <row r="67" spans="1:41" x14ac:dyDescent="0.35">
      <c r="A67" s="177" t="s">
        <v>24</v>
      </c>
      <c r="B67" s="178">
        <f>'ABP Under Contract'!B68</f>
        <v>577891</v>
      </c>
      <c r="C67" s="178">
        <f>'ABP Under Contract'!C68</f>
        <v>649216</v>
      </c>
      <c r="D67" s="178">
        <f>'ABP Under Contract'!D68</f>
        <v>1246663</v>
      </c>
      <c r="E67" s="178">
        <f>'ABP Under Contract'!E68</f>
        <v>20226</v>
      </c>
      <c r="F67" s="178">
        <f>'ABP Under Contract'!F68</f>
        <v>121508</v>
      </c>
      <c r="G67" s="178">
        <f>'ABP Under Contract'!G68</f>
        <v>342125</v>
      </c>
      <c r="H67" s="174">
        <f t="shared" si="66"/>
        <v>2957629</v>
      </c>
      <c r="I67" s="178">
        <v>1233838</v>
      </c>
      <c r="J67" s="178">
        <v>27887</v>
      </c>
      <c r="K67" s="30"/>
      <c r="L67" s="178">
        <v>1452887</v>
      </c>
      <c r="M67" s="178">
        <v>1403726</v>
      </c>
      <c r="N67" s="178">
        <f t="shared" si="76"/>
        <v>324475.53305656568</v>
      </c>
      <c r="O67" s="178">
        <f t="shared" si="76"/>
        <v>2915392.4870727579</v>
      </c>
      <c r="P67" s="178">
        <f t="shared" si="76"/>
        <v>115206.20189136309</v>
      </c>
      <c r="Q67" s="178">
        <f t="shared" si="61"/>
        <v>44839.844644321194</v>
      </c>
      <c r="R67" s="174">
        <f t="shared" si="62"/>
        <v>7518252.0666650068</v>
      </c>
      <c r="S67" s="174">
        <f t="shared" si="67"/>
        <v>7464680.5336084422</v>
      </c>
      <c r="T67" s="174">
        <f t="shared" si="59"/>
        <v>3011200.5330565656</v>
      </c>
      <c r="U67" s="174">
        <f t="shared" si="60"/>
        <v>10475881.066665007</v>
      </c>
      <c r="V67" s="174">
        <f t="shared" ref="V67:AD67" si="81">$B$58*V10</f>
        <v>205325.42688750182</v>
      </c>
      <c r="W67" s="174">
        <f t="shared" si="81"/>
        <v>289244.79569306585</v>
      </c>
      <c r="X67" s="174">
        <f t="shared" si="81"/>
        <v>188141.40364633434</v>
      </c>
      <c r="Y67" s="174">
        <f t="shared" si="81"/>
        <v>430653.01292815397</v>
      </c>
      <c r="Z67" s="174">
        <f t="shared" si="81"/>
        <v>27872.800540197677</v>
      </c>
      <c r="AA67" s="174">
        <f t="shared" si="81"/>
        <v>242892.64018991886</v>
      </c>
      <c r="AB67" s="174">
        <f t="shared" si="81"/>
        <v>0</v>
      </c>
      <c r="AC67" s="174">
        <f t="shared" si="81"/>
        <v>0</v>
      </c>
      <c r="AD67" s="174">
        <f t="shared" si="81"/>
        <v>0</v>
      </c>
      <c r="AE67" s="174">
        <f t="shared" si="78"/>
        <v>269304.5796</v>
      </c>
      <c r="AF67" s="174">
        <f t="shared" si="64"/>
        <v>131948.68089904604</v>
      </c>
      <c r="AG67" s="174">
        <f t="shared" si="80"/>
        <v>1785383.3403842186</v>
      </c>
      <c r="AH67" s="174">
        <f t="shared" si="65"/>
        <v>12261264.407049226</v>
      </c>
      <c r="AI67" s="192">
        <f>AH67/'Collections and ACP'!E79</f>
        <v>0.15027361197912473</v>
      </c>
      <c r="AJ67" s="172"/>
      <c r="AK67" s="172"/>
      <c r="AL67" s="172">
        <f t="shared" si="70"/>
        <v>9250063.873992661</v>
      </c>
      <c r="AM67" s="172">
        <f t="shared" si="71"/>
        <v>3011200.5330565656</v>
      </c>
      <c r="AN67" s="105">
        <f t="shared" si="72"/>
        <v>0.75441353900456043</v>
      </c>
      <c r="AO67" s="105">
        <f t="shared" si="73"/>
        <v>0.24558646099543957</v>
      </c>
    </row>
    <row r="68" spans="1:41" x14ac:dyDescent="0.35">
      <c r="A68" s="177" t="s">
        <v>25</v>
      </c>
      <c r="B68" s="178">
        <f>'ABP Under Contract'!B69</f>
        <v>574803</v>
      </c>
      <c r="C68" s="178">
        <f>'ABP Under Contract'!C69</f>
        <v>645978</v>
      </c>
      <c r="D68" s="178">
        <f>'ABP Under Contract'!D69</f>
        <v>1240436</v>
      </c>
      <c r="E68" s="178">
        <f>'ABP Under Contract'!E69</f>
        <v>20125</v>
      </c>
      <c r="F68" s="178">
        <f>'ABP Under Contract'!F69</f>
        <v>120898</v>
      </c>
      <c r="G68" s="178">
        <f>'ABP Under Contract'!G69</f>
        <v>340415</v>
      </c>
      <c r="H68" s="174">
        <f t="shared" si="66"/>
        <v>2942655</v>
      </c>
      <c r="I68" s="178">
        <v>1233838</v>
      </c>
      <c r="J68" s="178">
        <v>27887</v>
      </c>
      <c r="K68" s="30"/>
      <c r="L68" s="178">
        <v>1452887</v>
      </c>
      <c r="M68" s="178">
        <v>1403726</v>
      </c>
      <c r="N68" s="178">
        <f t="shared" si="76"/>
        <v>908858.08423622127</v>
      </c>
      <c r="O68" s="178">
        <f t="shared" si="76"/>
        <v>2900815.5246373941</v>
      </c>
      <c r="P68" s="178">
        <f t="shared" si="76"/>
        <v>114630.17088190626</v>
      </c>
      <c r="Q68" s="178">
        <f t="shared" si="61"/>
        <v>44615.645421099594</v>
      </c>
      <c r="R68" s="174">
        <f t="shared" si="62"/>
        <v>8087257.4251766214</v>
      </c>
      <c r="S68" s="174">
        <f t="shared" si="67"/>
        <v>7434329.3409404</v>
      </c>
      <c r="T68" s="174">
        <f t="shared" si="59"/>
        <v>3595583.0842362214</v>
      </c>
      <c r="U68" s="174">
        <f t="shared" si="60"/>
        <v>11029912.42517662</v>
      </c>
      <c r="V68" s="174">
        <f t="shared" ref="V68:AD68" si="82">$B$58*V11</f>
        <v>307218.81323050888</v>
      </c>
      <c r="W68" s="174">
        <f t="shared" si="82"/>
        <v>397374.19886794745</v>
      </c>
      <c r="X68" s="174">
        <f t="shared" si="82"/>
        <v>375342.10027443699</v>
      </c>
      <c r="Y68" s="174">
        <f t="shared" si="82"/>
        <v>519086.34961915552</v>
      </c>
      <c r="Z68" s="174">
        <f t="shared" si="82"/>
        <v>55606.237077694364</v>
      </c>
      <c r="AA68" s="174">
        <f t="shared" si="82"/>
        <v>363428.87382602127</v>
      </c>
      <c r="AB68" s="174">
        <f t="shared" si="82"/>
        <v>4396877.6596055403</v>
      </c>
      <c r="AC68" s="174">
        <f t="shared" si="82"/>
        <v>940507.85095951485</v>
      </c>
      <c r="AD68" s="174">
        <f t="shared" si="82"/>
        <v>61132.601191044181</v>
      </c>
      <c r="AE68" s="174">
        <f t="shared" si="78"/>
        <v>269304.5796</v>
      </c>
      <c r="AF68" s="174">
        <f t="shared" si="64"/>
        <v>164935.85112380754</v>
      </c>
      <c r="AG68" s="174">
        <f t="shared" si="80"/>
        <v>7850815.1153756715</v>
      </c>
      <c r="AH68" s="174">
        <f t="shared" si="65"/>
        <v>18880727.540552292</v>
      </c>
      <c r="AI68" s="192">
        <f>AH68/'Collections and ACP'!E80</f>
        <v>0.23057762169261417</v>
      </c>
      <c r="AJ68" s="172"/>
      <c r="AK68" s="172"/>
      <c r="AL68" s="172">
        <f t="shared" si="70"/>
        <v>10888266.796710534</v>
      </c>
      <c r="AM68" s="172">
        <f t="shared" si="71"/>
        <v>7992460.7438417617</v>
      </c>
      <c r="AN68" s="105">
        <f t="shared" si="72"/>
        <v>0.57668682381674963</v>
      </c>
      <c r="AO68" s="105">
        <f t="shared" si="73"/>
        <v>0.42331317618325037</v>
      </c>
    </row>
    <row r="69" spans="1:41" x14ac:dyDescent="0.35">
      <c r="A69" s="177" t="s">
        <v>26</v>
      </c>
      <c r="B69" s="178">
        <f>'ABP Under Contract'!B70</f>
        <v>571862</v>
      </c>
      <c r="C69" s="178">
        <f>'ABP Under Contract'!C70</f>
        <v>642740</v>
      </c>
      <c r="D69" s="178">
        <f>'ABP Under Contract'!D70</f>
        <v>1234228</v>
      </c>
      <c r="E69" s="178">
        <f>'ABP Under Contract'!E70</f>
        <v>20024</v>
      </c>
      <c r="F69" s="178">
        <f>'ABP Under Contract'!F70</f>
        <v>120293</v>
      </c>
      <c r="G69" s="178">
        <f>'ABP Under Contract'!G70</f>
        <v>338713</v>
      </c>
      <c r="H69" s="174">
        <f t="shared" si="66"/>
        <v>2927860</v>
      </c>
      <c r="I69" s="178">
        <v>1233838</v>
      </c>
      <c r="J69" s="178">
        <v>27887</v>
      </c>
      <c r="K69" s="30"/>
      <c r="L69" s="178">
        <v>1452887</v>
      </c>
      <c r="M69" s="178">
        <v>1403726</v>
      </c>
      <c r="N69" s="178">
        <f t="shared" si="76"/>
        <v>908858.08423622127</v>
      </c>
      <c r="O69" s="178">
        <f t="shared" si="76"/>
        <v>2886311.447014207</v>
      </c>
      <c r="P69" s="178">
        <f t="shared" si="76"/>
        <v>114057.02002749675</v>
      </c>
      <c r="Q69" s="178">
        <f t="shared" si="61"/>
        <v>44392.567193994095</v>
      </c>
      <c r="R69" s="174">
        <f t="shared" si="62"/>
        <v>8071957.1184719196</v>
      </c>
      <c r="S69" s="174">
        <f t="shared" si="67"/>
        <v>7404234.0342356982</v>
      </c>
      <c r="T69" s="174">
        <f t="shared" si="59"/>
        <v>3595583.0842362214</v>
      </c>
      <c r="U69" s="174">
        <f t="shared" si="60"/>
        <v>10999817.11847192</v>
      </c>
      <c r="V69" s="174">
        <f t="shared" ref="V69:AD69" si="83">$B$58*V12</f>
        <v>408602.73264180077</v>
      </c>
      <c r="W69" s="174">
        <f t="shared" si="83"/>
        <v>504962.95502695447</v>
      </c>
      <c r="X69" s="174">
        <f t="shared" si="83"/>
        <v>561606.79341939918</v>
      </c>
      <c r="Y69" s="174">
        <f t="shared" si="83"/>
        <v>607077.5196267023</v>
      </c>
      <c r="Z69" s="174">
        <f t="shared" si="83"/>
        <v>83201.006432503564</v>
      </c>
      <c r="AA69" s="174">
        <f t="shared" si="83"/>
        <v>483362.42629394325</v>
      </c>
      <c r="AB69" s="174">
        <f t="shared" si="83"/>
        <v>6160331.6436086148</v>
      </c>
      <c r="AC69" s="174">
        <f t="shared" si="83"/>
        <v>1993877.7021065617</v>
      </c>
      <c r="AD69" s="174">
        <f t="shared" si="83"/>
        <v>120784.37364119348</v>
      </c>
      <c r="AE69" s="174">
        <f t="shared" si="78"/>
        <v>269304.5796</v>
      </c>
      <c r="AF69" s="174">
        <f t="shared" si="64"/>
        <v>197923.02134856905</v>
      </c>
      <c r="AG69" s="174">
        <f t="shared" si="80"/>
        <v>11391034.753746243</v>
      </c>
      <c r="AH69" s="174">
        <f t="shared" si="65"/>
        <v>22390851.872218162</v>
      </c>
      <c r="AI69" s="192">
        <f>AH69/'Collections and ACP'!E81</f>
        <v>0.27313556482447221</v>
      </c>
      <c r="AJ69" s="172"/>
      <c r="AK69" s="172"/>
      <c r="AL69" s="172">
        <f t="shared" si="70"/>
        <v>12634937.144373326</v>
      </c>
      <c r="AM69" s="172">
        <f t="shared" si="71"/>
        <v>9755914.7278448362</v>
      </c>
      <c r="AN69" s="105">
        <f t="shared" si="72"/>
        <v>0.56429014923055887</v>
      </c>
      <c r="AO69" s="105">
        <f t="shared" si="73"/>
        <v>0.43570985076944113</v>
      </c>
    </row>
    <row r="70" spans="1:41" x14ac:dyDescent="0.35">
      <c r="A70" s="177" t="s">
        <v>27</v>
      </c>
      <c r="B70" s="178">
        <f>'ABP Under Contract'!B71</f>
        <v>568934</v>
      </c>
      <c r="C70" s="178">
        <f>'ABP Under Contract'!C71</f>
        <v>639550</v>
      </c>
      <c r="D70" s="178">
        <f>'ABP Under Contract'!D71</f>
        <v>1228057</v>
      </c>
      <c r="E70" s="178">
        <f>'ABP Under Contract'!E71</f>
        <v>19925</v>
      </c>
      <c r="F70" s="178">
        <f>'ABP Under Contract'!F71</f>
        <v>119688</v>
      </c>
      <c r="G70" s="178">
        <f>'ABP Under Contract'!G71</f>
        <v>337019</v>
      </c>
      <c r="H70" s="174">
        <f t="shared" si="66"/>
        <v>2913173</v>
      </c>
      <c r="I70" s="178">
        <v>1233838</v>
      </c>
      <c r="J70" s="178">
        <v>27887</v>
      </c>
      <c r="K70" s="30"/>
      <c r="L70" s="178">
        <v>1452887</v>
      </c>
      <c r="M70" s="178">
        <v>1403726</v>
      </c>
      <c r="N70" s="178">
        <f t="shared" si="76"/>
        <v>908858.08423622127</v>
      </c>
      <c r="O70" s="178">
        <f t="shared" si="76"/>
        <v>2871879.8897791361</v>
      </c>
      <c r="P70" s="178">
        <f t="shared" si="76"/>
        <v>113486.73492735924</v>
      </c>
      <c r="Q70" s="178">
        <f t="shared" si="61"/>
        <v>44170.604358024124</v>
      </c>
      <c r="R70" s="174">
        <f t="shared" si="62"/>
        <v>8056733.31330074</v>
      </c>
      <c r="S70" s="174">
        <f t="shared" si="67"/>
        <v>7374323.2290645186</v>
      </c>
      <c r="T70" s="174">
        <f t="shared" si="59"/>
        <v>3595583.0842362214</v>
      </c>
      <c r="U70" s="174">
        <f t="shared" si="60"/>
        <v>10969906.31330074</v>
      </c>
      <c r="V70" s="174">
        <f t="shared" ref="V70:AD70" si="84">$B$58*V13</f>
        <v>509479.73245603638</v>
      </c>
      <c r="W70" s="174">
        <f t="shared" si="84"/>
        <v>612013.76740516652</v>
      </c>
      <c r="X70" s="174">
        <f t="shared" si="84"/>
        <v>746940.16309863643</v>
      </c>
      <c r="Y70" s="174">
        <f t="shared" si="84"/>
        <v>694628.7337842111</v>
      </c>
      <c r="Z70" s="174">
        <f t="shared" si="84"/>
        <v>110657.80194053875</v>
      </c>
      <c r="AA70" s="174">
        <f t="shared" si="84"/>
        <v>602696.31099952571</v>
      </c>
      <c r="AB70" s="174">
        <f t="shared" si="84"/>
        <v>7923785.6276116893</v>
      </c>
      <c r="AC70" s="174">
        <f t="shared" si="84"/>
        <v>3041980.7039978737</v>
      </c>
      <c r="AD70" s="174">
        <f t="shared" si="84"/>
        <v>180137.88722909204</v>
      </c>
      <c r="AE70" s="174">
        <f t="shared" si="78"/>
        <v>269304.5796</v>
      </c>
      <c r="AF70" s="174">
        <f t="shared" si="64"/>
        <v>222725.40497620928</v>
      </c>
      <c r="AG70" s="174">
        <f t="shared" si="80"/>
        <v>14914350.71309898</v>
      </c>
      <c r="AH70" s="174">
        <f t="shared" si="65"/>
        <v>25884257.02639972</v>
      </c>
      <c r="AI70" s="192">
        <f>AH70/'Collections and ACP'!E82</f>
        <v>0.31314200104431039</v>
      </c>
      <c r="AJ70" s="172"/>
      <c r="AK70" s="172"/>
      <c r="AL70" s="172">
        <f t="shared" si="70"/>
        <v>14364888.314551812</v>
      </c>
      <c r="AM70" s="172">
        <f t="shared" si="71"/>
        <v>11519368.711847911</v>
      </c>
      <c r="AN70" s="105">
        <f t="shared" si="72"/>
        <v>0.55496622135612605</v>
      </c>
      <c r="AO70" s="105">
        <f t="shared" si="73"/>
        <v>0.44503377864387395</v>
      </c>
    </row>
    <row r="71" spans="1:41" x14ac:dyDescent="0.35">
      <c r="A71" s="177" t="s">
        <v>28</v>
      </c>
      <c r="B71" s="178">
        <f>'ABP Under Contract'!B72</f>
        <v>566059</v>
      </c>
      <c r="C71" s="178">
        <f>'ABP Under Contract'!C72</f>
        <v>636329</v>
      </c>
      <c r="D71" s="178">
        <f>'ABP Under Contract'!D72</f>
        <v>1221912</v>
      </c>
      <c r="E71" s="178">
        <f>'ABP Under Contract'!E72</f>
        <v>19826</v>
      </c>
      <c r="F71" s="178">
        <f>'ABP Under Contract'!F72</f>
        <v>119098</v>
      </c>
      <c r="G71" s="178">
        <f>'ABP Under Contract'!G72</f>
        <v>335333</v>
      </c>
      <c r="H71" s="174">
        <f t="shared" si="66"/>
        <v>2898557</v>
      </c>
      <c r="I71" s="178">
        <v>1233838</v>
      </c>
      <c r="J71" s="178">
        <v>27887</v>
      </c>
      <c r="K71" s="30"/>
      <c r="L71" s="178">
        <v>1452887</v>
      </c>
      <c r="M71" s="178">
        <v>1403726</v>
      </c>
      <c r="N71" s="178">
        <f t="shared" si="76"/>
        <v>908858.08423622127</v>
      </c>
      <c r="O71" s="178">
        <f t="shared" si="76"/>
        <v>2857520.4903302402</v>
      </c>
      <c r="P71" s="178">
        <f t="shared" si="76"/>
        <v>112919.30125272246</v>
      </c>
      <c r="Q71" s="178">
        <f t="shared" si="61"/>
        <v>43949.751336234003</v>
      </c>
      <c r="R71" s="174">
        <f t="shared" si="62"/>
        <v>8041585.6271554176</v>
      </c>
      <c r="S71" s="174">
        <f t="shared" si="67"/>
        <v>7344559.5429191962</v>
      </c>
      <c r="T71" s="174">
        <f>I71+L71+N71</f>
        <v>3595583.0842362214</v>
      </c>
      <c r="U71" s="174">
        <f t="shared" si="60"/>
        <v>10940142.627155418</v>
      </c>
      <c r="V71" s="174">
        <f t="shared" ref="V71:AD71" si="85">$B$58*V14</f>
        <v>609852.34727120074</v>
      </c>
      <c r="W71" s="174">
        <f t="shared" si="85"/>
        <v>718529.32572148764</v>
      </c>
      <c r="X71" s="174">
        <f t="shared" si="85"/>
        <v>931346.86592947762</v>
      </c>
      <c r="Y71" s="174">
        <f t="shared" si="85"/>
        <v>781742.19187093247</v>
      </c>
      <c r="Z71" s="174">
        <f t="shared" si="85"/>
        <v>137977.3134710337</v>
      </c>
      <c r="AA71" s="174">
        <f t="shared" si="85"/>
        <v>721433.5262815801</v>
      </c>
      <c r="AB71" s="174">
        <f t="shared" si="85"/>
        <v>9687239.6116147637</v>
      </c>
      <c r="AC71" s="174">
        <f t="shared" si="85"/>
        <v>4084843.1908797286</v>
      </c>
      <c r="AD71" s="174">
        <f t="shared" si="85"/>
        <v>239194.63324905108</v>
      </c>
      <c r="AE71" s="174">
        <f t="shared" si="78"/>
        <v>269304.5796</v>
      </c>
      <c r="AF71" s="174">
        <f t="shared" si="64"/>
        <v>247527.78860384948</v>
      </c>
      <c r="AG71" s="174">
        <f t="shared" si="80"/>
        <v>18428991.374493107</v>
      </c>
      <c r="AH71" s="174">
        <f t="shared" si="65"/>
        <v>29369134.001648523</v>
      </c>
      <c r="AI71" s="192">
        <f>AH71/'Collections and ACP'!E83</f>
        <v>0.35255622540949116</v>
      </c>
      <c r="AJ71" s="172"/>
      <c r="AK71" s="172"/>
      <c r="AL71" s="172">
        <f t="shared" si="70"/>
        <v>16086311.30579754</v>
      </c>
      <c r="AM71" s="172">
        <f t="shared" si="71"/>
        <v>13282822.695850985</v>
      </c>
      <c r="AN71" s="105">
        <f t="shared" si="72"/>
        <v>0.54772848613427272</v>
      </c>
      <c r="AO71" s="105">
        <f t="shared" si="73"/>
        <v>0.45227151386572728</v>
      </c>
    </row>
    <row r="72" spans="1:41" x14ac:dyDescent="0.35">
      <c r="A72" s="177" t="s">
        <v>29</v>
      </c>
      <c r="B72" s="178">
        <f>'ABP Under Contract'!B73</f>
        <v>563191</v>
      </c>
      <c r="C72" s="178">
        <f>'ABP Under Contract'!C73</f>
        <v>633146</v>
      </c>
      <c r="D72" s="178">
        <f>'ABP Under Contract'!D73</f>
        <v>1215802</v>
      </c>
      <c r="E72" s="178">
        <f>'ABP Under Contract'!E73</f>
        <v>19726</v>
      </c>
      <c r="F72" s="178">
        <f>'ABP Under Contract'!F73</f>
        <v>118498</v>
      </c>
      <c r="G72" s="178">
        <f>'ABP Under Contract'!G73</f>
        <v>333659</v>
      </c>
      <c r="H72" s="174">
        <f t="shared" si="66"/>
        <v>2884022</v>
      </c>
      <c r="I72" s="178">
        <v>1233838</v>
      </c>
      <c r="J72" s="178">
        <v>27887</v>
      </c>
      <c r="K72" s="30"/>
      <c r="L72" s="178">
        <v>1452887</v>
      </c>
      <c r="M72" s="178">
        <v>1403726</v>
      </c>
      <c r="N72" s="178">
        <f t="shared" si="76"/>
        <v>908858.08423622127</v>
      </c>
      <c r="O72" s="178">
        <f t="shared" si="76"/>
        <v>2843232.8878785889</v>
      </c>
      <c r="P72" s="178">
        <f t="shared" si="76"/>
        <v>112354.70474645884</v>
      </c>
      <c r="Q72" s="178">
        <f t="shared" si="61"/>
        <v>43730.002579552842</v>
      </c>
      <c r="R72" s="174">
        <f t="shared" si="62"/>
        <v>8026513.6794408225</v>
      </c>
      <c r="S72" s="174">
        <f t="shared" si="67"/>
        <v>7314952.5952046011</v>
      </c>
      <c r="T72" s="174">
        <f t="shared" si="59"/>
        <v>3595583.0842362214</v>
      </c>
      <c r="U72" s="174">
        <f t="shared" si="60"/>
        <v>10910535.679440822</v>
      </c>
      <c r="V72" s="174">
        <f t="shared" ref="V72:AD72" si="86">$B$58*V15</f>
        <v>721158.65606533852</v>
      </c>
      <c r="W72" s="174">
        <f t="shared" si="86"/>
        <v>836687.37592993223</v>
      </c>
      <c r="X72" s="174">
        <f t="shared" si="86"/>
        <v>1114831.5352461645</v>
      </c>
      <c r="Y72" s="174">
        <f t="shared" si="86"/>
        <v>882356.48293731897</v>
      </c>
      <c r="Z72" s="174">
        <f t="shared" si="86"/>
        <v>165160.22744387624</v>
      </c>
      <c r="AA72" s="174">
        <f t="shared" si="86"/>
        <v>778701.70706869825</v>
      </c>
      <c r="AB72" s="174">
        <f t="shared" si="86"/>
        <v>11450693.595617838</v>
      </c>
      <c r="AC72" s="174">
        <f t="shared" si="86"/>
        <v>4769800.5685265595</v>
      </c>
      <c r="AD72" s="174">
        <f t="shared" si="86"/>
        <v>297956.09553891042</v>
      </c>
      <c r="AE72" s="174">
        <f t="shared" si="78"/>
        <v>269304.5796</v>
      </c>
      <c r="AF72" s="174">
        <f t="shared" si="64"/>
        <v>272330.17223148968</v>
      </c>
      <c r="AG72" s="174">
        <f t="shared" si="80"/>
        <v>21558980.996206123</v>
      </c>
      <c r="AH72" s="174">
        <f t="shared" si="65"/>
        <v>32469516.675646946</v>
      </c>
      <c r="AI72" s="192">
        <f>AH72/'Collections and ACP'!E84</f>
        <v>0.38627083345058938</v>
      </c>
      <c r="AJ72" s="172"/>
      <c r="AK72" s="172"/>
      <c r="AL72" s="172">
        <f t="shared" si="70"/>
        <v>17423239.995792888</v>
      </c>
      <c r="AM72" s="172">
        <f t="shared" si="71"/>
        <v>15046276.67985406</v>
      </c>
      <c r="AN72" s="105">
        <f t="shared" si="72"/>
        <v>0.5366029981241085</v>
      </c>
      <c r="AO72" s="105">
        <f t="shared" si="73"/>
        <v>0.4633970018758915</v>
      </c>
    </row>
    <row r="73" spans="1:41" x14ac:dyDescent="0.35">
      <c r="A73" s="177" t="s">
        <v>30</v>
      </c>
      <c r="B73" s="178">
        <f>'ABP Under Contract'!B74</f>
        <v>560209</v>
      </c>
      <c r="C73" s="178">
        <f>'ABP Under Contract'!C74</f>
        <v>629952</v>
      </c>
      <c r="D73" s="178">
        <f>'ABP Under Contract'!D74</f>
        <v>1209721</v>
      </c>
      <c r="E73" s="178">
        <f>'ABP Under Contract'!E74</f>
        <v>19628</v>
      </c>
      <c r="F73" s="178">
        <f>'ABP Under Contract'!F74</f>
        <v>117908</v>
      </c>
      <c r="G73" s="178">
        <f>'ABP Under Contract'!G74</f>
        <v>331986</v>
      </c>
      <c r="H73" s="174">
        <f t="shared" si="66"/>
        <v>2869404</v>
      </c>
      <c r="I73" s="30"/>
      <c r="J73" s="30"/>
      <c r="K73" s="30"/>
      <c r="L73" s="178">
        <v>1452887</v>
      </c>
      <c r="M73" s="178">
        <v>1403726</v>
      </c>
      <c r="N73" s="178">
        <f t="shared" si="76"/>
        <v>908858.08423622127</v>
      </c>
      <c r="O73" s="178">
        <f t="shared" si="76"/>
        <v>2829016.7234391957</v>
      </c>
      <c r="P73" s="178">
        <f t="shared" si="76"/>
        <v>111792.93122272655</v>
      </c>
      <c r="Q73" s="178">
        <f t="shared" si="61"/>
        <v>43511.35256665507</v>
      </c>
      <c r="R73" s="174">
        <f t="shared" si="62"/>
        <v>6749792.0914647989</v>
      </c>
      <c r="S73" s="174">
        <f t="shared" si="67"/>
        <v>7257451.0072285775</v>
      </c>
      <c r="T73" s="174">
        <f t="shared" si="59"/>
        <v>2361745.0842362214</v>
      </c>
      <c r="U73" s="174">
        <f t="shared" si="60"/>
        <v>9619196.0914647989</v>
      </c>
      <c r="V73" s="174">
        <f t="shared" ref="V73:AD73" si="87">$B$58*V16</f>
        <v>831908.43331550586</v>
      </c>
      <c r="W73" s="174">
        <f t="shared" si="87"/>
        <v>954254.63588733471</v>
      </c>
      <c r="X73" s="174">
        <f t="shared" si="87"/>
        <v>1318303.3816214162</v>
      </c>
      <c r="Y73" s="174">
        <f t="shared" si="87"/>
        <v>982467.70254837372</v>
      </c>
      <c r="Z73" s="174">
        <f t="shared" si="87"/>
        <v>199175.42698190399</v>
      </c>
      <c r="AA73" s="174">
        <f t="shared" si="87"/>
        <v>835683.54695188079</v>
      </c>
      <c r="AB73" s="174">
        <f t="shared" si="87"/>
        <v>13214147.579620913</v>
      </c>
      <c r="AC73" s="174">
        <f t="shared" si="87"/>
        <v>5451333.159285157</v>
      </c>
      <c r="AD73" s="174">
        <f t="shared" si="87"/>
        <v>356423.75051732035</v>
      </c>
      <c r="AE73" s="174">
        <f t="shared" si="78"/>
        <v>269304.5796</v>
      </c>
      <c r="AF73" s="174">
        <f t="shared" si="64"/>
        <v>297132.55585912988</v>
      </c>
      <c r="AG73" s="174">
        <f t="shared" si="80"/>
        <v>24710134.752188936</v>
      </c>
      <c r="AH73" s="174">
        <f t="shared" si="65"/>
        <v>34329330.843653738</v>
      </c>
      <c r="AI73" s="192">
        <f>AH73/'Collections and ACP'!E85</f>
        <v>0.40663162097012967</v>
      </c>
      <c r="AJ73" s="172"/>
      <c r="AK73" s="172"/>
      <c r="AL73" s="172">
        <f t="shared" si="70"/>
        <v>18753438.179796595</v>
      </c>
      <c r="AM73" s="172">
        <f t="shared" si="71"/>
        <v>15575892.663857134</v>
      </c>
      <c r="AN73" s="105">
        <f t="shared" si="72"/>
        <v>0.54628032993726228</v>
      </c>
      <c r="AO73" s="105">
        <f t="shared" si="73"/>
        <v>0.45371967006273772</v>
      </c>
    </row>
    <row r="74" spans="1:41" x14ac:dyDescent="0.35">
      <c r="A74" s="177" t="s">
        <v>31</v>
      </c>
      <c r="B74" s="178">
        <f>'ABP Under Contract'!B75</f>
        <v>557155</v>
      </c>
      <c r="C74" s="178">
        <f>'ABP Under Contract'!C75</f>
        <v>626798</v>
      </c>
      <c r="D74" s="178">
        <f>'ABP Under Contract'!D75</f>
        <v>1203677</v>
      </c>
      <c r="E74" s="178">
        <f>'ABP Under Contract'!E75</f>
        <v>19531</v>
      </c>
      <c r="F74" s="178">
        <f>'ABP Under Contract'!F75</f>
        <v>117319</v>
      </c>
      <c r="G74" s="178">
        <f>'ABP Under Contract'!G75</f>
        <v>330328</v>
      </c>
      <c r="H74" s="174">
        <f t="shared" si="66"/>
        <v>2854808</v>
      </c>
      <c r="I74" s="30"/>
      <c r="J74" s="30"/>
      <c r="K74" s="30"/>
      <c r="L74" s="178">
        <v>1150425</v>
      </c>
      <c r="M74" s="178">
        <v>1403726</v>
      </c>
      <c r="N74" s="178">
        <f t="shared" si="76"/>
        <v>908858.08423622127</v>
      </c>
      <c r="O74" s="178">
        <f t="shared" si="76"/>
        <v>2814871.6398219997</v>
      </c>
      <c r="P74" s="178">
        <f t="shared" si="76"/>
        <v>111233.96656661291</v>
      </c>
      <c r="Q74" s="178">
        <f t="shared" si="61"/>
        <v>43293.795803821798</v>
      </c>
      <c r="R74" s="174">
        <f t="shared" si="62"/>
        <v>6432408.4864286557</v>
      </c>
      <c r="S74" s="174">
        <f t="shared" si="67"/>
        <v>7227933.4021924343</v>
      </c>
      <c r="T74" s="174">
        <f t="shared" si="59"/>
        <v>2059283.0842362214</v>
      </c>
      <c r="U74" s="174">
        <f t="shared" si="60"/>
        <v>9287216.4864286557</v>
      </c>
      <c r="V74" s="174">
        <f t="shared" ref="V74:AD74" si="88">$B$58*V17</f>
        <v>942104.46167942218</v>
      </c>
      <c r="W74" s="174">
        <f t="shared" si="88"/>
        <v>1071234.05954495</v>
      </c>
      <c r="X74" s="174">
        <f t="shared" si="88"/>
        <v>1520757.8687647921</v>
      </c>
      <c r="Y74" s="174">
        <f t="shared" si="88"/>
        <v>1082078.3660613731</v>
      </c>
      <c r="Z74" s="174">
        <f t="shared" si="88"/>
        <v>233020.55052224157</v>
      </c>
      <c r="AA74" s="174">
        <f t="shared" si="88"/>
        <v>892380.4776356474</v>
      </c>
      <c r="AB74" s="174">
        <f t="shared" si="88"/>
        <v>12861456.782820297</v>
      </c>
      <c r="AC74" s="174">
        <f t="shared" si="88"/>
        <v>5953112.6886896528</v>
      </c>
      <c r="AD74" s="174">
        <f t="shared" si="88"/>
        <v>389910.71144479531</v>
      </c>
      <c r="AE74" s="174">
        <f t="shared" si="78"/>
        <v>269304.5796</v>
      </c>
      <c r="AF74" s="174">
        <f t="shared" si="64"/>
        <v>321934.93948677008</v>
      </c>
      <c r="AG74" s="174">
        <f t="shared" si="80"/>
        <v>25537295.486249942</v>
      </c>
      <c r="AH74" s="174">
        <f t="shared" si="65"/>
        <v>34824511.972678602</v>
      </c>
      <c r="AI74" s="192">
        <f>AH74/'Collections and ACP'!E86</f>
        <v>0.40962376568950115</v>
      </c>
      <c r="AJ74" s="172"/>
      <c r="AK74" s="172"/>
      <c r="AL74" s="172">
        <f t="shared" si="70"/>
        <v>19903772.105622075</v>
      </c>
      <c r="AM74" s="172">
        <f t="shared" si="71"/>
        <v>14920739.867056519</v>
      </c>
      <c r="AN74" s="105">
        <f t="shared" si="72"/>
        <v>0.57154489691736343</v>
      </c>
      <c r="AO74" s="105">
        <f t="shared" si="73"/>
        <v>0.42845510308263657</v>
      </c>
    </row>
    <row r="75" spans="1:41" x14ac:dyDescent="0.35">
      <c r="A75" s="177" t="s">
        <v>32</v>
      </c>
      <c r="B75" s="178">
        <f>'ABP Under Contract'!B76</f>
        <v>479113</v>
      </c>
      <c r="C75" s="178">
        <f>'ABP Under Contract'!C76</f>
        <v>414050</v>
      </c>
      <c r="D75" s="178">
        <f>'ABP Under Contract'!D76</f>
        <v>1121807</v>
      </c>
      <c r="E75" s="178">
        <f>'ABP Under Contract'!E76</f>
        <v>19431</v>
      </c>
      <c r="F75" s="178">
        <f>'ABP Under Contract'!F76</f>
        <v>116732</v>
      </c>
      <c r="G75" s="178">
        <f>'ABP Under Contract'!G76</f>
        <v>328678</v>
      </c>
      <c r="H75" s="174">
        <f t="shared" si="66"/>
        <v>2479811</v>
      </c>
      <c r="I75" s="30"/>
      <c r="J75" s="30"/>
      <c r="K75" s="30"/>
      <c r="L75" s="178">
        <v>1150425</v>
      </c>
      <c r="M75" s="178">
        <v>1403726</v>
      </c>
      <c r="N75" s="178">
        <f t="shared" si="76"/>
        <v>908858.08423622127</v>
      </c>
      <c r="O75" s="178">
        <f t="shared" si="76"/>
        <v>2800797.2816228895</v>
      </c>
      <c r="P75" s="178">
        <f t="shared" si="76"/>
        <v>110677.79673377983</v>
      </c>
      <c r="Q75" s="178">
        <f t="shared" si="61"/>
        <v>43077.326824802687</v>
      </c>
      <c r="R75" s="174">
        <f t="shared" si="62"/>
        <v>6417561.4894176936</v>
      </c>
      <c r="S75" s="174">
        <f t="shared" si="67"/>
        <v>6838089.4051814722</v>
      </c>
      <c r="T75" s="174">
        <f t="shared" si="59"/>
        <v>2059283.0842362214</v>
      </c>
      <c r="U75" s="174">
        <f t="shared" si="60"/>
        <v>8897372.4894176945</v>
      </c>
      <c r="V75" s="174">
        <f t="shared" ref="V75:AD75" si="89">$B$58*V18</f>
        <v>994571.72463627206</v>
      </c>
      <c r="W75" s="174">
        <f t="shared" si="89"/>
        <v>1126753.2376657513</v>
      </c>
      <c r="X75" s="174">
        <f t="shared" si="89"/>
        <v>1722200.0834724505</v>
      </c>
      <c r="Y75" s="174">
        <f t="shared" si="89"/>
        <v>1128929.4752439372</v>
      </c>
      <c r="Z75" s="174">
        <f t="shared" si="89"/>
        <v>266696.44844487752</v>
      </c>
      <c r="AA75" s="174">
        <f t="shared" si="89"/>
        <v>918356.24945673195</v>
      </c>
      <c r="AB75" s="174">
        <f t="shared" si="89"/>
        <v>13566838.376421528</v>
      </c>
      <c r="AC75" s="174">
        <f t="shared" si="89"/>
        <v>6452383.3204471273</v>
      </c>
      <c r="AD75" s="174">
        <f t="shared" si="89"/>
        <v>423230.23756763281</v>
      </c>
      <c r="AE75" s="174">
        <f t="shared" si="78"/>
        <v>269304.5796</v>
      </c>
      <c r="AF75" s="174">
        <f t="shared" si="64"/>
        <v>346737.32311441033</v>
      </c>
      <c r="AG75" s="174">
        <f t="shared" si="80"/>
        <v>27216001.056070719</v>
      </c>
      <c r="AH75" s="174">
        <f t="shared" si="65"/>
        <v>36113373.545488417</v>
      </c>
      <c r="AI75" s="192">
        <f>AH75/'Collections and ACP'!E87</f>
        <v>0.42262434025793855</v>
      </c>
      <c r="AJ75" s="172"/>
      <c r="AK75" s="172"/>
      <c r="AL75" s="172">
        <f t="shared" si="70"/>
        <v>20487252.084830664</v>
      </c>
      <c r="AM75" s="172">
        <f t="shared" si="71"/>
        <v>15626121.460657749</v>
      </c>
      <c r="AN75" s="105">
        <f t="shared" si="72"/>
        <v>0.56730374577232212</v>
      </c>
      <c r="AO75" s="105">
        <f t="shared" si="73"/>
        <v>0.43269625422767788</v>
      </c>
    </row>
    <row r="76" spans="1:41" x14ac:dyDescent="0.35">
      <c r="A76" s="177" t="s">
        <v>33</v>
      </c>
      <c r="B76" s="178">
        <f>'ABP Under Contract'!B77</f>
        <v>420290</v>
      </c>
      <c r="C76" s="178">
        <f>'ABP Under Contract'!C77</f>
        <v>407923</v>
      </c>
      <c r="D76" s="178">
        <f>'ABP Under Contract'!D77</f>
        <v>1116208</v>
      </c>
      <c r="E76" s="178">
        <f>'ABP Under Contract'!E77</f>
        <v>19334</v>
      </c>
      <c r="F76" s="178">
        <f>'ABP Under Contract'!F77</f>
        <v>116145</v>
      </c>
      <c r="G76" s="178">
        <f>'ABP Under Contract'!G77</f>
        <v>327032</v>
      </c>
      <c r="H76" s="174">
        <f t="shared" si="66"/>
        <v>2406932</v>
      </c>
      <c r="I76" s="30"/>
      <c r="J76" s="30"/>
      <c r="K76" s="30"/>
      <c r="L76" s="178">
        <v>939405</v>
      </c>
      <c r="M76" s="178">
        <v>1403726</v>
      </c>
      <c r="N76" s="178">
        <f t="shared" si="76"/>
        <v>908858.08423622127</v>
      </c>
      <c r="O76" s="178">
        <f t="shared" si="76"/>
        <v>2786793.295214775</v>
      </c>
      <c r="P76" s="178">
        <f t="shared" si="76"/>
        <v>110124.40775011094</v>
      </c>
      <c r="Q76" s="178">
        <f t="shared" si="61"/>
        <v>42861.940190678673</v>
      </c>
      <c r="R76" s="174">
        <f t="shared" si="62"/>
        <v>6191768.7273917859</v>
      </c>
      <c r="S76" s="174">
        <f t="shared" si="67"/>
        <v>6750437.6431555646</v>
      </c>
      <c r="T76" s="174">
        <f t="shared" si="59"/>
        <v>1848263.0842362214</v>
      </c>
      <c r="U76" s="174">
        <f t="shared" si="60"/>
        <v>8598700.7273917869</v>
      </c>
      <c r="V76" s="174">
        <f t="shared" ref="V76:AD76" si="90">$B$58*V19</f>
        <v>1046776.6512783378</v>
      </c>
      <c r="W76" s="174">
        <f t="shared" si="90"/>
        <v>1181994.8198959485</v>
      </c>
      <c r="X76" s="174">
        <f t="shared" si="90"/>
        <v>1818112.0850808297</v>
      </c>
      <c r="Y76" s="174">
        <f t="shared" si="90"/>
        <v>1175546.3288805883</v>
      </c>
      <c r="Z76" s="174">
        <f t="shared" si="90"/>
        <v>282783.4665402766</v>
      </c>
      <c r="AA76" s="174">
        <f t="shared" si="90"/>
        <v>944202.14241871133</v>
      </c>
      <c r="AB76" s="174">
        <f t="shared" si="90"/>
        <v>15330292.360424602</v>
      </c>
      <c r="AC76" s="174">
        <f t="shared" si="90"/>
        <v>6949157.5990458149</v>
      </c>
      <c r="AD76" s="174">
        <f t="shared" si="90"/>
        <v>456383.16605985601</v>
      </c>
      <c r="AE76" s="174">
        <f t="shared" si="78"/>
        <v>269304.5796</v>
      </c>
      <c r="AF76" s="174">
        <f t="shared" si="64"/>
        <v>371539.70674205053</v>
      </c>
      <c r="AG76" s="174">
        <f t="shared" si="80"/>
        <v>29826092.905967019</v>
      </c>
      <c r="AH76" s="174">
        <f t="shared" si="65"/>
        <v>38424793.633358806</v>
      </c>
      <c r="AI76" s="192">
        <f>AH76/'Collections and ACP'!E88</f>
        <v>0.44696994948685542</v>
      </c>
      <c r="AJ76" s="172"/>
      <c r="AK76" s="172"/>
      <c r="AL76" s="172">
        <f t="shared" si="70"/>
        <v>21246238.188697979</v>
      </c>
      <c r="AM76" s="172">
        <f t="shared" si="71"/>
        <v>17178555.444660824</v>
      </c>
      <c r="AN76" s="105">
        <f t="shared" si="72"/>
        <v>0.55293044359392163</v>
      </c>
      <c r="AO76" s="105">
        <f t="shared" si="73"/>
        <v>0.44706955640607837</v>
      </c>
    </row>
    <row r="77" spans="1:41" x14ac:dyDescent="0.35">
      <c r="A77" s="177" t="s">
        <v>34</v>
      </c>
      <c r="B77" s="178">
        <f>'ABP Under Contract'!B78</f>
        <v>378051</v>
      </c>
      <c r="C77" s="178">
        <f>'ABP Under Contract'!C78</f>
        <v>357133</v>
      </c>
      <c r="D77" s="178">
        <f>'ABP Under Contract'!D78</f>
        <v>941951</v>
      </c>
      <c r="E77" s="178">
        <f>'ABP Under Contract'!E78</f>
        <v>19237</v>
      </c>
      <c r="F77" s="178">
        <f>'ABP Under Contract'!F78</f>
        <v>115565</v>
      </c>
      <c r="G77" s="178">
        <f>'ABP Under Contract'!G78</f>
        <v>325396</v>
      </c>
      <c r="H77" s="174">
        <f t="shared" si="66"/>
        <v>2137333</v>
      </c>
      <c r="I77" s="30"/>
      <c r="J77" s="30"/>
      <c r="K77" s="30"/>
      <c r="L77" s="178">
        <f t="shared" ref="L77:L84" si="91">L20*$B$58</f>
        <v>0</v>
      </c>
      <c r="M77" s="178"/>
      <c r="N77" s="178">
        <f t="shared" si="76"/>
        <v>908858.08423622127</v>
      </c>
      <c r="O77" s="178">
        <f t="shared" si="76"/>
        <v>2772859.3287387015</v>
      </c>
      <c r="P77" s="178">
        <f t="shared" si="76"/>
        <v>109573.7857113604</v>
      </c>
      <c r="Q77" s="178">
        <f t="shared" si="61"/>
        <v>42647.630489725285</v>
      </c>
      <c r="R77" s="174">
        <f t="shared" si="62"/>
        <v>3833938.8291760082</v>
      </c>
      <c r="S77" s="174">
        <f t="shared" si="67"/>
        <v>5062413.7449397873</v>
      </c>
      <c r="T77" s="174">
        <f t="shared" si="59"/>
        <v>908858.08423622127</v>
      </c>
      <c r="U77" s="174">
        <f t="shared" si="60"/>
        <v>5971271.8291760087</v>
      </c>
      <c r="V77" s="174">
        <f t="shared" ref="V77:AD77" si="92">$B$58*V20</f>
        <v>1098720.5532871927</v>
      </c>
      <c r="W77" s="174">
        <f t="shared" si="92"/>
        <v>1236960.1942149948</v>
      </c>
      <c r="X77" s="174">
        <f t="shared" si="92"/>
        <v>1913544.5266811666</v>
      </c>
      <c r="Y77" s="174">
        <f t="shared" si="92"/>
        <v>1221930.0982490559</v>
      </c>
      <c r="Z77" s="174">
        <f t="shared" si="92"/>
        <v>298790.0495451988</v>
      </c>
      <c r="AA77" s="174">
        <f t="shared" si="92"/>
        <v>969918.80591588072</v>
      </c>
      <c r="AB77" s="174">
        <f t="shared" si="92"/>
        <v>14977601.563623987</v>
      </c>
      <c r="AC77" s="174">
        <f t="shared" si="92"/>
        <v>7443448.0062515084</v>
      </c>
      <c r="AD77" s="174">
        <f t="shared" si="92"/>
        <v>489370.3299096183</v>
      </c>
      <c r="AE77" s="174">
        <f t="shared" si="78"/>
        <v>269304.5796</v>
      </c>
      <c r="AF77" s="174">
        <f t="shared" si="64"/>
        <v>396342.09036969068</v>
      </c>
      <c r="AG77" s="174">
        <f t="shared" si="80"/>
        <v>30315930.797648288</v>
      </c>
      <c r="AH77" s="174">
        <f t="shared" si="65"/>
        <v>36287202.626824297</v>
      </c>
      <c r="AI77" s="192">
        <f>AH77/'Collections and ACP'!E89</f>
        <v>0.42088665697839706</v>
      </c>
      <c r="AJ77" s="172"/>
      <c r="AK77" s="172"/>
      <c r="AL77" s="172">
        <f t="shared" si="70"/>
        <v>20400742.97896409</v>
      </c>
      <c r="AM77" s="172">
        <f t="shared" si="71"/>
        <v>15886459.647860209</v>
      </c>
      <c r="AN77" s="105">
        <f t="shared" si="72"/>
        <v>0.56220214020805814</v>
      </c>
      <c r="AO77" s="105">
        <f t="shared" si="73"/>
        <v>0.43779785979194186</v>
      </c>
    </row>
    <row r="78" spans="1:41" x14ac:dyDescent="0.35">
      <c r="A78" s="177" t="s">
        <v>35</v>
      </c>
      <c r="B78" s="178">
        <f>'ABP Under Contract'!B79</f>
        <v>312994</v>
      </c>
      <c r="C78" s="178">
        <f>'ABP Under Contract'!C79</f>
        <v>336403</v>
      </c>
      <c r="D78" s="178">
        <f>'ABP Under Contract'!D79</f>
        <v>875337</v>
      </c>
      <c r="E78" s="178">
        <f>'ABP Under Contract'!E79</f>
        <v>19141</v>
      </c>
      <c r="F78" s="178">
        <f>'ABP Under Contract'!F79</f>
        <v>114989</v>
      </c>
      <c r="G78" s="178">
        <f>'ABP Under Contract'!G79</f>
        <v>323772</v>
      </c>
      <c r="H78" s="174">
        <f t="shared" si="66"/>
        <v>1982636</v>
      </c>
      <c r="I78" s="30"/>
      <c r="J78" s="30"/>
      <c r="K78" s="30"/>
      <c r="L78" s="178">
        <f t="shared" si="91"/>
        <v>0</v>
      </c>
      <c r="M78" s="178"/>
      <c r="N78" s="178">
        <f t="shared" si="76"/>
        <v>908858.08423622127</v>
      </c>
      <c r="O78" s="178">
        <f t="shared" si="76"/>
        <v>2758995.0320950081</v>
      </c>
      <c r="P78" s="178">
        <f t="shared" si="76"/>
        <v>109025.9167828036</v>
      </c>
      <c r="Q78" s="178">
        <f t="shared" si="61"/>
        <v>42434.392337276659</v>
      </c>
      <c r="R78" s="174">
        <f t="shared" si="62"/>
        <v>3819313.4254513094</v>
      </c>
      <c r="S78" s="174">
        <f t="shared" si="67"/>
        <v>4893091.341215088</v>
      </c>
      <c r="T78" s="174">
        <f t="shared" si="59"/>
        <v>908858.08423622127</v>
      </c>
      <c r="U78" s="174">
        <f t="shared" si="60"/>
        <v>5801949.4254513094</v>
      </c>
      <c r="V78" s="174">
        <f t="shared" ref="V78:AD78" si="93">$B$58*V21</f>
        <v>1150404.7357860038</v>
      </c>
      <c r="W78" s="174">
        <f t="shared" si="93"/>
        <v>1291650.7416624459</v>
      </c>
      <c r="X78" s="174">
        <f t="shared" si="93"/>
        <v>2008499.8060735019</v>
      </c>
      <c r="Y78" s="174">
        <f t="shared" si="93"/>
        <v>1268081.9487706809</v>
      </c>
      <c r="Z78" s="174">
        <f t="shared" si="93"/>
        <v>314716.59963509627</v>
      </c>
      <c r="AA78" s="174">
        <f t="shared" si="93"/>
        <v>995506.88609556411</v>
      </c>
      <c r="AB78" s="174">
        <f t="shared" si="93"/>
        <v>15682983.157225218</v>
      </c>
      <c r="AC78" s="174">
        <f t="shared" si="93"/>
        <v>7935266.9614211721</v>
      </c>
      <c r="AD78" s="174">
        <f t="shared" si="93"/>
        <v>522192.55794013175</v>
      </c>
      <c r="AE78" s="174">
        <f t="shared" si="78"/>
        <v>269304.5796</v>
      </c>
      <c r="AF78" s="174">
        <f t="shared" si="64"/>
        <v>421144.47399733093</v>
      </c>
      <c r="AG78" s="174">
        <f t="shared" si="80"/>
        <v>31859752.448207147</v>
      </c>
      <c r="AH78" s="174">
        <f t="shared" si="65"/>
        <v>37661701.873658456</v>
      </c>
      <c r="AI78" s="192">
        <f>AH78/'Collections and ACP'!E90</f>
        <v>0.43405608044482841</v>
      </c>
      <c r="AJ78" s="172"/>
      <c r="AK78" s="172"/>
      <c r="AL78" s="172">
        <f t="shared" si="70"/>
        <v>21069860.632197019</v>
      </c>
      <c r="AM78" s="172">
        <f t="shared" si="71"/>
        <v>16591841.241461439</v>
      </c>
      <c r="AN78" s="105">
        <f t="shared" si="72"/>
        <v>0.55945057137563425</v>
      </c>
      <c r="AO78" s="105">
        <f t="shared" si="73"/>
        <v>0.44054942862436575</v>
      </c>
    </row>
    <row r="79" spans="1:41" x14ac:dyDescent="0.35">
      <c r="A79" s="177" t="s">
        <v>36</v>
      </c>
      <c r="B79" s="178">
        <f>'ABP Under Contract'!B80</f>
        <v>125750</v>
      </c>
      <c r="C79" s="178">
        <f>'ABP Under Contract'!C80</f>
        <v>238509</v>
      </c>
      <c r="D79" s="178">
        <f>'ABP Under Contract'!D80</f>
        <v>859738</v>
      </c>
      <c r="E79" s="178">
        <f>'ABP Under Contract'!E80</f>
        <v>19046</v>
      </c>
      <c r="F79" s="178">
        <f>'ABP Under Contract'!F80</f>
        <v>114411</v>
      </c>
      <c r="G79" s="178">
        <f>'ABP Under Contract'!G80</f>
        <v>322147</v>
      </c>
      <c r="H79" s="174">
        <f t="shared" si="66"/>
        <v>1679601</v>
      </c>
      <c r="I79" s="30"/>
      <c r="J79" s="30"/>
      <c r="K79" s="30"/>
      <c r="L79" s="178">
        <f t="shared" si="91"/>
        <v>0</v>
      </c>
      <c r="M79" s="178"/>
      <c r="N79" s="178">
        <f t="shared" si="76"/>
        <v>908858.08423622127</v>
      </c>
      <c r="O79" s="178">
        <f t="shared" si="76"/>
        <v>2745200.0569345332</v>
      </c>
      <c r="P79" s="178">
        <f t="shared" si="76"/>
        <v>108480.78719888958</v>
      </c>
      <c r="Q79" s="178">
        <f t="shared" si="61"/>
        <v>42222.220375590274</v>
      </c>
      <c r="R79" s="174">
        <f t="shared" si="62"/>
        <v>3804761.1487452346</v>
      </c>
      <c r="S79" s="174">
        <f t="shared" si="67"/>
        <v>4575504.0645090137</v>
      </c>
      <c r="T79" s="174">
        <f t="shared" si="59"/>
        <v>908858.08423622127</v>
      </c>
      <c r="U79" s="174">
        <f t="shared" si="60"/>
        <v>5484362.1487452351</v>
      </c>
      <c r="V79" s="174">
        <f t="shared" ref="V79:AD79" si="94">$B$58*V22</f>
        <v>1201830.4973723206</v>
      </c>
      <c r="W79" s="174">
        <f t="shared" si="94"/>
        <v>1346067.8363726598</v>
      </c>
      <c r="X79" s="174">
        <f t="shared" si="94"/>
        <v>2102980.3090688754</v>
      </c>
      <c r="Y79" s="174">
        <f t="shared" si="94"/>
        <v>1314003.0400396984</v>
      </c>
      <c r="Z79" s="174">
        <f t="shared" si="94"/>
        <v>330563.51697454439</v>
      </c>
      <c r="AA79" s="174">
        <f t="shared" si="94"/>
        <v>1020967.0258743495</v>
      </c>
      <c r="AB79" s="174">
        <f t="shared" si="94"/>
        <v>16388364.750826446</v>
      </c>
      <c r="AC79" s="174">
        <f t="shared" si="94"/>
        <v>8424626.8218149897</v>
      </c>
      <c r="AD79" s="174">
        <f t="shared" si="94"/>
        <v>554850.67483049259</v>
      </c>
      <c r="AE79" s="174">
        <f t="shared" si="78"/>
        <v>269304.5796</v>
      </c>
      <c r="AF79" s="174">
        <f t="shared" si="64"/>
        <v>445946.85762497113</v>
      </c>
      <c r="AG79" s="174">
        <f t="shared" si="80"/>
        <v>33399505.910399344</v>
      </c>
      <c r="AH79" s="174">
        <f t="shared" si="65"/>
        <v>38883868.059144579</v>
      </c>
      <c r="AI79" s="192">
        <f>AH79/'Collections and ACP'!E91</f>
        <v>0.44584194699952395</v>
      </c>
      <c r="AJ79" s="172"/>
      <c r="AK79" s="172"/>
      <c r="AL79" s="172">
        <f t="shared" si="70"/>
        <v>21586645.224081911</v>
      </c>
      <c r="AM79" s="172">
        <f t="shared" si="71"/>
        <v>17297222.835062668</v>
      </c>
      <c r="AN79" s="105">
        <f t="shared" si="72"/>
        <v>0.55515683756686429</v>
      </c>
      <c r="AO79" s="105">
        <f t="shared" si="73"/>
        <v>0.44484316243313571</v>
      </c>
    </row>
    <row r="80" spans="1:41" x14ac:dyDescent="0.35">
      <c r="A80" s="177" t="s">
        <v>37</v>
      </c>
      <c r="B80" s="178">
        <f>'ABP Under Contract'!B81</f>
        <v>52601</v>
      </c>
      <c r="C80" s="178">
        <f>'ABP Under Contract'!C81</f>
        <v>31218</v>
      </c>
      <c r="D80" s="178">
        <f>'ABP Under Contract'!D81</f>
        <v>855445</v>
      </c>
      <c r="E80" s="178">
        <f>'ABP Under Contract'!E81</f>
        <v>18951</v>
      </c>
      <c r="F80" s="178">
        <f>'ABP Under Contract'!F81</f>
        <v>107982</v>
      </c>
      <c r="G80" s="178">
        <f>'ABP Under Contract'!G81</f>
        <v>320543</v>
      </c>
      <c r="H80" s="174">
        <f t="shared" si="66"/>
        <v>1386740</v>
      </c>
      <c r="I80" s="30"/>
      <c r="J80" s="30"/>
      <c r="K80" s="30"/>
      <c r="L80" s="178">
        <f t="shared" si="91"/>
        <v>0</v>
      </c>
      <c r="M80" s="178"/>
      <c r="N80" s="178">
        <f t="shared" si="76"/>
        <v>908858.08423622127</v>
      </c>
      <c r="O80" s="178">
        <f t="shared" si="76"/>
        <v>2731474.05664986</v>
      </c>
      <c r="P80" s="178">
        <f t="shared" si="76"/>
        <v>107938.38326289512</v>
      </c>
      <c r="Q80" s="178">
        <f t="shared" si="61"/>
        <v>42011.109273712318</v>
      </c>
      <c r="R80" s="174">
        <f t="shared" si="62"/>
        <v>3790281.6334226886</v>
      </c>
      <c r="S80" s="174">
        <f t="shared" si="67"/>
        <v>4268163.5491864672</v>
      </c>
      <c r="T80" s="174">
        <f t="shared" si="59"/>
        <v>908858.08423622127</v>
      </c>
      <c r="U80" s="174">
        <f t="shared" si="60"/>
        <v>5177021.6334226886</v>
      </c>
      <c r="V80" s="174">
        <f t="shared" ref="V80:AD80" si="95">$B$58*V23</f>
        <v>1252999.130150706</v>
      </c>
      <c r="W80" s="174">
        <f t="shared" si="95"/>
        <v>1334027.8617331441</v>
      </c>
      <c r="X80" s="174">
        <f t="shared" si="95"/>
        <v>2196988.4095492726</v>
      </c>
      <c r="Y80" s="174">
        <f t="shared" si="95"/>
        <v>1125528.8672420382</v>
      </c>
      <c r="Z80" s="174">
        <f t="shared" si="95"/>
        <v>346331.1997272952</v>
      </c>
      <c r="AA80" s="174">
        <f t="shared" si="95"/>
        <v>1046299.8649542409</v>
      </c>
      <c r="AB80" s="174">
        <f t="shared" si="95"/>
        <v>17093746.344427675</v>
      </c>
      <c r="AC80" s="174">
        <f t="shared" si="95"/>
        <v>8911539.8829068355</v>
      </c>
      <c r="AD80" s="174">
        <f t="shared" si="95"/>
        <v>587345.50113640144</v>
      </c>
      <c r="AE80" s="174">
        <f t="shared" si="78"/>
        <v>269304.5796</v>
      </c>
      <c r="AF80" s="174">
        <f t="shared" si="64"/>
        <v>470749.24125261139</v>
      </c>
      <c r="AG80" s="174">
        <f t="shared" si="80"/>
        <v>34634860.882680215</v>
      </c>
      <c r="AH80" s="174">
        <f t="shared" si="65"/>
        <v>39811882.516102903</v>
      </c>
      <c r="AI80" s="192">
        <f>AH80/'Collections and ACP'!E92</f>
        <v>0.45370208838590115</v>
      </c>
      <c r="AJ80" s="172"/>
      <c r="AK80" s="172"/>
      <c r="AL80" s="172">
        <f t="shared" si="70"/>
        <v>21809278.087439012</v>
      </c>
      <c r="AM80" s="172">
        <f t="shared" si="71"/>
        <v>18002604.428663895</v>
      </c>
      <c r="AN80" s="105">
        <f t="shared" si="72"/>
        <v>0.54780825997408444</v>
      </c>
      <c r="AO80" s="105">
        <f t="shared" si="73"/>
        <v>0.45219174002591556</v>
      </c>
    </row>
    <row r="81" spans="1:41" x14ac:dyDescent="0.35">
      <c r="A81" s="177" t="s">
        <v>38</v>
      </c>
      <c r="B81" s="178">
        <f>'ABP Under Contract'!B82</f>
        <v>70</v>
      </c>
      <c r="C81" s="178">
        <f>'ABP Under Contract'!C82</f>
        <v>0</v>
      </c>
      <c r="D81" s="178">
        <f>'ABP Under Contract'!D82</f>
        <v>851160</v>
      </c>
      <c r="E81" s="178">
        <f>'ABP Under Contract'!E82</f>
        <v>18856</v>
      </c>
      <c r="F81" s="178">
        <f>'ABP Under Contract'!F82</f>
        <v>0</v>
      </c>
      <c r="G81" s="178">
        <f>'ABP Under Contract'!G82</f>
        <v>318940</v>
      </c>
      <c r="H81" s="174">
        <f t="shared" si="66"/>
        <v>1189026</v>
      </c>
      <c r="I81" s="30"/>
      <c r="J81" s="30"/>
      <c r="K81" s="30"/>
      <c r="L81" s="178">
        <f t="shared" si="91"/>
        <v>0</v>
      </c>
      <c r="M81" s="178"/>
      <c r="N81" s="178">
        <f t="shared" si="76"/>
        <v>908858.08423622127</v>
      </c>
      <c r="O81" s="178">
        <f t="shared" si="76"/>
        <v>2717816.6863666107</v>
      </c>
      <c r="P81" s="178">
        <f t="shared" si="76"/>
        <v>107398.69134658066</v>
      </c>
      <c r="Q81" s="178">
        <f t="shared" si="61"/>
        <v>41801.053727343759</v>
      </c>
      <c r="R81" s="174">
        <f t="shared" si="62"/>
        <v>3775874.5156767564</v>
      </c>
      <c r="S81" s="174">
        <f t="shared" si="67"/>
        <v>4056042.431440535</v>
      </c>
      <c r="T81" s="174">
        <f t="shared" si="59"/>
        <v>908858.08423622127</v>
      </c>
      <c r="U81" s="174">
        <f t="shared" si="60"/>
        <v>4964900.5156767564</v>
      </c>
      <c r="V81" s="174">
        <f t="shared" ref="V81:AD81" si="96">$B$58*V24</f>
        <v>1208446.5089931579</v>
      </c>
      <c r="W81" s="174">
        <f t="shared" si="96"/>
        <v>1286594.1193567531</v>
      </c>
      <c r="X81" s="174">
        <f t="shared" si="96"/>
        <v>2290526.4695272674</v>
      </c>
      <c r="Y81" s="174">
        <f t="shared" si="96"/>
        <v>1172162.7239186985</v>
      </c>
      <c r="Z81" s="174">
        <f t="shared" si="96"/>
        <v>362020.04406628234</v>
      </c>
      <c r="AA81" s="174">
        <f t="shared" si="96"/>
        <v>958573.87152067549</v>
      </c>
      <c r="AB81" s="174">
        <f t="shared" si="96"/>
        <v>17799127.938028906</v>
      </c>
      <c r="AC81" s="174">
        <f t="shared" si="96"/>
        <v>9396018.3786932249</v>
      </c>
      <c r="AD81" s="174">
        <f t="shared" si="96"/>
        <v>619677.85331078095</v>
      </c>
      <c r="AE81" s="174">
        <f t="shared" si="78"/>
        <v>269304.5796</v>
      </c>
      <c r="AF81" s="174">
        <f t="shared" si="64"/>
        <v>495551.62488025159</v>
      </c>
      <c r="AG81" s="174">
        <f t="shared" si="80"/>
        <v>35858004.111895993</v>
      </c>
      <c r="AH81" s="174">
        <f t="shared" si="65"/>
        <v>40822904.627572753</v>
      </c>
      <c r="AI81" s="192">
        <f>AH81/'Collections and ACP'!E93</f>
        <v>0.46328173304125925</v>
      </c>
      <c r="AJ81" s="172"/>
      <c r="AK81" s="172"/>
      <c r="AL81" s="172">
        <f t="shared" si="70"/>
        <v>22114918.605307627</v>
      </c>
      <c r="AM81" s="172">
        <f t="shared" si="71"/>
        <v>18707986.022265125</v>
      </c>
      <c r="AN81" s="105">
        <f t="shared" si="72"/>
        <v>0.54172819908485126</v>
      </c>
      <c r="AO81" s="105">
        <f t="shared" si="73"/>
        <v>0.45827180091514874</v>
      </c>
    </row>
    <row r="82" spans="1:41" x14ac:dyDescent="0.35">
      <c r="A82" s="177" t="s">
        <v>39</v>
      </c>
      <c r="B82" s="178">
        <f>'ABP Under Contract'!B83</f>
        <v>50</v>
      </c>
      <c r="C82" s="178">
        <f>'ABP Under Contract'!C83</f>
        <v>0</v>
      </c>
      <c r="D82" s="178">
        <f>'ABP Under Contract'!D83</f>
        <v>846914</v>
      </c>
      <c r="E82" s="178">
        <f>'ABP Under Contract'!E83</f>
        <v>18761</v>
      </c>
      <c r="F82" s="178">
        <f>'ABP Under Contract'!F83</f>
        <v>0</v>
      </c>
      <c r="G82" s="178">
        <f>'ABP Under Contract'!G83</f>
        <v>317347</v>
      </c>
      <c r="H82" s="174">
        <f t="shared" si="66"/>
        <v>1183072</v>
      </c>
      <c r="I82" s="30"/>
      <c r="J82" s="30"/>
      <c r="K82" s="30"/>
      <c r="L82" s="178">
        <f t="shared" si="91"/>
        <v>0</v>
      </c>
      <c r="M82" s="178"/>
      <c r="N82" s="178">
        <f t="shared" si="76"/>
        <v>908858.08423622127</v>
      </c>
      <c r="O82" s="178">
        <f t="shared" si="76"/>
        <v>2704227.6029347777</v>
      </c>
      <c r="P82" s="178">
        <f t="shared" si="76"/>
        <v>106861.69788984774</v>
      </c>
      <c r="Q82" s="178">
        <f t="shared" si="61"/>
        <v>41592.048458707039</v>
      </c>
      <c r="R82" s="174">
        <f t="shared" si="62"/>
        <v>3761539.4335195539</v>
      </c>
      <c r="S82" s="174">
        <f t="shared" si="67"/>
        <v>4035753.3492833325</v>
      </c>
      <c r="T82" s="174">
        <f t="shared" si="59"/>
        <v>908858.08423622127</v>
      </c>
      <c r="U82" s="174">
        <f t="shared" si="60"/>
        <v>4944611.4335195534</v>
      </c>
      <c r="V82" s="174">
        <f t="shared" ref="V82:AD82" si="97">$B$58*V25</f>
        <v>1164116.6509413973</v>
      </c>
      <c r="W82" s="174">
        <f t="shared" si="97"/>
        <v>1239397.5456922438</v>
      </c>
      <c r="X82" s="174">
        <f t="shared" si="97"/>
        <v>2383596.8392053721</v>
      </c>
      <c r="Y82" s="174">
        <f t="shared" si="97"/>
        <v>1218563.4113119759</v>
      </c>
      <c r="Z82" s="174">
        <f t="shared" si="97"/>
        <v>351776.49932842434</v>
      </c>
      <c r="AA82" s="174">
        <f t="shared" si="97"/>
        <v>871286.50805427774</v>
      </c>
      <c r="AB82" s="174">
        <f t="shared" si="97"/>
        <v>19562581.92203198</v>
      </c>
      <c r="AC82" s="174">
        <f t="shared" si="97"/>
        <v>9878074.4820006806</v>
      </c>
      <c r="AD82" s="174">
        <f t="shared" si="97"/>
        <v>651848.54372428858</v>
      </c>
      <c r="AE82" s="174">
        <f t="shared" si="78"/>
        <v>269304.5796</v>
      </c>
      <c r="AF82" s="174">
        <f t="shared" si="64"/>
        <v>520354.00850789173</v>
      </c>
      <c r="AG82" s="174">
        <f t="shared" si="80"/>
        <v>38110900.990398534</v>
      </c>
      <c r="AH82" s="174">
        <f t="shared" si="65"/>
        <v>43055512.423918083</v>
      </c>
      <c r="AI82" s="192">
        <f>AH82/'Collections and ACP'!E94</f>
        <v>0.48654968169179258</v>
      </c>
      <c r="AJ82" s="172"/>
      <c r="AK82" s="172"/>
      <c r="AL82" s="172">
        <f t="shared" si="70"/>
        <v>22584072.417649884</v>
      </c>
      <c r="AM82" s="172">
        <f t="shared" si="71"/>
        <v>20471440.0062682</v>
      </c>
      <c r="AN82" s="105">
        <f t="shared" si="72"/>
        <v>0.52453382032225082</v>
      </c>
      <c r="AO82" s="105">
        <f t="shared" si="73"/>
        <v>0.47546617967774918</v>
      </c>
    </row>
    <row r="83" spans="1:41" x14ac:dyDescent="0.35">
      <c r="A83" s="177" t="s">
        <v>40</v>
      </c>
      <c r="B83" s="178">
        <f>'ABP Under Contract'!B84</f>
        <v>8</v>
      </c>
      <c r="C83" s="178">
        <f>'ABP Under Contract'!C84</f>
        <v>0</v>
      </c>
      <c r="D83" s="178">
        <f>'ABP Under Contract'!D84</f>
        <v>842675</v>
      </c>
      <c r="E83" s="178">
        <f>'ABP Under Contract'!E84</f>
        <v>18668</v>
      </c>
      <c r="F83" s="178">
        <f>'ABP Under Contract'!F84</f>
        <v>0</v>
      </c>
      <c r="G83" s="178">
        <f>'ABP Under Contract'!G84</f>
        <v>315757</v>
      </c>
      <c r="H83" s="174">
        <f t="shared" si="66"/>
        <v>1177108</v>
      </c>
      <c r="I83" s="30"/>
      <c r="J83" s="30"/>
      <c r="K83" s="30"/>
      <c r="L83" s="178">
        <f t="shared" si="91"/>
        <v>0</v>
      </c>
      <c r="M83" s="178"/>
      <c r="N83" s="178">
        <f t="shared" si="76"/>
        <v>908858.08423622127</v>
      </c>
      <c r="O83" s="178">
        <f t="shared" si="76"/>
        <v>2690706.4649201035</v>
      </c>
      <c r="P83" s="178">
        <f t="shared" si="76"/>
        <v>106327.38940039852</v>
      </c>
      <c r="Q83" s="178">
        <f t="shared" si="61"/>
        <v>41384.088216413504</v>
      </c>
      <c r="R83" s="174">
        <f t="shared" si="62"/>
        <v>3747276.0267731366</v>
      </c>
      <c r="S83" s="174">
        <f t="shared" si="67"/>
        <v>4015525.9425369152</v>
      </c>
      <c r="T83" s="174">
        <f t="shared" si="59"/>
        <v>908858.08423622127</v>
      </c>
      <c r="U83" s="174">
        <f t="shared" si="60"/>
        <v>4924384.0267731361</v>
      </c>
      <c r="V83" s="174">
        <f t="shared" ref="V83:AD83" si="98">$B$58*V26</f>
        <v>1062830.6569146488</v>
      </c>
      <c r="W83" s="174">
        <f t="shared" si="98"/>
        <v>1131561.6064775309</v>
      </c>
      <c r="X83" s="174">
        <f t="shared" si="98"/>
        <v>2476201.8570350865</v>
      </c>
      <c r="Y83" s="174">
        <f t="shared" si="98"/>
        <v>1212470.594255416</v>
      </c>
      <c r="Z83" s="174">
        <f t="shared" si="98"/>
        <v>341584.17231425567</v>
      </c>
      <c r="AA83" s="174">
        <f t="shared" si="98"/>
        <v>753997.90719594923</v>
      </c>
      <c r="AB83" s="174">
        <f t="shared" si="98"/>
        <v>19209891.125231367</v>
      </c>
      <c r="AC83" s="174">
        <f t="shared" si="98"/>
        <v>10357720.3047916</v>
      </c>
      <c r="AD83" s="174">
        <f t="shared" si="98"/>
        <v>683858.38068572863</v>
      </c>
      <c r="AE83" s="174">
        <f t="shared" si="78"/>
        <v>269304.5796</v>
      </c>
      <c r="AF83" s="174">
        <f t="shared" si="64"/>
        <v>545156.39213553199</v>
      </c>
      <c r="AG83" s="174">
        <f t="shared" si="80"/>
        <v>38044577.576637112</v>
      </c>
      <c r="AH83" s="174">
        <f t="shared" si="65"/>
        <v>42968961.603410244</v>
      </c>
      <c r="AI83" s="192"/>
      <c r="AJ83" s="172"/>
      <c r="AK83" s="172"/>
      <c r="AL83" s="172">
        <f t="shared" si="70"/>
        <v>22850212.393942662</v>
      </c>
      <c r="AM83" s="172">
        <f t="shared" si="71"/>
        <v>20118749.209467586</v>
      </c>
      <c r="AN83" s="105">
        <f t="shared" si="72"/>
        <v>0.53178414235007132</v>
      </c>
      <c r="AO83" s="105">
        <f t="shared" si="73"/>
        <v>0.46821585764992868</v>
      </c>
    </row>
    <row r="84" spans="1:41" x14ac:dyDescent="0.35">
      <c r="A84" s="190" t="s">
        <v>163</v>
      </c>
      <c r="L84" s="178">
        <f t="shared" si="91"/>
        <v>0</v>
      </c>
      <c r="N84" s="178">
        <f t="shared" si="76"/>
        <v>908858.08423622127</v>
      </c>
      <c r="O84" s="178">
        <f t="shared" si="76"/>
        <v>2683379.9296139223</v>
      </c>
      <c r="P84" s="178">
        <f t="shared" si="76"/>
        <v>105983.88821351774</v>
      </c>
      <c r="S84" s="174">
        <f t="shared" si="67"/>
        <v>2789363.8178274399</v>
      </c>
      <c r="T84" s="174">
        <f t="shared" si="59"/>
        <v>908858.08423622127</v>
      </c>
      <c r="U84" s="174">
        <f t="shared" si="60"/>
        <v>0</v>
      </c>
      <c r="AG84" s="174">
        <f t="shared" si="80"/>
        <v>0</v>
      </c>
      <c r="AH84" s="174">
        <f t="shared" ref="AH84" si="99">H84+R84+AG84</f>
        <v>0</v>
      </c>
      <c r="AI84" s="192"/>
      <c r="AL84" s="172">
        <f t="shared" si="70"/>
        <v>2789363.8178274399</v>
      </c>
      <c r="AM84" s="172">
        <f t="shared" si="71"/>
        <v>908858.08423622127</v>
      </c>
      <c r="AN84" s="105">
        <f t="shared" si="72"/>
        <v>0.7542445779878526</v>
      </c>
      <c r="AO84" s="105">
        <f t="shared" si="73"/>
        <v>0.2457554220121474</v>
      </c>
    </row>
    <row r="85" spans="1:41" x14ac:dyDescent="0.35">
      <c r="N85" s="187"/>
      <c r="O85" s="187"/>
      <c r="P85" s="187"/>
    </row>
    <row r="86" spans="1:41" x14ac:dyDescent="0.35">
      <c r="A86" s="177" t="s">
        <v>213</v>
      </c>
      <c r="B86" s="22">
        <v>5.0041044571267233E-3</v>
      </c>
    </row>
    <row r="87" spans="1:41" ht="29" x14ac:dyDescent="0.35">
      <c r="A87" s="184" t="s">
        <v>1</v>
      </c>
      <c r="B87" s="184" t="str">
        <f t="shared" ref="B87:G87" si="100">B2</f>
        <v>Small DG</v>
      </c>
      <c r="C87" s="184" t="str">
        <f t="shared" si="100"/>
        <v>Large DG</v>
      </c>
      <c r="D87" s="184" t="str">
        <f t="shared" si="100"/>
        <v>Traditional CS</v>
      </c>
      <c r="E87" s="184" t="str">
        <f t="shared" si="100"/>
        <v xml:space="preserve"> Public Schools </v>
      </c>
      <c r="F87" s="184" t="str">
        <f t="shared" si="100"/>
        <v xml:space="preserve"> CDCS </v>
      </c>
      <c r="G87" s="184" t="str">
        <f t="shared" si="100"/>
        <v xml:space="preserve"> EEC </v>
      </c>
      <c r="H87" s="24" t="s">
        <v>190</v>
      </c>
      <c r="I87" s="184" t="s">
        <v>338</v>
      </c>
      <c r="J87" s="184" t="s">
        <v>339</v>
      </c>
      <c r="K87" s="184" t="s">
        <v>191</v>
      </c>
      <c r="L87" s="184" t="s">
        <v>211</v>
      </c>
      <c r="M87" s="184" t="s">
        <v>212</v>
      </c>
      <c r="N87" s="184" t="s">
        <v>194</v>
      </c>
      <c r="O87" s="184" t="s">
        <v>195</v>
      </c>
      <c r="P87" s="184" t="s">
        <v>196</v>
      </c>
      <c r="Q87" s="240" t="s">
        <v>197</v>
      </c>
      <c r="R87" s="24" t="s">
        <v>198</v>
      </c>
      <c r="S87" s="24" t="s">
        <v>199</v>
      </c>
      <c r="T87" s="24" t="s">
        <v>200</v>
      </c>
      <c r="U87" s="24" t="s">
        <v>201</v>
      </c>
      <c r="V87" s="184" t="s">
        <v>129</v>
      </c>
      <c r="W87" s="184" t="s">
        <v>135</v>
      </c>
      <c r="X87" s="25" t="s">
        <v>144</v>
      </c>
      <c r="Y87" s="184" t="s">
        <v>149</v>
      </c>
      <c r="Z87" s="25" t="s">
        <v>153</v>
      </c>
      <c r="AA87" s="25" t="s">
        <v>156</v>
      </c>
      <c r="AB87" s="184" t="s">
        <v>86</v>
      </c>
      <c r="AC87" s="184" t="s">
        <v>87</v>
      </c>
      <c r="AD87" s="184" t="s">
        <v>82</v>
      </c>
      <c r="AE87" s="184" t="s">
        <v>202</v>
      </c>
      <c r="AF87" s="25" t="s">
        <v>203</v>
      </c>
      <c r="AG87" s="193" t="s">
        <v>204</v>
      </c>
      <c r="AH87" s="24" t="s">
        <v>205</v>
      </c>
      <c r="AI87" s="24" t="s">
        <v>206</v>
      </c>
      <c r="AL87" s="76" t="s">
        <v>207</v>
      </c>
      <c r="AM87" s="76" t="s">
        <v>208</v>
      </c>
      <c r="AN87" t="s">
        <v>209</v>
      </c>
      <c r="AO87" t="s">
        <v>210</v>
      </c>
    </row>
    <row r="88" spans="1:41" x14ac:dyDescent="0.35">
      <c r="A88" s="184"/>
      <c r="B88" s="184"/>
      <c r="C88" s="184"/>
      <c r="D88" s="184"/>
      <c r="E88" s="184"/>
      <c r="F88" s="184"/>
      <c r="G88" s="184"/>
      <c r="H88" s="24"/>
      <c r="I88" s="184"/>
      <c r="J88" s="184"/>
      <c r="K88" s="184"/>
      <c r="L88" s="184"/>
      <c r="M88" s="184"/>
      <c r="N88" s="184"/>
      <c r="O88" s="184"/>
      <c r="P88" s="184"/>
      <c r="Q88" s="240"/>
      <c r="R88" s="24"/>
      <c r="S88" s="24"/>
      <c r="T88" s="24"/>
      <c r="U88" s="24"/>
      <c r="V88" s="184"/>
      <c r="W88" s="184"/>
      <c r="X88" s="184"/>
      <c r="Y88" s="184"/>
      <c r="Z88" s="184"/>
      <c r="AA88" s="184"/>
      <c r="AB88" s="184"/>
      <c r="AC88" s="184"/>
      <c r="AD88" s="184"/>
      <c r="AE88" s="184"/>
      <c r="AF88" s="184"/>
      <c r="AG88" s="24"/>
      <c r="AH88" s="24"/>
      <c r="AI88" s="24"/>
    </row>
    <row r="89" spans="1:41" x14ac:dyDescent="0.35">
      <c r="A89" s="177" t="s">
        <v>17</v>
      </c>
      <c r="B89" s="178">
        <f>'ABP Under Contract'!B92</f>
        <v>0</v>
      </c>
      <c r="C89" s="178">
        <f>'ABP Under Contract'!C92</f>
        <v>297</v>
      </c>
      <c r="D89" s="178">
        <f>'ABP Under Contract'!D92</f>
        <v>0</v>
      </c>
      <c r="E89" s="178">
        <f>'ABP Under Contract'!E92</f>
        <v>0</v>
      </c>
      <c r="F89" s="178">
        <f>'ABP Under Contract'!F92</f>
        <v>0</v>
      </c>
      <c r="G89" s="178">
        <f>'ABP Under Contract'!G92</f>
        <v>0</v>
      </c>
      <c r="H89" s="174">
        <f>SUM(B89:G89)</f>
        <v>297</v>
      </c>
      <c r="I89" s="178"/>
      <c r="J89" s="178"/>
      <c r="K89" s="178"/>
      <c r="L89" s="178">
        <v>2409</v>
      </c>
      <c r="M89" s="178">
        <v>3030.2923000000001</v>
      </c>
      <c r="N89" s="178"/>
      <c r="O89" s="178"/>
      <c r="P89" s="178"/>
      <c r="Q89" s="178">
        <f t="shared" ref="Q89:Q111" si="101">Q4*$B$86</f>
        <v>291.59717328390559</v>
      </c>
      <c r="R89" s="174">
        <f t="shared" ref="R89:R111" si="102">SUM(I89:Q89)</f>
        <v>5730.8894732839053</v>
      </c>
      <c r="S89" s="174">
        <f>H89+J89+K89+M89+O89+P89+Q89</f>
        <v>3618.8894732839058</v>
      </c>
      <c r="T89" s="174">
        <f t="shared" ref="T89:T112" si="103">I89+L89+N89</f>
        <v>2409</v>
      </c>
      <c r="U89" s="174">
        <f t="shared" ref="U89:U112" si="104">H89+R89</f>
        <v>6027.8894732839053</v>
      </c>
      <c r="V89" s="174">
        <f t="shared" ref="V89:AD89" si="105">$B$86*V4</f>
        <v>0</v>
      </c>
      <c r="W89" s="174">
        <f t="shared" si="105"/>
        <v>0</v>
      </c>
      <c r="X89" s="174">
        <f t="shared" si="105"/>
        <v>0</v>
      </c>
      <c r="Y89" s="174">
        <f t="shared" si="105"/>
        <v>0</v>
      </c>
      <c r="Z89" s="174">
        <f t="shared" si="105"/>
        <v>0</v>
      </c>
      <c r="AA89" s="174">
        <f t="shared" si="105"/>
        <v>0</v>
      </c>
      <c r="AB89" s="174">
        <f t="shared" si="105"/>
        <v>0</v>
      </c>
      <c r="AC89" s="174">
        <f t="shared" si="105"/>
        <v>0</v>
      </c>
      <c r="AD89" s="174">
        <f t="shared" si="105"/>
        <v>0</v>
      </c>
      <c r="AE89" s="174"/>
      <c r="AF89" s="174">
        <f t="shared" ref="AF89:AF111" si="106">AF4*$B$86</f>
        <v>0</v>
      </c>
      <c r="AG89" s="174">
        <f>SUM(V89:AF89)</f>
        <v>0</v>
      </c>
      <c r="AH89" s="174">
        <f t="shared" ref="AH89:AH111" si="107">H89+R89+AG89</f>
        <v>6027.8894732839053</v>
      </c>
      <c r="AI89" s="192">
        <f>AH89/'Collections and ACP'!E106</f>
        <v>1.1308279082646698E-2</v>
      </c>
      <c r="AL89" s="172">
        <f>H89+J89+K89+M89+Q89+V89+W89+X89+Y89+Z89+AA89+AC89+AD89+AF89+O89+P89+AE89</f>
        <v>3618.8894732839058</v>
      </c>
      <c r="AM89" s="172">
        <f>I89+L89+AB89+N89</f>
        <v>2409</v>
      </c>
      <c r="AN89" s="105">
        <f>AL89/(AL89+AM89)</f>
        <v>0.60035763583972757</v>
      </c>
      <c r="AO89" s="105">
        <f>1-AN89</f>
        <v>0.39964236416027243</v>
      </c>
    </row>
    <row r="90" spans="1:41" x14ac:dyDescent="0.35">
      <c r="A90" s="177" t="s">
        <v>18</v>
      </c>
      <c r="B90" s="178">
        <f>'ABP Under Contract'!B93</f>
        <v>0</v>
      </c>
      <c r="C90" s="178">
        <f>'ABP Under Contract'!C93</f>
        <v>3127</v>
      </c>
      <c r="D90" s="178">
        <f>'ABP Under Contract'!D93</f>
        <v>0</v>
      </c>
      <c r="E90" s="178">
        <f>'ABP Under Contract'!E93</f>
        <v>0</v>
      </c>
      <c r="F90" s="178">
        <f>'ABP Under Contract'!F93</f>
        <v>0</v>
      </c>
      <c r="G90" s="178">
        <f>'ABP Under Contract'!G93</f>
        <v>0</v>
      </c>
      <c r="H90" s="174">
        <f t="shared" ref="H90:H111" si="108">SUM(B90:G90)</f>
        <v>3127</v>
      </c>
      <c r="I90" s="178"/>
      <c r="J90" s="178"/>
      <c r="K90" s="178">
        <v>449</v>
      </c>
      <c r="L90" s="178">
        <v>6816</v>
      </c>
      <c r="M90" s="178">
        <v>6586.2923000000001</v>
      </c>
      <c r="N90" s="178"/>
      <c r="O90" s="178"/>
      <c r="P90" s="178"/>
      <c r="Q90" s="178">
        <f t="shared" si="101"/>
        <v>326.17520147568746</v>
      </c>
      <c r="R90" s="174">
        <f t="shared" si="102"/>
        <v>14177.467501475689</v>
      </c>
      <c r="S90" s="174">
        <f t="shared" ref="S90:S112" si="109">H90+J90+K90+M90+O90+P90+Q90</f>
        <v>10488.467501475689</v>
      </c>
      <c r="T90" s="174">
        <f t="shared" si="103"/>
        <v>6816</v>
      </c>
      <c r="U90" s="174">
        <f t="shared" si="104"/>
        <v>17304.467501475687</v>
      </c>
      <c r="V90" s="174">
        <f t="shared" ref="V90:AD90" si="110">$B$86*V5</f>
        <v>0</v>
      </c>
      <c r="W90" s="174">
        <f t="shared" si="110"/>
        <v>0</v>
      </c>
      <c r="X90" s="174">
        <f t="shared" si="110"/>
        <v>0</v>
      </c>
      <c r="Y90" s="174">
        <f t="shared" si="110"/>
        <v>0</v>
      </c>
      <c r="Z90" s="174">
        <f t="shared" si="110"/>
        <v>0</v>
      </c>
      <c r="AA90" s="174">
        <f t="shared" si="110"/>
        <v>0</v>
      </c>
      <c r="AB90" s="174">
        <f t="shared" si="110"/>
        <v>0</v>
      </c>
      <c r="AC90" s="174">
        <f t="shared" si="110"/>
        <v>0</v>
      </c>
      <c r="AD90" s="174">
        <f t="shared" si="110"/>
        <v>0</v>
      </c>
      <c r="AE90" s="174"/>
      <c r="AF90" s="174">
        <f t="shared" si="106"/>
        <v>0</v>
      </c>
      <c r="AG90" s="174">
        <f t="shared" ref="AG90:AG91" si="111">SUM(V90:AF90)</f>
        <v>0</v>
      </c>
      <c r="AH90" s="174">
        <f t="shared" si="107"/>
        <v>17304.467501475687</v>
      </c>
      <c r="AI90" s="192">
        <f>AH90/'Collections and ACP'!E107</f>
        <v>3.2617157979760232E-2</v>
      </c>
      <c r="AL90" s="172">
        <f t="shared" ref="AL90:AL112" si="112">H90+J90+K90+M90+Q90+V90+W90+X90+Y90+Z90+AA90+AC90+AD90+AF90+O90+P90+AE90</f>
        <v>10488.467501475689</v>
      </c>
      <c r="AM90" s="172">
        <f t="shared" ref="AM90:AM112" si="113">I90+L90+AB90+N90</f>
        <v>6816</v>
      </c>
      <c r="AN90" s="105">
        <f t="shared" ref="AN90:AN112" si="114">AL90/(AL90+AM90)</f>
        <v>0.60611327685068928</v>
      </c>
      <c r="AO90" s="105">
        <f t="shared" ref="AO90:AO112" si="115">1-AN90</f>
        <v>0.39388672314931072</v>
      </c>
    </row>
    <row r="91" spans="1:41" x14ac:dyDescent="0.35">
      <c r="A91" s="177" t="s">
        <v>19</v>
      </c>
      <c r="B91" s="178">
        <f>'ABP Under Contract'!B94</f>
        <v>266</v>
      </c>
      <c r="C91" s="178">
        <f>'ABP Under Contract'!C94</f>
        <v>3659</v>
      </c>
      <c r="D91" s="178">
        <f>'ABP Under Contract'!D94</f>
        <v>0</v>
      </c>
      <c r="E91" s="178">
        <f>'ABP Under Contract'!E94</f>
        <v>0</v>
      </c>
      <c r="F91" s="178">
        <f>'ABP Under Contract'!F94</f>
        <v>0</v>
      </c>
      <c r="G91" s="178">
        <f>'ABP Under Contract'!G94</f>
        <v>0</v>
      </c>
      <c r="H91" s="174">
        <f t="shared" si="108"/>
        <v>3925</v>
      </c>
      <c r="I91" s="178"/>
      <c r="J91" s="178"/>
      <c r="K91" s="178"/>
      <c r="L91" s="178">
        <v>6816</v>
      </c>
      <c r="M91" s="178">
        <v>6586.2923000000001</v>
      </c>
      <c r="N91" s="178"/>
      <c r="O91" s="178"/>
      <c r="P91" s="178"/>
      <c r="Q91" s="178">
        <f t="shared" si="101"/>
        <v>324.54432546830901</v>
      </c>
      <c r="R91" s="174">
        <f t="shared" si="102"/>
        <v>13726.83662546831</v>
      </c>
      <c r="S91" s="174">
        <f t="shared" si="109"/>
        <v>10835.83662546831</v>
      </c>
      <c r="T91" s="174">
        <f t="shared" si="103"/>
        <v>6816</v>
      </c>
      <c r="U91" s="174">
        <f t="shared" si="104"/>
        <v>17651.83662546831</v>
      </c>
      <c r="V91" s="174">
        <f t="shared" ref="V91:AD91" si="116">$B$86*V6</f>
        <v>0</v>
      </c>
      <c r="W91" s="174">
        <f t="shared" si="116"/>
        <v>0</v>
      </c>
      <c r="X91" s="174">
        <f t="shared" si="116"/>
        <v>0</v>
      </c>
      <c r="Y91" s="174">
        <f t="shared" si="116"/>
        <v>0</v>
      </c>
      <c r="Z91" s="174">
        <f t="shared" si="116"/>
        <v>0</v>
      </c>
      <c r="AA91" s="174">
        <f t="shared" si="116"/>
        <v>0</v>
      </c>
      <c r="AB91" s="174">
        <f t="shared" si="116"/>
        <v>0</v>
      </c>
      <c r="AC91" s="174">
        <f t="shared" si="116"/>
        <v>0</v>
      </c>
      <c r="AD91" s="174">
        <f t="shared" si="116"/>
        <v>0</v>
      </c>
      <c r="AE91" s="174"/>
      <c r="AF91" s="174">
        <f t="shared" si="106"/>
        <v>0</v>
      </c>
      <c r="AG91" s="174">
        <f t="shared" si="111"/>
        <v>0</v>
      </c>
      <c r="AH91" s="174">
        <f t="shared" si="107"/>
        <v>17651.83662546831</v>
      </c>
      <c r="AI91" s="192">
        <f>AH91/'Collections and ACP'!E108</f>
        <v>3.3498592007989388E-2</v>
      </c>
      <c r="AJ91" s="172"/>
      <c r="AK91" s="172"/>
      <c r="AL91" s="172">
        <f t="shared" si="112"/>
        <v>10835.83662546831</v>
      </c>
      <c r="AM91" s="172">
        <f t="shared" si="113"/>
        <v>6816</v>
      </c>
      <c r="AN91" s="105">
        <f t="shared" si="114"/>
        <v>0.61386454312828942</v>
      </c>
      <c r="AO91" s="105">
        <f t="shared" si="115"/>
        <v>0.38613545687171058</v>
      </c>
    </row>
    <row r="92" spans="1:41" x14ac:dyDescent="0.35">
      <c r="A92" s="177" t="s">
        <v>20</v>
      </c>
      <c r="B92" s="178">
        <f>'ABP Under Contract'!B95</f>
        <v>4328</v>
      </c>
      <c r="C92" s="178">
        <f>'ABP Under Contract'!C95</f>
        <v>10289</v>
      </c>
      <c r="D92" s="178">
        <f>'ABP Under Contract'!D95</f>
        <v>0</v>
      </c>
      <c r="E92" s="178">
        <f>'ABP Under Contract'!E95</f>
        <v>0</v>
      </c>
      <c r="F92" s="178">
        <f>'ABP Under Contract'!F95</f>
        <v>0</v>
      </c>
      <c r="G92" s="178">
        <f>'ABP Under Contract'!G95</f>
        <v>0</v>
      </c>
      <c r="H92" s="174">
        <f t="shared" si="108"/>
        <v>14617</v>
      </c>
      <c r="I92" s="178"/>
      <c r="J92" s="178"/>
      <c r="K92" s="30"/>
      <c r="L92" s="178">
        <v>6816</v>
      </c>
      <c r="M92" s="178">
        <v>6586.2923000000001</v>
      </c>
      <c r="N92" s="178"/>
      <c r="O92" s="178"/>
      <c r="P92" s="178"/>
      <c r="Q92" s="178">
        <f t="shared" si="101"/>
        <v>322.92160384096746</v>
      </c>
      <c r="R92" s="174">
        <f t="shared" si="102"/>
        <v>13725.213903840968</v>
      </c>
      <c r="S92" s="174">
        <f t="shared" si="109"/>
        <v>21526.21390384097</v>
      </c>
      <c r="T92" s="174">
        <f t="shared" si="103"/>
        <v>6816</v>
      </c>
      <c r="U92" s="174">
        <f t="shared" si="104"/>
        <v>28342.213903840966</v>
      </c>
      <c r="V92" s="174">
        <f t="shared" ref="V92:AD92" si="117">$B$86*V7</f>
        <v>0</v>
      </c>
      <c r="W92" s="174">
        <f t="shared" si="117"/>
        <v>0</v>
      </c>
      <c r="X92" s="174">
        <f t="shared" si="117"/>
        <v>0</v>
      </c>
      <c r="Y92" s="174">
        <f t="shared" si="117"/>
        <v>0</v>
      </c>
      <c r="Z92" s="174">
        <f t="shared" si="117"/>
        <v>0</v>
      </c>
      <c r="AA92" s="174">
        <f t="shared" si="117"/>
        <v>0</v>
      </c>
      <c r="AB92" s="174">
        <f t="shared" si="117"/>
        <v>0</v>
      </c>
      <c r="AC92" s="174">
        <f t="shared" si="117"/>
        <v>0</v>
      </c>
      <c r="AD92" s="174">
        <f t="shared" si="117"/>
        <v>0</v>
      </c>
      <c r="AE92" s="174"/>
      <c r="AF92" s="174">
        <f t="shared" si="106"/>
        <v>235.192909484956</v>
      </c>
      <c r="AG92" s="174">
        <f>SUM(V92:AF92)</f>
        <v>235.192909484956</v>
      </c>
      <c r="AH92" s="174">
        <f t="shared" si="107"/>
        <v>28577.406813325921</v>
      </c>
      <c r="AI92" s="192">
        <f>AH92/'Collections and ACP'!E109</f>
        <v>5.4083129424982293E-2</v>
      </c>
      <c r="AJ92" s="172"/>
      <c r="AK92" s="172"/>
      <c r="AL92" s="172">
        <f t="shared" si="112"/>
        <v>21761.406813325924</v>
      </c>
      <c r="AM92" s="172">
        <f t="shared" si="113"/>
        <v>6816</v>
      </c>
      <c r="AN92" s="105">
        <f t="shared" si="114"/>
        <v>0.76148990548639872</v>
      </c>
      <c r="AO92" s="105">
        <f t="shared" si="115"/>
        <v>0.23851009451360128</v>
      </c>
    </row>
    <row r="93" spans="1:41" x14ac:dyDescent="0.35">
      <c r="A93" s="177" t="s">
        <v>22</v>
      </c>
      <c r="B93" s="178">
        <f>'ABP Under Contract'!B96</f>
        <v>6734</v>
      </c>
      <c r="C93" s="178">
        <f>'ABP Under Contract'!C96</f>
        <v>14382</v>
      </c>
      <c r="D93" s="178">
        <f>'ABP Under Contract'!D96</f>
        <v>0</v>
      </c>
      <c r="E93" s="178">
        <f>'ABP Under Contract'!E96</f>
        <v>0</v>
      </c>
      <c r="F93" s="178">
        <f>'ABP Under Contract'!F96</f>
        <v>0</v>
      </c>
      <c r="G93" s="178">
        <f>'ABP Under Contract'!G96</f>
        <v>0</v>
      </c>
      <c r="H93" s="174">
        <f t="shared" si="108"/>
        <v>21116</v>
      </c>
      <c r="I93" s="178"/>
      <c r="J93" s="178"/>
      <c r="K93" s="30"/>
      <c r="L93" s="178">
        <v>6816</v>
      </c>
      <c r="M93" s="178">
        <v>6586.2923000000001</v>
      </c>
      <c r="N93" s="178">
        <f t="shared" ref="N93:P112" si="118">N8*$B$86</f>
        <v>0</v>
      </c>
      <c r="O93" s="178">
        <f t="shared" si="118"/>
        <v>0</v>
      </c>
      <c r="P93" s="178">
        <f t="shared" si="118"/>
        <v>0</v>
      </c>
      <c r="Q93" s="178">
        <f t="shared" si="101"/>
        <v>321.30699582176265</v>
      </c>
      <c r="R93" s="174">
        <f t="shared" si="102"/>
        <v>13723.599295821763</v>
      </c>
      <c r="S93" s="174">
        <f t="shared" si="109"/>
        <v>28023.599295821765</v>
      </c>
      <c r="T93" s="174">
        <f t="shared" si="103"/>
        <v>6816</v>
      </c>
      <c r="U93" s="174">
        <f t="shared" si="104"/>
        <v>34839.599295821761</v>
      </c>
      <c r="V93" s="174">
        <f t="shared" ref="V93:AD93" si="119">$B$86*V8</f>
        <v>0</v>
      </c>
      <c r="W93" s="174">
        <f t="shared" si="119"/>
        <v>506.19225974766698</v>
      </c>
      <c r="X93" s="174">
        <f t="shared" si="119"/>
        <v>0</v>
      </c>
      <c r="Y93" s="174">
        <f t="shared" si="119"/>
        <v>1790.9325793449079</v>
      </c>
      <c r="Z93" s="174">
        <f t="shared" si="119"/>
        <v>0</v>
      </c>
      <c r="AA93" s="174">
        <f t="shared" si="119"/>
        <v>0</v>
      </c>
      <c r="AB93" s="174">
        <f t="shared" si="119"/>
        <v>0</v>
      </c>
      <c r="AC93" s="174">
        <f t="shared" si="119"/>
        <v>0</v>
      </c>
      <c r="AD93" s="174">
        <f t="shared" si="119"/>
        <v>0</v>
      </c>
      <c r="AE93" s="174"/>
      <c r="AF93" s="174">
        <f t="shared" si="106"/>
        <v>468.03388987506241</v>
      </c>
      <c r="AG93" s="174">
        <f>SUM(V93:AF93)</f>
        <v>2765.1587289676372</v>
      </c>
      <c r="AH93" s="174">
        <f t="shared" si="107"/>
        <v>37604.7580247894</v>
      </c>
      <c r="AI93" s="192">
        <f>AH93/'Collections and ACP'!E110</f>
        <v>7.121308690269347E-2</v>
      </c>
      <c r="AJ93" s="172"/>
      <c r="AK93" s="172"/>
      <c r="AL93" s="172">
        <f t="shared" si="112"/>
        <v>30788.7580247894</v>
      </c>
      <c r="AM93" s="172">
        <f t="shared" si="113"/>
        <v>6816</v>
      </c>
      <c r="AN93" s="105">
        <f t="shared" si="114"/>
        <v>0.81874634067564456</v>
      </c>
      <c r="AO93" s="105">
        <f t="shared" si="115"/>
        <v>0.18125365932435544</v>
      </c>
    </row>
    <row r="94" spans="1:41" x14ac:dyDescent="0.35">
      <c r="A94" s="177" t="s">
        <v>23</v>
      </c>
      <c r="B94" s="178">
        <f>'ABP Under Contract'!B97</f>
        <v>7964</v>
      </c>
      <c r="C94" s="178">
        <f>'ABP Under Contract'!C97</f>
        <v>16663</v>
      </c>
      <c r="D94" s="178">
        <f>'ABP Under Contract'!D97</f>
        <v>0</v>
      </c>
      <c r="E94" s="178">
        <f>'ABP Under Contract'!E97</f>
        <v>0</v>
      </c>
      <c r="F94" s="178">
        <f>'ABP Under Contract'!F97</f>
        <v>0</v>
      </c>
      <c r="G94" s="178">
        <f>'ABP Under Contract'!G97</f>
        <v>0</v>
      </c>
      <c r="H94" s="174">
        <f t="shared" si="108"/>
        <v>24627</v>
      </c>
      <c r="I94" s="178"/>
      <c r="J94" s="178"/>
      <c r="K94" s="30"/>
      <c r="L94" s="178">
        <v>6816</v>
      </c>
      <c r="M94" s="178">
        <v>6586.2923000000001</v>
      </c>
      <c r="N94" s="178">
        <f t="shared" si="118"/>
        <v>2301.8880502782927</v>
      </c>
      <c r="O94" s="178">
        <f t="shared" si="118"/>
        <v>9465.3686668487971</v>
      </c>
      <c r="P94" s="178">
        <f t="shared" si="118"/>
        <v>289.58752493392348</v>
      </c>
      <c r="Q94" s="178">
        <f t="shared" si="101"/>
        <v>319.70046084265385</v>
      </c>
      <c r="R94" s="174">
        <f t="shared" si="102"/>
        <v>25778.837002903667</v>
      </c>
      <c r="S94" s="174">
        <f t="shared" si="109"/>
        <v>41287.948952625367</v>
      </c>
      <c r="T94" s="174">
        <f t="shared" si="103"/>
        <v>9117.8880502782922</v>
      </c>
      <c r="U94" s="174">
        <f t="shared" si="104"/>
        <v>50405.837002903667</v>
      </c>
      <c r="V94" s="174">
        <f t="shared" ref="V94:AD94" si="120">$B$86*V9</f>
        <v>730.13316882943502</v>
      </c>
      <c r="W94" s="174">
        <f t="shared" si="120"/>
        <v>1281.0105930783868</v>
      </c>
      <c r="X94" s="174">
        <f t="shared" si="120"/>
        <v>0</v>
      </c>
      <c r="Y94" s="174">
        <f t="shared" si="120"/>
        <v>2424.6156344060446</v>
      </c>
      <c r="Z94" s="174">
        <f t="shared" si="120"/>
        <v>0</v>
      </c>
      <c r="AA94" s="174">
        <f t="shared" si="120"/>
        <v>863.72143847717552</v>
      </c>
      <c r="AB94" s="174">
        <f t="shared" si="120"/>
        <v>0</v>
      </c>
      <c r="AC94" s="174">
        <f t="shared" si="120"/>
        <v>0</v>
      </c>
      <c r="AD94" s="174">
        <f t="shared" si="120"/>
        <v>0</v>
      </c>
      <c r="AE94" s="174"/>
      <c r="AF94" s="174">
        <f t="shared" si="106"/>
        <v>702.05083481259362</v>
      </c>
      <c r="AG94" s="174">
        <f t="shared" ref="AG94:AG111" si="121">SUM(V94:AF94)</f>
        <v>6001.5316696036352</v>
      </c>
      <c r="AH94" s="174">
        <f t="shared" si="107"/>
        <v>56407.368672507306</v>
      </c>
      <c r="AI94" s="192">
        <f>AH94/'Collections and ACP'!E111</f>
        <v>0.10645907647508178</v>
      </c>
      <c r="AJ94" s="172"/>
      <c r="AK94" s="172"/>
      <c r="AL94" s="172">
        <f t="shared" si="112"/>
        <v>47289.480622229014</v>
      </c>
      <c r="AM94" s="172">
        <f t="shared" si="113"/>
        <v>9117.8880502782922</v>
      </c>
      <c r="AN94" s="105">
        <f t="shared" si="114"/>
        <v>0.83835643702482598</v>
      </c>
      <c r="AO94" s="105">
        <f t="shared" si="115"/>
        <v>0.16164356297517402</v>
      </c>
    </row>
    <row r="95" spans="1:41" x14ac:dyDescent="0.35">
      <c r="A95" s="177" t="s">
        <v>24</v>
      </c>
      <c r="B95" s="178">
        <f>'ABP Under Contract'!B98</f>
        <v>7923</v>
      </c>
      <c r="C95" s="178">
        <f>'ABP Under Contract'!C98</f>
        <v>16579</v>
      </c>
      <c r="D95" s="178">
        <f>'ABP Under Contract'!D98</f>
        <v>0</v>
      </c>
      <c r="E95" s="178">
        <f>'ABP Under Contract'!E98</f>
        <v>0</v>
      </c>
      <c r="F95" s="178">
        <f>'ABP Under Contract'!F98</f>
        <v>0</v>
      </c>
      <c r="G95" s="178">
        <f>'ABP Under Contract'!G98</f>
        <v>0</v>
      </c>
      <c r="H95" s="174">
        <f t="shared" si="108"/>
        <v>24502</v>
      </c>
      <c r="I95" s="178"/>
      <c r="J95" s="178"/>
      <c r="K95" s="30"/>
      <c r="L95" s="178">
        <v>6816</v>
      </c>
      <c r="M95" s="178">
        <v>6586.2923000000001</v>
      </c>
      <c r="N95" s="178">
        <f t="shared" si="118"/>
        <v>2301.8880502782927</v>
      </c>
      <c r="O95" s="178">
        <f t="shared" si="118"/>
        <v>20682.320989342465</v>
      </c>
      <c r="P95" s="178">
        <f t="shared" si="118"/>
        <v>817.29360902366204</v>
      </c>
      <c r="Q95" s="178">
        <f t="shared" si="101"/>
        <v>318.10195853844056</v>
      </c>
      <c r="R95" s="174">
        <f t="shared" si="102"/>
        <v>37521.896907182861</v>
      </c>
      <c r="S95" s="174">
        <f t="shared" si="109"/>
        <v>52906.008856904569</v>
      </c>
      <c r="T95" s="174">
        <f t="shared" si="103"/>
        <v>9117.8880502782922</v>
      </c>
      <c r="U95" s="174">
        <f t="shared" si="104"/>
        <v>62023.896907182861</v>
      </c>
      <c r="V95" s="174">
        <f t="shared" ref="V95:AD95" si="122">$B$86*V10</f>
        <v>1456.6156718147229</v>
      </c>
      <c r="W95" s="174">
        <f t="shared" si="122"/>
        <v>2051.9548347424525</v>
      </c>
      <c r="X95" s="174">
        <f t="shared" si="122"/>
        <v>1334.709106527866</v>
      </c>
      <c r="Y95" s="174">
        <f t="shared" si="122"/>
        <v>3055.1302741918762</v>
      </c>
      <c r="Z95" s="174">
        <f t="shared" si="122"/>
        <v>197.73468244857273</v>
      </c>
      <c r="AA95" s="174">
        <f t="shared" si="122"/>
        <v>1723.1242697619655</v>
      </c>
      <c r="AB95" s="174">
        <f t="shared" si="122"/>
        <v>0</v>
      </c>
      <c r="AC95" s="174">
        <f t="shared" si="122"/>
        <v>0</v>
      </c>
      <c r="AD95" s="174">
        <f t="shared" si="122"/>
        <v>0</v>
      </c>
      <c r="AE95" s="174"/>
      <c r="AF95" s="174">
        <f t="shared" si="106"/>
        <v>936.06777975012483</v>
      </c>
      <c r="AG95" s="174">
        <f t="shared" si="121"/>
        <v>10755.336619237582</v>
      </c>
      <c r="AH95" s="174">
        <f t="shared" si="107"/>
        <v>72779.233526420445</v>
      </c>
      <c r="AI95" s="192">
        <f>AH95/'Collections and ACP'!E112</f>
        <v>0.13720819466065864</v>
      </c>
      <c r="AJ95" s="172"/>
      <c r="AK95" s="172"/>
      <c r="AL95" s="172">
        <f t="shared" si="112"/>
        <v>63661.345476142153</v>
      </c>
      <c r="AM95" s="172">
        <f t="shared" si="113"/>
        <v>9117.8880502782922</v>
      </c>
      <c r="AN95" s="105">
        <f t="shared" si="114"/>
        <v>0.87471854801866933</v>
      </c>
      <c r="AO95" s="105">
        <f t="shared" si="115"/>
        <v>0.12528145198133067</v>
      </c>
    </row>
    <row r="96" spans="1:41" x14ac:dyDescent="0.35">
      <c r="A96" s="177" t="s">
        <v>25</v>
      </c>
      <c r="B96" s="178">
        <f>'ABP Under Contract'!B99</f>
        <v>7884</v>
      </c>
      <c r="C96" s="178">
        <f>'ABP Under Contract'!C99</f>
        <v>16497</v>
      </c>
      <c r="D96" s="178">
        <f>'ABP Under Contract'!D99</f>
        <v>0</v>
      </c>
      <c r="E96" s="178">
        <f>'ABP Under Contract'!E99</f>
        <v>0</v>
      </c>
      <c r="F96" s="178">
        <f>'ABP Under Contract'!F99</f>
        <v>0</v>
      </c>
      <c r="G96" s="178">
        <f>'ABP Under Contract'!G99</f>
        <v>0</v>
      </c>
      <c r="H96" s="174">
        <f t="shared" si="108"/>
        <v>24381</v>
      </c>
      <c r="I96" s="178"/>
      <c r="J96" s="178"/>
      <c r="K96" s="30"/>
      <c r="L96" s="178">
        <v>6816</v>
      </c>
      <c r="M96" s="178">
        <v>6586.2923000000001</v>
      </c>
      <c r="N96" s="178">
        <f t="shared" si="118"/>
        <v>6447.6034411428691</v>
      </c>
      <c r="O96" s="178">
        <f t="shared" si="118"/>
        <v>20578.909384395753</v>
      </c>
      <c r="P96" s="178">
        <f t="shared" si="118"/>
        <v>813.20714097854375</v>
      </c>
      <c r="Q96" s="178">
        <f t="shared" si="101"/>
        <v>316.5114487457484</v>
      </c>
      <c r="R96" s="174">
        <f t="shared" si="102"/>
        <v>41558.523715262912</v>
      </c>
      <c r="S96" s="174">
        <f t="shared" si="109"/>
        <v>52675.920274120042</v>
      </c>
      <c r="T96" s="174">
        <f t="shared" si="103"/>
        <v>13263.60344114287</v>
      </c>
      <c r="U96" s="174">
        <f t="shared" si="104"/>
        <v>65939.523715262912</v>
      </c>
      <c r="V96" s="174">
        <f t="shared" ref="V96:AD96" si="123">$B$86*V11</f>
        <v>2179.4657622850841</v>
      </c>
      <c r="W96" s="174">
        <f t="shared" si="123"/>
        <v>2819.0443551981989</v>
      </c>
      <c r="X96" s="174">
        <f t="shared" si="123"/>
        <v>2662.7446675230926</v>
      </c>
      <c r="Y96" s="174">
        <f t="shared" si="123"/>
        <v>3682.4923407787774</v>
      </c>
      <c r="Z96" s="174">
        <f t="shared" si="123"/>
        <v>394.48069148490254</v>
      </c>
      <c r="AA96" s="174">
        <f t="shared" si="123"/>
        <v>2578.2300868903308</v>
      </c>
      <c r="AB96" s="174">
        <f t="shared" si="123"/>
        <v>31192.244443950633</v>
      </c>
      <c r="AC96" s="174">
        <f t="shared" si="123"/>
        <v>6672.1326040296881</v>
      </c>
      <c r="AD96" s="174">
        <f t="shared" si="123"/>
        <v>433.6857168813446</v>
      </c>
      <c r="AE96" s="174"/>
      <c r="AF96" s="174">
        <f t="shared" si="106"/>
        <v>1170.084724687656</v>
      </c>
      <c r="AG96" s="174">
        <f t="shared" si="121"/>
        <v>53784.605393709709</v>
      </c>
      <c r="AH96" s="174">
        <f t="shared" si="107"/>
        <v>119724.12910897261</v>
      </c>
      <c r="AI96" s="192">
        <f>AH96/'Collections and ACP'!E113</f>
        <v>0.22531411958116751</v>
      </c>
      <c r="AJ96" s="172"/>
      <c r="AK96" s="172"/>
      <c r="AL96" s="172">
        <f t="shared" si="112"/>
        <v>75268.281223879108</v>
      </c>
      <c r="AM96" s="172">
        <f t="shared" si="113"/>
        <v>44455.847885093506</v>
      </c>
      <c r="AN96" s="105">
        <f t="shared" si="114"/>
        <v>0.62868096668608964</v>
      </c>
      <c r="AO96" s="105">
        <f t="shared" si="115"/>
        <v>0.37131903331391036</v>
      </c>
    </row>
    <row r="97" spans="1:41" x14ac:dyDescent="0.35">
      <c r="A97" s="177" t="s">
        <v>26</v>
      </c>
      <c r="B97" s="178">
        <f>'ABP Under Contract'!B100</f>
        <v>7847</v>
      </c>
      <c r="C97" s="178">
        <f>'ABP Under Contract'!C100</f>
        <v>16417</v>
      </c>
      <c r="D97" s="178">
        <f>'ABP Under Contract'!D100</f>
        <v>0</v>
      </c>
      <c r="E97" s="178">
        <f>'ABP Under Contract'!E100</f>
        <v>0</v>
      </c>
      <c r="F97" s="178">
        <f>'ABP Under Contract'!F100</f>
        <v>0</v>
      </c>
      <c r="G97" s="178">
        <f>'ABP Under Contract'!G100</f>
        <v>0</v>
      </c>
      <c r="H97" s="174">
        <f t="shared" si="108"/>
        <v>24264</v>
      </c>
      <c r="I97" s="178"/>
      <c r="J97" s="178"/>
      <c r="K97" s="30"/>
      <c r="L97" s="178">
        <v>6816</v>
      </c>
      <c r="M97" s="178">
        <v>6586.2923000000001</v>
      </c>
      <c r="N97" s="178">
        <f t="shared" si="118"/>
        <v>6447.6034411428691</v>
      </c>
      <c r="O97" s="178">
        <f t="shared" si="118"/>
        <v>20476.014837473773</v>
      </c>
      <c r="P97" s="178">
        <f t="shared" si="118"/>
        <v>809.14110527365108</v>
      </c>
      <c r="Q97" s="178">
        <f t="shared" si="101"/>
        <v>314.92889150201967</v>
      </c>
      <c r="R97" s="174">
        <f t="shared" si="102"/>
        <v>41449.980575392321</v>
      </c>
      <c r="S97" s="174">
        <f t="shared" si="109"/>
        <v>52450.377134249451</v>
      </c>
      <c r="T97" s="174">
        <f t="shared" si="103"/>
        <v>13263.60344114287</v>
      </c>
      <c r="U97" s="174">
        <f t="shared" si="104"/>
        <v>65713.980575392314</v>
      </c>
      <c r="V97" s="174">
        <f t="shared" ref="V97:AD97" si="124">$B$86*V12</f>
        <v>2898.7016023030933</v>
      </c>
      <c r="W97" s="174">
        <f t="shared" si="124"/>
        <v>3582.2984280516653</v>
      </c>
      <c r="X97" s="174">
        <f t="shared" si="124"/>
        <v>3984.140050713343</v>
      </c>
      <c r="Y97" s="174">
        <f t="shared" si="124"/>
        <v>4306.7175970327453</v>
      </c>
      <c r="Z97" s="174">
        <f t="shared" si="124"/>
        <v>590.24297047605069</v>
      </c>
      <c r="AA97" s="174">
        <f t="shared" si="124"/>
        <v>3429.0603749330548</v>
      </c>
      <c r="AB97" s="174">
        <f t="shared" si="124"/>
        <v>43702.505586767438</v>
      </c>
      <c r="AC97" s="174">
        <f t="shared" si="124"/>
        <v>14144.928626699624</v>
      </c>
      <c r="AD97" s="174">
        <f t="shared" si="124"/>
        <v>856.86616715270929</v>
      </c>
      <c r="AE97" s="174"/>
      <c r="AF97" s="174">
        <f t="shared" si="106"/>
        <v>1404.1016696251872</v>
      </c>
      <c r="AG97" s="174">
        <f t="shared" si="121"/>
        <v>78899.563073754907</v>
      </c>
      <c r="AH97" s="174">
        <f t="shared" si="107"/>
        <v>144613.54364914721</v>
      </c>
      <c r="AI97" s="192">
        <f>AH97/'Collections and ACP'!E114</f>
        <v>0.27207110828927822</v>
      </c>
      <c r="AJ97" s="172"/>
      <c r="AK97" s="172"/>
      <c r="AL97" s="172">
        <f t="shared" si="112"/>
        <v>87647.434621236927</v>
      </c>
      <c r="AM97" s="172">
        <f t="shared" si="113"/>
        <v>56966.109027910308</v>
      </c>
      <c r="AN97" s="105">
        <f t="shared" si="114"/>
        <v>0.60608040166612553</v>
      </c>
      <c r="AO97" s="105">
        <f t="shared" si="115"/>
        <v>0.39391959833387447</v>
      </c>
    </row>
    <row r="98" spans="1:41" x14ac:dyDescent="0.35">
      <c r="A98" s="177" t="s">
        <v>27</v>
      </c>
      <c r="B98" s="178">
        <f>'ABP Under Contract'!B101</f>
        <v>7814</v>
      </c>
      <c r="C98" s="178">
        <f>'ABP Under Contract'!C101</f>
        <v>16331</v>
      </c>
      <c r="D98" s="178">
        <f>'ABP Under Contract'!D101</f>
        <v>0</v>
      </c>
      <c r="E98" s="178">
        <f>'ABP Under Contract'!E101</f>
        <v>0</v>
      </c>
      <c r="F98" s="178">
        <f>'ABP Under Contract'!F101</f>
        <v>0</v>
      </c>
      <c r="G98" s="178">
        <f>'ABP Under Contract'!G101</f>
        <v>0</v>
      </c>
      <c r="H98" s="174">
        <f t="shared" si="108"/>
        <v>24145</v>
      </c>
      <c r="I98" s="178"/>
      <c r="J98" s="178"/>
      <c r="K98" s="30"/>
      <c r="L98" s="178">
        <v>6816</v>
      </c>
      <c r="M98" s="178">
        <v>6586.2923000000001</v>
      </c>
      <c r="N98" s="178">
        <f t="shared" si="118"/>
        <v>6447.6034411428691</v>
      </c>
      <c r="O98" s="178">
        <f t="shared" si="118"/>
        <v>20373.634763286405</v>
      </c>
      <c r="P98" s="178">
        <f t="shared" si="118"/>
        <v>805.09539974728273</v>
      </c>
      <c r="Q98" s="178">
        <f t="shared" si="101"/>
        <v>313.35424704450958</v>
      </c>
      <c r="R98" s="174">
        <f t="shared" si="102"/>
        <v>41341.980151221069</v>
      </c>
      <c r="S98" s="174">
        <f t="shared" si="109"/>
        <v>52223.376710078199</v>
      </c>
      <c r="T98" s="174">
        <f t="shared" si="103"/>
        <v>13263.60344114287</v>
      </c>
      <c r="U98" s="174">
        <f t="shared" si="104"/>
        <v>65486.980151221069</v>
      </c>
      <c r="V98" s="174">
        <f t="shared" ref="V98:AD98" si="125">$B$86*V13</f>
        <v>3614.3412631210135</v>
      </c>
      <c r="W98" s="174">
        <f t="shared" si="125"/>
        <v>4341.7362305408651</v>
      </c>
      <c r="X98" s="174">
        <f t="shared" si="125"/>
        <v>5298.9284569876418</v>
      </c>
      <c r="Y98" s="174">
        <f t="shared" si="125"/>
        <v>4927.821727005442</v>
      </c>
      <c r="Z98" s="174">
        <f t="shared" si="125"/>
        <v>785.02643807224331</v>
      </c>
      <c r="AA98" s="174">
        <f t="shared" si="125"/>
        <v>4275.6365115355657</v>
      </c>
      <c r="AB98" s="174">
        <f t="shared" si="125"/>
        <v>56212.766729584248</v>
      </c>
      <c r="AC98" s="174">
        <f t="shared" si="125"/>
        <v>21580.36066925621</v>
      </c>
      <c r="AD98" s="174">
        <f t="shared" si="125"/>
        <v>1277.9307151727173</v>
      </c>
      <c r="AE98" s="174"/>
      <c r="AF98" s="174">
        <f t="shared" si="106"/>
        <v>1580.0542598037821</v>
      </c>
      <c r="AG98" s="174">
        <f t="shared" si="121"/>
        <v>103894.60300107974</v>
      </c>
      <c r="AH98" s="174">
        <f t="shared" si="107"/>
        <v>169381.58315230079</v>
      </c>
      <c r="AI98" s="192">
        <f>AH98/'Collections and ACP'!E115</f>
        <v>0.31813179816615328</v>
      </c>
      <c r="AJ98" s="172"/>
      <c r="AK98" s="172"/>
      <c r="AL98" s="172">
        <f t="shared" si="112"/>
        <v>99905.212981573684</v>
      </c>
      <c r="AM98" s="172">
        <f t="shared" si="113"/>
        <v>69476.37017072711</v>
      </c>
      <c r="AN98" s="105">
        <f t="shared" si="114"/>
        <v>0.58982335105312556</v>
      </c>
      <c r="AO98" s="105">
        <f t="shared" si="115"/>
        <v>0.41017664894687444</v>
      </c>
    </row>
    <row r="99" spans="1:41" x14ac:dyDescent="0.35">
      <c r="A99" s="177" t="s">
        <v>28</v>
      </c>
      <c r="B99" s="178">
        <f>'ABP Under Contract'!B102</f>
        <v>7770</v>
      </c>
      <c r="C99" s="178">
        <f>'ABP Under Contract'!C102</f>
        <v>16247</v>
      </c>
      <c r="D99" s="178">
        <f>'ABP Under Contract'!D102</f>
        <v>0</v>
      </c>
      <c r="E99" s="178">
        <f>'ABP Under Contract'!E102</f>
        <v>0</v>
      </c>
      <c r="F99" s="178">
        <f>'ABP Under Contract'!F102</f>
        <v>0</v>
      </c>
      <c r="G99" s="178">
        <f>'ABP Under Contract'!G102</f>
        <v>0</v>
      </c>
      <c r="H99" s="174">
        <f t="shared" si="108"/>
        <v>24017</v>
      </c>
      <c r="I99" s="178"/>
      <c r="J99" s="178"/>
      <c r="K99" s="30"/>
      <c r="L99" s="178">
        <v>6816</v>
      </c>
      <c r="M99" s="178">
        <v>6586.2923000000001</v>
      </c>
      <c r="N99" s="178">
        <f t="shared" si="118"/>
        <v>6447.6034411428691</v>
      </c>
      <c r="O99" s="178">
        <f t="shared" si="118"/>
        <v>20271.766589469971</v>
      </c>
      <c r="P99" s="178">
        <f t="shared" si="118"/>
        <v>801.06992274854633</v>
      </c>
      <c r="Q99" s="178">
        <f t="shared" si="101"/>
        <v>311.787475809287</v>
      </c>
      <c r="R99" s="174">
        <f t="shared" si="102"/>
        <v>41234.519729170679</v>
      </c>
      <c r="S99" s="174">
        <f t="shared" si="109"/>
        <v>51987.916288027809</v>
      </c>
      <c r="T99" s="174">
        <f t="shared" si="103"/>
        <v>13263.60344114287</v>
      </c>
      <c r="U99" s="174">
        <f t="shared" si="104"/>
        <v>65251.519729170679</v>
      </c>
      <c r="V99" s="174">
        <f t="shared" ref="V99:AD99" si="126">$B$86*V14</f>
        <v>4326.4027256348436</v>
      </c>
      <c r="W99" s="174">
        <f t="shared" si="126"/>
        <v>5097.3768440176191</v>
      </c>
      <c r="X99" s="174">
        <f t="shared" si="126"/>
        <v>6607.1429212305702</v>
      </c>
      <c r="Y99" s="174">
        <f t="shared" si="126"/>
        <v>5545.8203363282764</v>
      </c>
      <c r="Z99" s="174">
        <f t="shared" si="126"/>
        <v>978.83598833045471</v>
      </c>
      <c r="AA99" s="174">
        <f t="shared" si="126"/>
        <v>5117.9797674550637</v>
      </c>
      <c r="AB99" s="174">
        <f t="shared" si="126"/>
        <v>68723.027872401057</v>
      </c>
      <c r="AC99" s="174">
        <f t="shared" si="126"/>
        <v>28978.615551600014</v>
      </c>
      <c r="AD99" s="174">
        <f t="shared" si="126"/>
        <v>1696.8899404526251</v>
      </c>
      <c r="AE99" s="174"/>
      <c r="AF99" s="174">
        <f t="shared" si="106"/>
        <v>1756.0068499823769</v>
      </c>
      <c r="AG99" s="174">
        <f t="shared" si="121"/>
        <v>128828.09879743292</v>
      </c>
      <c r="AH99" s="174">
        <f t="shared" si="107"/>
        <v>194079.61852660359</v>
      </c>
      <c r="AI99" s="192">
        <f>AH99/'Collections and ACP'!E116</f>
        <v>0.36412321618735155</v>
      </c>
      <c r="AJ99" s="172"/>
      <c r="AK99" s="172"/>
      <c r="AL99" s="172">
        <f t="shared" si="112"/>
        <v>112092.98721305966</v>
      </c>
      <c r="AM99" s="172">
        <f t="shared" si="113"/>
        <v>81986.631313543927</v>
      </c>
      <c r="AN99" s="105">
        <f t="shared" si="114"/>
        <v>0.57756186901044659</v>
      </c>
      <c r="AO99" s="105">
        <f t="shared" si="115"/>
        <v>0.42243813098955341</v>
      </c>
    </row>
    <row r="100" spans="1:41" x14ac:dyDescent="0.35">
      <c r="A100" s="177" t="s">
        <v>29</v>
      </c>
      <c r="B100" s="178">
        <f>'ABP Under Contract'!B103</f>
        <v>7735</v>
      </c>
      <c r="C100" s="178">
        <f>'ABP Under Contract'!C103</f>
        <v>16172</v>
      </c>
      <c r="D100" s="178">
        <f>'ABP Under Contract'!D103</f>
        <v>0</v>
      </c>
      <c r="E100" s="178">
        <f>'ABP Under Contract'!E103</f>
        <v>0</v>
      </c>
      <c r="F100" s="178">
        <f>'ABP Under Contract'!F103</f>
        <v>0</v>
      </c>
      <c r="G100" s="178">
        <f>'ABP Under Contract'!G103</f>
        <v>0</v>
      </c>
      <c r="H100" s="174">
        <f t="shared" si="108"/>
        <v>23907</v>
      </c>
      <c r="I100" s="178"/>
      <c r="J100" s="178"/>
      <c r="K100" s="30"/>
      <c r="L100" s="178">
        <v>6816</v>
      </c>
      <c r="M100" s="178">
        <v>6586.2923000000001</v>
      </c>
      <c r="N100" s="178">
        <f t="shared" si="118"/>
        <v>6447.6034411428691</v>
      </c>
      <c r="O100" s="178">
        <f t="shared" si="118"/>
        <v>20170.407756522622</v>
      </c>
      <c r="P100" s="178">
        <f t="shared" si="118"/>
        <v>797.0645731348036</v>
      </c>
      <c r="Q100" s="178">
        <f t="shared" si="101"/>
        <v>310.22853843024058</v>
      </c>
      <c r="R100" s="174">
        <f t="shared" si="102"/>
        <v>41127.596609230532</v>
      </c>
      <c r="S100" s="174">
        <f t="shared" si="109"/>
        <v>51770.993168087662</v>
      </c>
      <c r="T100" s="174">
        <f t="shared" si="103"/>
        <v>13263.60344114287</v>
      </c>
      <c r="U100" s="174">
        <f t="shared" si="104"/>
        <v>65034.596609230532</v>
      </c>
      <c r="V100" s="174">
        <f t="shared" ref="V100:AD100" si="127">$B$86*V15</f>
        <v>5116.0297884838183</v>
      </c>
      <c r="W100" s="174">
        <f t="shared" si="127"/>
        <v>5935.6113982747065</v>
      </c>
      <c r="X100" s="174">
        <f t="shared" si="127"/>
        <v>7908.8163131522833</v>
      </c>
      <c r="Y100" s="174">
        <f t="shared" si="127"/>
        <v>6259.5962938287812</v>
      </c>
      <c r="Z100" s="174">
        <f t="shared" si="127"/>
        <v>1171.6764908373752</v>
      </c>
      <c r="AA100" s="174">
        <f t="shared" si="127"/>
        <v>5524.2505878563761</v>
      </c>
      <c r="AB100" s="174">
        <f t="shared" si="127"/>
        <v>81233.289015217859</v>
      </c>
      <c r="AC100" s="174">
        <f t="shared" si="127"/>
        <v>33837.826930968738</v>
      </c>
      <c r="AD100" s="174">
        <f t="shared" si="127"/>
        <v>2113.7543696061334</v>
      </c>
      <c r="AE100" s="174"/>
      <c r="AF100" s="174">
        <f t="shared" si="106"/>
        <v>1931.9594401609713</v>
      </c>
      <c r="AG100" s="174">
        <f t="shared" si="121"/>
        <v>151032.81062838706</v>
      </c>
      <c r="AH100" s="174">
        <f t="shared" si="107"/>
        <v>216067.40723761759</v>
      </c>
      <c r="AI100" s="192">
        <f>AH100/'Collections and ACP'!E117</f>
        <v>0.40480649350311049</v>
      </c>
      <c r="AJ100" s="172"/>
      <c r="AK100" s="172"/>
      <c r="AL100" s="172">
        <f t="shared" si="112"/>
        <v>121570.51478125683</v>
      </c>
      <c r="AM100" s="172">
        <f t="shared" si="113"/>
        <v>94496.892456360729</v>
      </c>
      <c r="AN100" s="105">
        <f t="shared" si="114"/>
        <v>0.56265087055708085</v>
      </c>
      <c r="AO100" s="105">
        <f t="shared" si="115"/>
        <v>0.43734912944291915</v>
      </c>
    </row>
    <row r="101" spans="1:41" x14ac:dyDescent="0.35">
      <c r="A101" s="177" t="s">
        <v>30</v>
      </c>
      <c r="B101" s="178">
        <f>'ABP Under Contract'!B104</f>
        <v>7693</v>
      </c>
      <c r="C101" s="178">
        <f>'ABP Under Contract'!C104</f>
        <v>16090</v>
      </c>
      <c r="D101" s="178">
        <f>'ABP Under Contract'!D104</f>
        <v>0</v>
      </c>
      <c r="E101" s="178">
        <f>'ABP Under Contract'!E104</f>
        <v>0</v>
      </c>
      <c r="F101" s="178">
        <f>'ABP Under Contract'!F104</f>
        <v>0</v>
      </c>
      <c r="G101" s="178">
        <f>'ABP Under Contract'!G104</f>
        <v>0</v>
      </c>
      <c r="H101" s="174">
        <f t="shared" si="108"/>
        <v>23783</v>
      </c>
      <c r="I101" s="30"/>
      <c r="J101" s="30"/>
      <c r="K101" s="30"/>
      <c r="L101" s="178">
        <v>6816</v>
      </c>
      <c r="M101" s="178">
        <v>6586.2923000000001</v>
      </c>
      <c r="N101" s="178">
        <f t="shared" si="118"/>
        <v>6447.6034411428691</v>
      </c>
      <c r="O101" s="178">
        <f t="shared" si="118"/>
        <v>20069.555717740008</v>
      </c>
      <c r="P101" s="178">
        <f t="shared" si="118"/>
        <v>793.0792502691296</v>
      </c>
      <c r="Q101" s="178">
        <f t="shared" si="101"/>
        <v>308.67739573808939</v>
      </c>
      <c r="R101" s="174">
        <f t="shared" si="102"/>
        <v>41021.208104890095</v>
      </c>
      <c r="S101" s="174">
        <f t="shared" si="109"/>
        <v>51540.604663747225</v>
      </c>
      <c r="T101" s="174">
        <f t="shared" si="103"/>
        <v>13263.60344114287</v>
      </c>
      <c r="U101" s="174">
        <f t="shared" si="104"/>
        <v>64804.208104890095</v>
      </c>
      <c r="V101" s="174">
        <f t="shared" ref="V101:AD101" si="128">$B$86*V16</f>
        <v>5901.7087160185492</v>
      </c>
      <c r="W101" s="174">
        <f t="shared" si="128"/>
        <v>6769.654779760509</v>
      </c>
      <c r="X101" s="174">
        <f t="shared" si="128"/>
        <v>9352.2823499508158</v>
      </c>
      <c r="Y101" s="174">
        <f t="shared" si="128"/>
        <v>6969.803371541786</v>
      </c>
      <c r="Z101" s="174">
        <f t="shared" si="128"/>
        <v>1412.9864614439045</v>
      </c>
      <c r="AA101" s="174">
        <f t="shared" si="128"/>
        <v>5928.4900541556826</v>
      </c>
      <c r="AB101" s="174">
        <f t="shared" si="128"/>
        <v>93743.550158034675</v>
      </c>
      <c r="AC101" s="174">
        <f t="shared" si="128"/>
        <v>38672.742253440621</v>
      </c>
      <c r="AD101" s="174">
        <f t="shared" si="128"/>
        <v>2528.5344766138742</v>
      </c>
      <c r="AE101" s="174"/>
      <c r="AF101" s="174">
        <f t="shared" si="106"/>
        <v>2107.9120303395662</v>
      </c>
      <c r="AG101" s="174">
        <f t="shared" si="121"/>
        <v>173387.6646513</v>
      </c>
      <c r="AH101" s="174">
        <f t="shared" si="107"/>
        <v>238191.8727561901</v>
      </c>
      <c r="AI101" s="192">
        <f>AH101/'Collections and ACP'!E118</f>
        <v>0.44611256512517322</v>
      </c>
      <c r="AJ101" s="172"/>
      <c r="AK101" s="172"/>
      <c r="AL101" s="172">
        <f t="shared" si="112"/>
        <v>131184.71915701253</v>
      </c>
      <c r="AM101" s="172">
        <f t="shared" si="113"/>
        <v>107007.15359917755</v>
      </c>
      <c r="AN101" s="105">
        <f t="shared" si="114"/>
        <v>0.55075228906441909</v>
      </c>
      <c r="AO101" s="105">
        <f t="shared" si="115"/>
        <v>0.44924771093558091</v>
      </c>
    </row>
    <row r="102" spans="1:41" x14ac:dyDescent="0.35">
      <c r="A102" s="177" t="s">
        <v>31</v>
      </c>
      <c r="B102" s="178">
        <f>'ABP Under Contract'!B105</f>
        <v>7653</v>
      </c>
      <c r="C102" s="178">
        <f>'ABP Under Contract'!C105</f>
        <v>16011</v>
      </c>
      <c r="D102" s="178">
        <f>'ABP Under Contract'!D105</f>
        <v>0</v>
      </c>
      <c r="E102" s="178">
        <f>'ABP Under Contract'!E105</f>
        <v>0</v>
      </c>
      <c r="F102" s="178">
        <f>'ABP Under Contract'!F105</f>
        <v>0</v>
      </c>
      <c r="G102" s="178">
        <f>'ABP Under Contract'!G105</f>
        <v>0</v>
      </c>
      <c r="H102" s="174">
        <f t="shared" si="108"/>
        <v>23664</v>
      </c>
      <c r="I102" s="30"/>
      <c r="J102" s="30"/>
      <c r="K102" s="30"/>
      <c r="L102" s="178">
        <v>5397</v>
      </c>
      <c r="M102" s="178">
        <v>6586.2923000000001</v>
      </c>
      <c r="N102" s="178">
        <f t="shared" si="118"/>
        <v>6447.6034411428691</v>
      </c>
      <c r="O102" s="178">
        <f t="shared" si="118"/>
        <v>19969.207939151303</v>
      </c>
      <c r="P102" s="178">
        <f t="shared" si="118"/>
        <v>789.11385401778398</v>
      </c>
      <c r="Q102" s="178">
        <f t="shared" si="101"/>
        <v>307.13400875939891</v>
      </c>
      <c r="R102" s="174">
        <f t="shared" si="102"/>
        <v>39496.35154307136</v>
      </c>
      <c r="S102" s="174">
        <f t="shared" si="109"/>
        <v>51315.74810192849</v>
      </c>
      <c r="T102" s="174">
        <f t="shared" si="103"/>
        <v>11844.60344114287</v>
      </c>
      <c r="U102" s="174">
        <f t="shared" si="104"/>
        <v>63160.35154307136</v>
      </c>
      <c r="V102" s="174">
        <f t="shared" ref="V102:AD102" si="129">$B$86*V17</f>
        <v>6683.4592489156066</v>
      </c>
      <c r="W102" s="174">
        <f t="shared" si="129"/>
        <v>7599.5279443388818</v>
      </c>
      <c r="X102" s="174">
        <f t="shared" si="129"/>
        <v>10788.53105656536</v>
      </c>
      <c r="Y102" s="174">
        <f t="shared" si="129"/>
        <v>7676.4594138662242</v>
      </c>
      <c r="Z102" s="174">
        <f t="shared" si="129"/>
        <v>1653.0898821974008</v>
      </c>
      <c r="AA102" s="174">
        <f t="shared" si="129"/>
        <v>6330.708323123491</v>
      </c>
      <c r="AB102" s="174">
        <f t="shared" si="129"/>
        <v>91241.497929471312</v>
      </c>
      <c r="AC102" s="174">
        <f t="shared" si="129"/>
        <v>42232.456885018451</v>
      </c>
      <c r="AD102" s="174">
        <f t="shared" si="129"/>
        <v>2766.0970270871417</v>
      </c>
      <c r="AE102" s="174"/>
      <c r="AF102" s="174">
        <f t="shared" si="106"/>
        <v>2283.8646205181608</v>
      </c>
      <c r="AG102" s="174">
        <f t="shared" si="121"/>
        <v>179255.69233110204</v>
      </c>
      <c r="AH102" s="174">
        <f t="shared" si="107"/>
        <v>242416.0438741734</v>
      </c>
      <c r="AI102" s="192">
        <f>AH102/'Collections and ACP'!E119</f>
        <v>0.4537076857800052</v>
      </c>
      <c r="AJ102" s="172"/>
      <c r="AK102" s="172"/>
      <c r="AL102" s="172">
        <f t="shared" si="112"/>
        <v>139329.9425035592</v>
      </c>
      <c r="AM102" s="172">
        <f t="shared" si="113"/>
        <v>103086.10137061418</v>
      </c>
      <c r="AN102" s="105">
        <f t="shared" si="114"/>
        <v>0.57475545049270227</v>
      </c>
      <c r="AO102" s="105">
        <f t="shared" si="115"/>
        <v>0.42524454950729773</v>
      </c>
    </row>
    <row r="103" spans="1:41" x14ac:dyDescent="0.35">
      <c r="A103" s="177" t="s">
        <v>32</v>
      </c>
      <c r="B103" s="178">
        <f>'ABP Under Contract'!B106</f>
        <v>7618</v>
      </c>
      <c r="C103" s="178">
        <f>'ABP Under Contract'!C106</f>
        <v>15651</v>
      </c>
      <c r="D103" s="178">
        <f>'ABP Under Contract'!D106</f>
        <v>0</v>
      </c>
      <c r="E103" s="178">
        <f>'ABP Under Contract'!E106</f>
        <v>0</v>
      </c>
      <c r="F103" s="178">
        <f>'ABP Under Contract'!F106</f>
        <v>0</v>
      </c>
      <c r="G103" s="178">
        <f>'ABP Under Contract'!G106</f>
        <v>0</v>
      </c>
      <c r="H103" s="174">
        <f t="shared" si="108"/>
        <v>23269</v>
      </c>
      <c r="I103" s="30"/>
      <c r="J103" s="30"/>
      <c r="K103" s="30"/>
      <c r="L103" s="178">
        <v>5397</v>
      </c>
      <c r="M103" s="178">
        <v>6586.2923000000001</v>
      </c>
      <c r="N103" s="178">
        <f t="shared" si="118"/>
        <v>6447.6034411428691</v>
      </c>
      <c r="O103" s="178">
        <f t="shared" si="118"/>
        <v>19869.361899455547</v>
      </c>
      <c r="P103" s="178">
        <f t="shared" si="118"/>
        <v>785.16828474769488</v>
      </c>
      <c r="Q103" s="178">
        <f t="shared" si="101"/>
        <v>305.59833871560193</v>
      </c>
      <c r="R103" s="174">
        <f t="shared" si="102"/>
        <v>39391.024264061707</v>
      </c>
      <c r="S103" s="174">
        <f t="shared" si="109"/>
        <v>50815.420822918837</v>
      </c>
      <c r="T103" s="174">
        <f t="shared" si="103"/>
        <v>11844.60344114287</v>
      </c>
      <c r="U103" s="174">
        <f t="shared" si="104"/>
        <v>62660.024264061707</v>
      </c>
      <c r="V103" s="174">
        <f t="shared" ref="V103:AD103" si="130">$B$86*V18</f>
        <v>7055.6714909096036</v>
      </c>
      <c r="W103" s="174">
        <f t="shared" si="130"/>
        <v>7993.3910238557755</v>
      </c>
      <c r="X103" s="174">
        <f t="shared" si="130"/>
        <v>12217.598519646826</v>
      </c>
      <c r="Y103" s="174">
        <f t="shared" si="130"/>
        <v>8008.8296463879688</v>
      </c>
      <c r="Z103" s="174">
        <f t="shared" si="130"/>
        <v>1891.9927858471301</v>
      </c>
      <c r="AA103" s="174">
        <f t="shared" si="130"/>
        <v>6514.9851411271666</v>
      </c>
      <c r="AB103" s="174">
        <f t="shared" si="130"/>
        <v>96245.602386598039</v>
      </c>
      <c r="AC103" s="174">
        <f t="shared" si="130"/>
        <v>45774.372943438408</v>
      </c>
      <c r="AD103" s="174">
        <f t="shared" si="130"/>
        <v>3002.4717648080418</v>
      </c>
      <c r="AE103" s="174"/>
      <c r="AF103" s="174">
        <f t="shared" si="106"/>
        <v>2459.8172106967559</v>
      </c>
      <c r="AG103" s="174">
        <f t="shared" si="121"/>
        <v>191164.73291331573</v>
      </c>
      <c r="AH103" s="174">
        <f t="shared" si="107"/>
        <v>253824.75717737744</v>
      </c>
      <c r="AI103" s="192">
        <f>AH103/'Collections and ACP'!E120</f>
        <v>0.47475361190320114</v>
      </c>
      <c r="AJ103" s="172"/>
      <c r="AK103" s="172"/>
      <c r="AL103" s="172">
        <f t="shared" si="112"/>
        <v>145734.55134963652</v>
      </c>
      <c r="AM103" s="172">
        <f t="shared" si="113"/>
        <v>108090.20582774091</v>
      </c>
      <c r="AN103" s="105">
        <f t="shared" si="114"/>
        <v>0.57415420375166371</v>
      </c>
      <c r="AO103" s="105">
        <f t="shared" si="115"/>
        <v>0.42584579624833629</v>
      </c>
    </row>
    <row r="104" spans="1:41" x14ac:dyDescent="0.35">
      <c r="A104" s="177" t="s">
        <v>33</v>
      </c>
      <c r="B104" s="178">
        <f>'ABP Under Contract'!B107</f>
        <v>7573</v>
      </c>
      <c r="C104" s="178">
        <f>'ABP Under Contract'!C107</f>
        <v>15574</v>
      </c>
      <c r="D104" s="178">
        <f>'ABP Under Contract'!D107</f>
        <v>0</v>
      </c>
      <c r="E104" s="178">
        <f>'ABP Under Contract'!E107</f>
        <v>0</v>
      </c>
      <c r="F104" s="178">
        <f>'ABP Under Contract'!F107</f>
        <v>0</v>
      </c>
      <c r="G104" s="178">
        <f>'ABP Under Contract'!G107</f>
        <v>0</v>
      </c>
      <c r="H104" s="174">
        <f t="shared" si="108"/>
        <v>23147</v>
      </c>
      <c r="I104" s="30"/>
      <c r="J104" s="30"/>
      <c r="K104" s="30"/>
      <c r="L104" s="178">
        <v>4407</v>
      </c>
      <c r="M104" s="178"/>
      <c r="N104" s="178">
        <f t="shared" si="118"/>
        <v>6447.6034411428691</v>
      </c>
      <c r="O104" s="178">
        <f t="shared" si="118"/>
        <v>19770.01508995827</v>
      </c>
      <c r="P104" s="178">
        <f t="shared" si="118"/>
        <v>781.24244332395642</v>
      </c>
      <c r="Q104" s="178">
        <f t="shared" si="101"/>
        <v>304.0703470220239</v>
      </c>
      <c r="R104" s="174">
        <f t="shared" si="102"/>
        <v>31709.931321447122</v>
      </c>
      <c r="S104" s="174">
        <f t="shared" si="109"/>
        <v>44002.327880304249</v>
      </c>
      <c r="T104" s="174">
        <f t="shared" si="103"/>
        <v>10854.60344114287</v>
      </c>
      <c r="U104" s="174">
        <f t="shared" si="104"/>
        <v>54856.931321447119</v>
      </c>
      <c r="V104" s="174">
        <f t="shared" ref="V104:AD104" si="131">$B$86*V19</f>
        <v>7426.0226716936322</v>
      </c>
      <c r="W104" s="174">
        <f t="shared" si="131"/>
        <v>8385.2847879750843</v>
      </c>
      <c r="X104" s="174">
        <f t="shared" si="131"/>
        <v>12898.01558623074</v>
      </c>
      <c r="Y104" s="174">
        <f t="shared" si="131"/>
        <v>8339.5380277471031</v>
      </c>
      <c r="Z104" s="174">
        <f t="shared" si="131"/>
        <v>2006.1169984482522</v>
      </c>
      <c r="AA104" s="174">
        <f t="shared" si="131"/>
        <v>6698.3405750408247</v>
      </c>
      <c r="AB104" s="174">
        <f t="shared" si="131"/>
        <v>108755.86352941484</v>
      </c>
      <c r="AC104" s="174">
        <f t="shared" si="131"/>
        <v>49298.579421566261</v>
      </c>
      <c r="AD104" s="174">
        <f t="shared" si="131"/>
        <v>3237.6646288403372</v>
      </c>
      <c r="AE104" s="174"/>
      <c r="AF104" s="174">
        <f t="shared" si="106"/>
        <v>2635.7698008753505</v>
      </c>
      <c r="AG104" s="174">
        <f t="shared" si="121"/>
        <v>209681.19602783246</v>
      </c>
      <c r="AH104" s="174">
        <f t="shared" si="107"/>
        <v>264538.12734927959</v>
      </c>
      <c r="AI104" s="192">
        <f>AH104/'Collections and ACP'!E121</f>
        <v>0.4944968357536334</v>
      </c>
      <c r="AJ104" s="172"/>
      <c r="AK104" s="172"/>
      <c r="AL104" s="172">
        <f t="shared" si="112"/>
        <v>144927.66037872183</v>
      </c>
      <c r="AM104" s="172">
        <f t="shared" si="113"/>
        <v>119610.46697055771</v>
      </c>
      <c r="AN104" s="105">
        <f t="shared" si="114"/>
        <v>0.54785169091096064</v>
      </c>
      <c r="AO104" s="105">
        <f t="shared" si="115"/>
        <v>0.45214830908903936</v>
      </c>
    </row>
    <row r="105" spans="1:41" x14ac:dyDescent="0.35">
      <c r="A105" s="177" t="s">
        <v>34</v>
      </c>
      <c r="B105" s="178">
        <f>'ABP Under Contract'!B108</f>
        <v>7542</v>
      </c>
      <c r="C105" s="178">
        <f>'ABP Under Contract'!C108</f>
        <v>12868</v>
      </c>
      <c r="D105" s="178">
        <f>'ABP Under Contract'!D108</f>
        <v>0</v>
      </c>
      <c r="E105" s="178">
        <f>'ABP Under Contract'!E108</f>
        <v>0</v>
      </c>
      <c r="F105" s="178">
        <f>'ABP Under Contract'!F108</f>
        <v>0</v>
      </c>
      <c r="G105" s="178">
        <f>'ABP Under Contract'!G108</f>
        <v>0</v>
      </c>
      <c r="H105" s="174">
        <f t="shared" si="108"/>
        <v>20410</v>
      </c>
      <c r="I105" s="30"/>
      <c r="J105" s="30"/>
      <c r="K105" s="30"/>
      <c r="L105" s="178">
        <f t="shared" ref="L105:L112" si="132">L20*$B$86</f>
        <v>0</v>
      </c>
      <c r="M105" s="30"/>
      <c r="N105" s="178">
        <f t="shared" si="118"/>
        <v>6447.6034411428691</v>
      </c>
      <c r="O105" s="178">
        <f t="shared" si="118"/>
        <v>19671.165014508482</v>
      </c>
      <c r="P105" s="178">
        <f t="shared" si="118"/>
        <v>777.33623110733674</v>
      </c>
      <c r="Q105" s="178">
        <f t="shared" si="101"/>
        <v>302.54999528691383</v>
      </c>
      <c r="R105" s="174">
        <f t="shared" si="102"/>
        <v>27198.654682045602</v>
      </c>
      <c r="S105" s="174">
        <f t="shared" si="109"/>
        <v>41161.051240902736</v>
      </c>
      <c r="T105" s="174">
        <f t="shared" si="103"/>
        <v>6447.6034411428691</v>
      </c>
      <c r="U105" s="174">
        <f t="shared" si="104"/>
        <v>47608.654682045599</v>
      </c>
      <c r="V105" s="174">
        <f t="shared" ref="V105:AD105" si="133">$B$86*V20</f>
        <v>7794.5220965737371</v>
      </c>
      <c r="W105" s="174">
        <f t="shared" si="133"/>
        <v>8775.2190832737961</v>
      </c>
      <c r="X105" s="174">
        <f t="shared" si="133"/>
        <v>13575.030567481734</v>
      </c>
      <c r="Y105" s="174">
        <f t="shared" si="133"/>
        <v>8668.5928671994407</v>
      </c>
      <c r="Z105" s="174">
        <f t="shared" si="133"/>
        <v>2119.6705899863687</v>
      </c>
      <c r="AA105" s="174">
        <f t="shared" si="133"/>
        <v>6880.7792317849144</v>
      </c>
      <c r="AB105" s="174">
        <f t="shared" si="133"/>
        <v>106253.81130085148</v>
      </c>
      <c r="AC105" s="174">
        <f t="shared" si="133"/>
        <v>52805.164867303472</v>
      </c>
      <c r="AD105" s="174">
        <f t="shared" si="133"/>
        <v>3471.6815285524722</v>
      </c>
      <c r="AE105" s="174"/>
      <c r="AF105" s="174">
        <f t="shared" si="106"/>
        <v>2811.7223910539451</v>
      </c>
      <c r="AG105" s="174">
        <f t="shared" si="121"/>
        <v>213156.19452406137</v>
      </c>
      <c r="AH105" s="174">
        <f t="shared" si="107"/>
        <v>260764.84920610697</v>
      </c>
      <c r="AI105" s="192">
        <f>AH105/'Collections and ACP'!E122</f>
        <v>0.4871754486294701</v>
      </c>
      <c r="AJ105" s="172"/>
      <c r="AK105" s="172"/>
      <c r="AL105" s="172">
        <f t="shared" si="112"/>
        <v>148063.43446411262</v>
      </c>
      <c r="AM105" s="172">
        <f t="shared" si="113"/>
        <v>112701.41474199435</v>
      </c>
      <c r="AN105" s="105">
        <f t="shared" si="114"/>
        <v>0.5678044219337407</v>
      </c>
      <c r="AO105" s="105">
        <f t="shared" si="115"/>
        <v>0.4321955780662593</v>
      </c>
    </row>
    <row r="106" spans="1:41" x14ac:dyDescent="0.35">
      <c r="A106" s="177" t="s">
        <v>35</v>
      </c>
      <c r="B106" s="178">
        <f>'ABP Under Contract'!B109</f>
        <v>7252</v>
      </c>
      <c r="C106" s="178">
        <f>'ABP Under Contract'!C109</f>
        <v>12298</v>
      </c>
      <c r="D106" s="178">
        <f>'ABP Under Contract'!D109</f>
        <v>0</v>
      </c>
      <c r="E106" s="178">
        <f>'ABP Under Contract'!E109</f>
        <v>0</v>
      </c>
      <c r="F106" s="178">
        <f>'ABP Under Contract'!F109</f>
        <v>0</v>
      </c>
      <c r="G106" s="178">
        <f>'ABP Under Contract'!G109</f>
        <v>0</v>
      </c>
      <c r="H106" s="174">
        <f t="shared" si="108"/>
        <v>19550</v>
      </c>
      <c r="I106" s="30"/>
      <c r="J106" s="30"/>
      <c r="K106" s="30"/>
      <c r="L106" s="178">
        <f t="shared" si="132"/>
        <v>0</v>
      </c>
      <c r="M106" s="30"/>
      <c r="N106" s="178">
        <f t="shared" si="118"/>
        <v>6447.6034411428691</v>
      </c>
      <c r="O106" s="178">
        <f t="shared" si="118"/>
        <v>19572.809189435939</v>
      </c>
      <c r="P106" s="178">
        <f t="shared" si="118"/>
        <v>773.44954995180012</v>
      </c>
      <c r="Q106" s="178">
        <f t="shared" si="101"/>
        <v>301.03724531047925</v>
      </c>
      <c r="R106" s="174">
        <f t="shared" si="102"/>
        <v>27094.899425841089</v>
      </c>
      <c r="S106" s="174">
        <f t="shared" si="109"/>
        <v>40197.295984698219</v>
      </c>
      <c r="T106" s="174">
        <f t="shared" si="103"/>
        <v>6447.6034411428691</v>
      </c>
      <c r="U106" s="174">
        <f t="shared" si="104"/>
        <v>46644.899425841089</v>
      </c>
      <c r="V106" s="174">
        <f t="shared" ref="V106:AD106" si="134">$B$86*V21</f>
        <v>8161.1790243294436</v>
      </c>
      <c r="W106" s="174">
        <f t="shared" si="134"/>
        <v>9163.2037070960159</v>
      </c>
      <c r="X106" s="174">
        <f t="shared" si="134"/>
        <v>14248.660473826472</v>
      </c>
      <c r="Y106" s="174">
        <f t="shared" si="134"/>
        <v>8996.0024324545157</v>
      </c>
      <c r="Z106" s="174">
        <f t="shared" si="134"/>
        <v>2232.6564135667945</v>
      </c>
      <c r="AA106" s="174">
        <f t="shared" si="134"/>
        <v>7062.3056952452816</v>
      </c>
      <c r="AB106" s="174">
        <f t="shared" si="134"/>
        <v>111257.9157579782</v>
      </c>
      <c r="AC106" s="174">
        <f t="shared" si="134"/>
        <v>56294.217385811993</v>
      </c>
      <c r="AD106" s="174">
        <f t="shared" si="134"/>
        <v>3704.5283437660464</v>
      </c>
      <c r="AE106" s="174"/>
      <c r="AF106" s="174">
        <f t="shared" si="106"/>
        <v>2987.6749812325402</v>
      </c>
      <c r="AG106" s="174">
        <f t="shared" si="121"/>
        <v>224108.3442153073</v>
      </c>
      <c r="AH106" s="174">
        <f t="shared" si="107"/>
        <v>270753.24364114838</v>
      </c>
      <c r="AI106" s="192">
        <f>AH106/'Collections and ACP'!E123</f>
        <v>0.50558090456738547</v>
      </c>
      <c r="AJ106" s="172"/>
      <c r="AK106" s="172"/>
      <c r="AL106" s="172">
        <f t="shared" si="112"/>
        <v>153047.72444202731</v>
      </c>
      <c r="AM106" s="172">
        <f t="shared" si="113"/>
        <v>117705.51919912107</v>
      </c>
      <c r="AN106" s="105">
        <f t="shared" si="114"/>
        <v>0.56526644845989027</v>
      </c>
      <c r="AO106" s="105">
        <f t="shared" si="115"/>
        <v>0.43473355154010973</v>
      </c>
    </row>
    <row r="107" spans="1:41" x14ac:dyDescent="0.35">
      <c r="A107" s="177" t="s">
        <v>36</v>
      </c>
      <c r="B107" s="178">
        <f>'ABP Under Contract'!B110</f>
        <v>3448</v>
      </c>
      <c r="C107" s="178">
        <f>'ABP Under Contract'!C110</f>
        <v>6073</v>
      </c>
      <c r="D107" s="178">
        <f>'ABP Under Contract'!D110</f>
        <v>0</v>
      </c>
      <c r="E107" s="178">
        <f>'ABP Under Contract'!E110</f>
        <v>0</v>
      </c>
      <c r="F107" s="178">
        <f>'ABP Under Contract'!F110</f>
        <v>0</v>
      </c>
      <c r="G107" s="178">
        <f>'ABP Under Contract'!G110</f>
        <v>0</v>
      </c>
      <c r="H107" s="174">
        <f t="shared" si="108"/>
        <v>9521</v>
      </c>
      <c r="I107" s="30"/>
      <c r="J107" s="30"/>
      <c r="K107" s="30"/>
      <c r="L107" s="178">
        <f t="shared" si="132"/>
        <v>0</v>
      </c>
      <c r="M107" s="30"/>
      <c r="N107" s="178">
        <f t="shared" si="118"/>
        <v>6447.6034411428691</v>
      </c>
      <c r="O107" s="178">
        <f t="shared" si="118"/>
        <v>19474.94514348876</v>
      </c>
      <c r="P107" s="178">
        <f t="shared" si="118"/>
        <v>769.58230220204109</v>
      </c>
      <c r="Q107" s="178">
        <f t="shared" si="101"/>
        <v>299.53205908392687</v>
      </c>
      <c r="R107" s="174">
        <f t="shared" si="102"/>
        <v>26991.662945917597</v>
      </c>
      <c r="S107" s="174">
        <f t="shared" si="109"/>
        <v>30065.059504774727</v>
      </c>
      <c r="T107" s="174">
        <f t="shared" si="103"/>
        <v>6447.6034411428691</v>
      </c>
      <c r="U107" s="174">
        <f t="shared" si="104"/>
        <v>36512.662945917597</v>
      </c>
      <c r="V107" s="174">
        <f t="shared" ref="V107:AD107" si="135">$B$86*V22</f>
        <v>8526.0026674463697</v>
      </c>
      <c r="W107" s="174">
        <f t="shared" si="135"/>
        <v>9549.248407799123</v>
      </c>
      <c r="X107" s="174">
        <f t="shared" si="135"/>
        <v>14918.922230639486</v>
      </c>
      <c r="Y107" s="174">
        <f t="shared" si="135"/>
        <v>9321.7749498833182</v>
      </c>
      <c r="Z107" s="174">
        <f t="shared" si="135"/>
        <v>2345.0773080293188</v>
      </c>
      <c r="AA107" s="174">
        <f t="shared" si="135"/>
        <v>7242.9245263883504</v>
      </c>
      <c r="AB107" s="174">
        <f t="shared" si="135"/>
        <v>116262.02021510493</v>
      </c>
      <c r="AC107" s="174">
        <f t="shared" si="135"/>
        <v>59765.824641727988</v>
      </c>
      <c r="AD107" s="174">
        <f t="shared" si="135"/>
        <v>3936.210924903552</v>
      </c>
      <c r="AE107" s="174"/>
      <c r="AF107" s="174">
        <f t="shared" si="106"/>
        <v>3163.6275714111343</v>
      </c>
      <c r="AG107" s="174">
        <f t="shared" si="121"/>
        <v>235031.63344333356</v>
      </c>
      <c r="AH107" s="174">
        <f t="shared" si="107"/>
        <v>271544.29638925113</v>
      </c>
      <c r="AI107" s="192">
        <f>AH107/'Collections and ACP'!E124</f>
        <v>0.50682384299027994</v>
      </c>
      <c r="AJ107" s="172"/>
      <c r="AK107" s="172"/>
      <c r="AL107" s="172">
        <f t="shared" si="112"/>
        <v>148834.67273300336</v>
      </c>
      <c r="AM107" s="172">
        <f t="shared" si="113"/>
        <v>122709.6236562478</v>
      </c>
      <c r="AN107" s="105">
        <f t="shared" si="114"/>
        <v>0.54810458077032498</v>
      </c>
      <c r="AO107" s="105">
        <f t="shared" si="115"/>
        <v>0.45189541922967502</v>
      </c>
    </row>
    <row r="108" spans="1:41" x14ac:dyDescent="0.35">
      <c r="A108" s="177" t="s">
        <v>37</v>
      </c>
      <c r="B108" s="178">
        <f>'ABP Under Contract'!B111</f>
        <v>1176</v>
      </c>
      <c r="C108" s="178">
        <f>'ABP Under Contract'!C111</f>
        <v>2196</v>
      </c>
      <c r="D108" s="178">
        <f>'ABP Under Contract'!D111</f>
        <v>0</v>
      </c>
      <c r="E108" s="178">
        <f>'ABP Under Contract'!E111</f>
        <v>0</v>
      </c>
      <c r="F108" s="178">
        <f>'ABP Under Contract'!F111</f>
        <v>0</v>
      </c>
      <c r="G108" s="178">
        <f>'ABP Under Contract'!G111</f>
        <v>0</v>
      </c>
      <c r="H108" s="174">
        <f t="shared" si="108"/>
        <v>3372</v>
      </c>
      <c r="I108" s="30"/>
      <c r="J108" s="30"/>
      <c r="K108" s="30"/>
      <c r="L108" s="178">
        <f t="shared" si="132"/>
        <v>0</v>
      </c>
      <c r="M108" s="30"/>
      <c r="N108" s="178">
        <f t="shared" si="118"/>
        <v>6447.6034411428691</v>
      </c>
      <c r="O108" s="178">
        <f t="shared" si="118"/>
        <v>19377.570417771312</v>
      </c>
      <c r="P108" s="178">
        <f t="shared" si="118"/>
        <v>765.73439069103085</v>
      </c>
      <c r="Q108" s="178">
        <f t="shared" si="101"/>
        <v>298.03439878850725</v>
      </c>
      <c r="R108" s="174">
        <f t="shared" si="102"/>
        <v>26888.94264839372</v>
      </c>
      <c r="S108" s="174">
        <f t="shared" si="109"/>
        <v>23813.33920725085</v>
      </c>
      <c r="T108" s="174">
        <f t="shared" si="103"/>
        <v>6447.6034411428691</v>
      </c>
      <c r="U108" s="174">
        <f t="shared" si="104"/>
        <v>30260.94264839372</v>
      </c>
      <c r="V108" s="174">
        <f t="shared" ref="V108:AD108" si="136">$B$86*V23</f>
        <v>8889.0021923477143</v>
      </c>
      <c r="W108" s="174">
        <f t="shared" si="136"/>
        <v>9463.8346526007517</v>
      </c>
      <c r="X108" s="174">
        <f t="shared" si="136"/>
        <v>15585.832678668437</v>
      </c>
      <c r="Y108" s="174">
        <f t="shared" si="136"/>
        <v>7984.7051188788719</v>
      </c>
      <c r="Z108" s="174">
        <f t="shared" si="136"/>
        <v>2456.9360980195302</v>
      </c>
      <c r="AA108" s="174">
        <f t="shared" si="136"/>
        <v>7422.6402633757034</v>
      </c>
      <c r="AB108" s="174">
        <f t="shared" si="136"/>
        <v>121266.12467223166</v>
      </c>
      <c r="AC108" s="174">
        <f t="shared" si="136"/>
        <v>63220.073861364377</v>
      </c>
      <c r="AD108" s="174">
        <f t="shared" si="136"/>
        <v>4166.7350931353694</v>
      </c>
      <c r="AE108" s="174"/>
      <c r="AF108" s="174">
        <f t="shared" si="106"/>
        <v>3339.5801615897294</v>
      </c>
      <c r="AG108" s="174">
        <f t="shared" si="121"/>
        <v>243795.46479221215</v>
      </c>
      <c r="AH108" s="174">
        <f t="shared" si="107"/>
        <v>274056.40744060586</v>
      </c>
      <c r="AI108" s="192">
        <f>AH108/'Collections and ACP'!E125</f>
        <v>0.51129730145689578</v>
      </c>
      <c r="AJ108" s="172"/>
      <c r="AK108" s="172"/>
      <c r="AL108" s="172">
        <f t="shared" si="112"/>
        <v>146342.67932723134</v>
      </c>
      <c r="AM108" s="172">
        <f t="shared" si="113"/>
        <v>127713.72811337453</v>
      </c>
      <c r="AN108" s="105">
        <f t="shared" si="114"/>
        <v>0.53398743964396111</v>
      </c>
      <c r="AO108" s="105">
        <f t="shared" si="115"/>
        <v>0.46601256035603889</v>
      </c>
    </row>
    <row r="109" spans="1:41" x14ac:dyDescent="0.35">
      <c r="A109" s="177" t="s">
        <v>38</v>
      </c>
      <c r="B109" s="178">
        <f>'ABP Under Contract'!B112</f>
        <v>0</v>
      </c>
      <c r="C109" s="178">
        <f>'ABP Under Contract'!C112</f>
        <v>0</v>
      </c>
      <c r="D109" s="178">
        <f>'ABP Under Contract'!D112</f>
        <v>0</v>
      </c>
      <c r="E109" s="178">
        <f>'ABP Under Contract'!E112</f>
        <v>0</v>
      </c>
      <c r="F109" s="178">
        <f>'ABP Under Contract'!F112</f>
        <v>0</v>
      </c>
      <c r="G109" s="178">
        <f>'ABP Under Contract'!G112</f>
        <v>0</v>
      </c>
      <c r="H109" s="174">
        <f t="shared" si="108"/>
        <v>0</v>
      </c>
      <c r="I109" s="30"/>
      <c r="J109" s="30"/>
      <c r="K109" s="30"/>
      <c r="L109" s="178">
        <f t="shared" si="132"/>
        <v>0</v>
      </c>
      <c r="M109" s="30"/>
      <c r="N109" s="178">
        <f t="shared" si="118"/>
        <v>6447.6034411428691</v>
      </c>
      <c r="O109" s="178">
        <f t="shared" si="118"/>
        <v>19280.682565682455</v>
      </c>
      <c r="P109" s="178">
        <f t="shared" si="118"/>
        <v>761.90571873757574</v>
      </c>
      <c r="Q109" s="178">
        <f t="shared" si="101"/>
        <v>296.54422679456468</v>
      </c>
      <c r="R109" s="174">
        <f t="shared" si="102"/>
        <v>26786.735952357467</v>
      </c>
      <c r="S109" s="174">
        <f t="shared" si="109"/>
        <v>20339.132511214597</v>
      </c>
      <c r="T109" s="174">
        <f t="shared" si="103"/>
        <v>6447.6034411428691</v>
      </c>
      <c r="U109" s="174">
        <f t="shared" si="104"/>
        <v>26786.735952357467</v>
      </c>
      <c r="V109" s="174">
        <f t="shared" ref="V109:AD109" si="137">$B$86*V24</f>
        <v>8572.9378491133739</v>
      </c>
      <c r="W109" s="174">
        <f t="shared" si="137"/>
        <v>9127.3311149452365</v>
      </c>
      <c r="X109" s="174">
        <f t="shared" si="137"/>
        <v>16249.408574457242</v>
      </c>
      <c r="Y109" s="174">
        <f t="shared" si="137"/>
        <v>8315.5341228755497</v>
      </c>
      <c r="Z109" s="174">
        <f t="shared" si="137"/>
        <v>2568.2355940597909</v>
      </c>
      <c r="AA109" s="174">
        <f t="shared" si="137"/>
        <v>6800.2962176435622</v>
      </c>
      <c r="AB109" s="174">
        <f t="shared" si="137"/>
        <v>126270.22912935837</v>
      </c>
      <c r="AC109" s="174">
        <f t="shared" si="137"/>
        <v>66657.05183490261</v>
      </c>
      <c r="AD109" s="174">
        <f t="shared" si="137"/>
        <v>4396.106640526029</v>
      </c>
      <c r="AE109" s="174"/>
      <c r="AF109" s="174">
        <f t="shared" si="106"/>
        <v>3515.532751768324</v>
      </c>
      <c r="AG109" s="174">
        <f t="shared" si="121"/>
        <v>252472.66382965012</v>
      </c>
      <c r="AH109" s="174">
        <f t="shared" si="107"/>
        <v>279259.39978200756</v>
      </c>
      <c r="AI109" s="192">
        <f>AH109/'Collections and ACP'!E126</f>
        <v>0.52080544054872679</v>
      </c>
      <c r="AJ109" s="172"/>
      <c r="AK109" s="172"/>
      <c r="AL109" s="172">
        <f t="shared" si="112"/>
        <v>146541.56721150631</v>
      </c>
      <c r="AM109" s="172">
        <f t="shared" si="113"/>
        <v>132717.83257050122</v>
      </c>
      <c r="AN109" s="105">
        <f t="shared" si="114"/>
        <v>0.52475070606718344</v>
      </c>
      <c r="AO109" s="105">
        <f t="shared" si="115"/>
        <v>0.47524929393281656</v>
      </c>
    </row>
    <row r="110" spans="1:41" x14ac:dyDescent="0.35">
      <c r="A110" s="177" t="s">
        <v>39</v>
      </c>
      <c r="B110" s="178">
        <f>'ABP Under Contract'!B113</f>
        <v>0</v>
      </c>
      <c r="C110" s="178">
        <f>'ABP Under Contract'!C113</f>
        <v>0</v>
      </c>
      <c r="D110" s="178">
        <f>'ABP Under Contract'!D113</f>
        <v>0</v>
      </c>
      <c r="E110" s="178">
        <f>'ABP Under Contract'!E113</f>
        <v>0</v>
      </c>
      <c r="F110" s="178">
        <f>'ABP Under Contract'!F113</f>
        <v>0</v>
      </c>
      <c r="G110" s="178">
        <f>'ABP Under Contract'!G113</f>
        <v>0</v>
      </c>
      <c r="H110" s="174">
        <f t="shared" si="108"/>
        <v>0</v>
      </c>
      <c r="I110" s="30"/>
      <c r="J110" s="30"/>
      <c r="K110" s="30"/>
      <c r="L110" s="178">
        <f t="shared" si="132"/>
        <v>0</v>
      </c>
      <c r="M110" s="30"/>
      <c r="N110" s="178">
        <f t="shared" si="118"/>
        <v>6447.6034411428691</v>
      </c>
      <c r="O110" s="178">
        <f t="shared" si="118"/>
        <v>19184.279152854044</v>
      </c>
      <c r="P110" s="178">
        <f t="shared" si="118"/>
        <v>758.09619014388772</v>
      </c>
      <c r="Q110" s="178">
        <f t="shared" si="101"/>
        <v>295.06150566059182</v>
      </c>
      <c r="R110" s="174">
        <f t="shared" si="102"/>
        <v>26685.040289801396</v>
      </c>
      <c r="S110" s="174">
        <f t="shared" si="109"/>
        <v>20237.436848658526</v>
      </c>
      <c r="T110" s="174">
        <f t="shared" si="103"/>
        <v>6447.6034411428691</v>
      </c>
      <c r="U110" s="174">
        <f t="shared" si="104"/>
        <v>26685.040289801396</v>
      </c>
      <c r="V110" s="174">
        <f t="shared" ref="V110:AD110" si="138">$B$86*V25</f>
        <v>8258.4538275952036</v>
      </c>
      <c r="W110" s="174">
        <f t="shared" si="138"/>
        <v>8792.5100949779953</v>
      </c>
      <c r="X110" s="174">
        <f t="shared" si="138"/>
        <v>16909.666590767101</v>
      </c>
      <c r="Y110" s="174">
        <f t="shared" si="138"/>
        <v>8644.7089818522472</v>
      </c>
      <c r="Z110" s="174">
        <f t="shared" si="138"/>
        <v>2495.5660371214076</v>
      </c>
      <c r="AA110" s="174">
        <f t="shared" si="138"/>
        <v>6181.0638921400805</v>
      </c>
      <c r="AB110" s="174">
        <f t="shared" si="138"/>
        <v>138780.49027217517</v>
      </c>
      <c r="AC110" s="174">
        <f t="shared" si="138"/>
        <v>70076.84491857313</v>
      </c>
      <c r="AD110" s="174">
        <f t="shared" si="138"/>
        <v>4624.3313301797352</v>
      </c>
      <c r="AE110" s="174"/>
      <c r="AF110" s="174">
        <f t="shared" si="106"/>
        <v>3691.4853419469187</v>
      </c>
      <c r="AG110" s="174">
        <f t="shared" si="121"/>
        <v>268455.12128732901</v>
      </c>
      <c r="AH110" s="174">
        <f t="shared" si="107"/>
        <v>295140.16157713038</v>
      </c>
      <c r="AI110" s="192">
        <f>AH110/'Collections and ACP'!E127</f>
        <v>0.55023347149362711</v>
      </c>
      <c r="AJ110" s="172"/>
      <c r="AK110" s="172"/>
      <c r="AL110" s="172">
        <f t="shared" si="112"/>
        <v>149912.06786381238</v>
      </c>
      <c r="AM110" s="172">
        <f t="shared" si="113"/>
        <v>145228.09371331803</v>
      </c>
      <c r="AN110" s="105">
        <f t="shared" si="114"/>
        <v>0.50793516904894398</v>
      </c>
      <c r="AO110" s="105">
        <f t="shared" si="115"/>
        <v>0.49206483095105602</v>
      </c>
    </row>
    <row r="111" spans="1:41" x14ac:dyDescent="0.35">
      <c r="A111" s="177" t="s">
        <v>40</v>
      </c>
      <c r="B111" s="178">
        <f>'ABP Under Contract'!B114</f>
        <v>0</v>
      </c>
      <c r="C111" s="178">
        <f>'ABP Under Contract'!C114</f>
        <v>0</v>
      </c>
      <c r="D111" s="178">
        <f>'ABP Under Contract'!D114</f>
        <v>0</v>
      </c>
      <c r="E111" s="178">
        <f>'ABP Under Contract'!E114</f>
        <v>0</v>
      </c>
      <c r="F111" s="178">
        <f>'ABP Under Contract'!F114</f>
        <v>0</v>
      </c>
      <c r="G111" s="178">
        <f>'ABP Under Contract'!G114</f>
        <v>0</v>
      </c>
      <c r="H111" s="174">
        <f t="shared" si="108"/>
        <v>0</v>
      </c>
      <c r="I111" s="30"/>
      <c r="J111" s="30"/>
      <c r="K111" s="30"/>
      <c r="L111" s="178">
        <f t="shared" si="132"/>
        <v>0</v>
      </c>
      <c r="M111" s="30"/>
      <c r="N111" s="178">
        <f t="shared" si="118"/>
        <v>6447.6034411428691</v>
      </c>
      <c r="O111" s="178">
        <f t="shared" si="118"/>
        <v>19088.357757089772</v>
      </c>
      <c r="P111" s="178">
        <f t="shared" si="118"/>
        <v>754.30570919316847</v>
      </c>
      <c r="Q111" s="178">
        <f t="shared" si="101"/>
        <v>293.58619813228887</v>
      </c>
      <c r="R111" s="174">
        <f t="shared" si="102"/>
        <v>26583.853105558101</v>
      </c>
      <c r="S111" s="174">
        <f t="shared" si="109"/>
        <v>20136.249664415231</v>
      </c>
      <c r="T111" s="174">
        <f t="shared" si="103"/>
        <v>6447.6034411428691</v>
      </c>
      <c r="U111" s="174">
        <f t="shared" si="104"/>
        <v>26583.853105558101</v>
      </c>
      <c r="V111" s="174">
        <f t="shared" ref="V111:AD111" si="139">$B$86*V26</f>
        <v>7539.9126879460518</v>
      </c>
      <c r="W111" s="174">
        <f t="shared" si="139"/>
        <v>8027.5024608720032</v>
      </c>
      <c r="X111" s="174">
        <f t="shared" si="139"/>
        <v>17566.623316995414</v>
      </c>
      <c r="Y111" s="174">
        <f t="shared" si="139"/>
        <v>8601.485436942985</v>
      </c>
      <c r="Z111" s="174">
        <f t="shared" si="139"/>
        <v>2423.2598279677159</v>
      </c>
      <c r="AA111" s="174">
        <f t="shared" si="139"/>
        <v>5348.9973686448247</v>
      </c>
      <c r="AB111" s="174">
        <f t="shared" si="139"/>
        <v>136278.43804361182</v>
      </c>
      <c r="AC111" s="174">
        <f t="shared" si="139"/>
        <v>73479.539036825299</v>
      </c>
      <c r="AD111" s="174">
        <f t="shared" si="139"/>
        <v>4851.4148963851731</v>
      </c>
      <c r="AE111" s="174"/>
      <c r="AF111" s="174">
        <f t="shared" si="106"/>
        <v>3867.4379321255137</v>
      </c>
      <c r="AG111" s="174">
        <f t="shared" si="121"/>
        <v>267984.6110083168</v>
      </c>
      <c r="AH111" s="174">
        <f t="shared" si="107"/>
        <v>294568.46411387488</v>
      </c>
      <c r="AI111" s="192"/>
      <c r="AJ111" s="172"/>
      <c r="AK111" s="172"/>
      <c r="AL111" s="172">
        <f t="shared" si="112"/>
        <v>151842.42262912021</v>
      </c>
      <c r="AM111" s="172">
        <f t="shared" si="113"/>
        <v>142726.04148475468</v>
      </c>
      <c r="AN111" s="105">
        <f t="shared" si="114"/>
        <v>0.51547412954029137</v>
      </c>
      <c r="AO111" s="105">
        <f t="shared" si="115"/>
        <v>0.48452587045970863</v>
      </c>
    </row>
    <row r="112" spans="1:41" x14ac:dyDescent="0.35">
      <c r="A112" s="190" t="s">
        <v>163</v>
      </c>
      <c r="L112" s="178">
        <f t="shared" si="132"/>
        <v>0</v>
      </c>
      <c r="N112" s="178">
        <f t="shared" si="118"/>
        <v>6447.6034411428691</v>
      </c>
      <c r="O112" s="178">
        <f t="shared" si="118"/>
        <v>19036.381992037863</v>
      </c>
      <c r="P112" s="178">
        <f t="shared" si="118"/>
        <v>751.86884971754364</v>
      </c>
      <c r="S112" s="174">
        <f t="shared" si="109"/>
        <v>19788.250841755405</v>
      </c>
      <c r="T112" s="174">
        <f t="shared" si="103"/>
        <v>6447.6034411428691</v>
      </c>
      <c r="U112" s="174">
        <f t="shared" si="104"/>
        <v>0</v>
      </c>
      <c r="AG112" s="174">
        <f t="shared" ref="AG112" si="140">SUM(V112:AF112)</f>
        <v>0</v>
      </c>
      <c r="AH112" s="174">
        <f t="shared" ref="AH112" si="141">H112+R112+AG112</f>
        <v>0</v>
      </c>
      <c r="AI112" s="192"/>
      <c r="AL112" s="172">
        <f t="shared" si="112"/>
        <v>19788.250841755405</v>
      </c>
      <c r="AM112" s="172">
        <f t="shared" si="113"/>
        <v>6447.6034411428691</v>
      </c>
      <c r="AN112" s="105">
        <f t="shared" si="114"/>
        <v>0.7542445779878526</v>
      </c>
      <c r="AO112" s="105">
        <f t="shared" si="115"/>
        <v>0.2457554220121474</v>
      </c>
    </row>
    <row r="114" spans="8:13" x14ac:dyDescent="0.35">
      <c r="H114" s="172"/>
    </row>
    <row r="115" spans="8:13" x14ac:dyDescent="0.35">
      <c r="H115" s="172"/>
    </row>
    <row r="116" spans="8:13" x14ac:dyDescent="0.35">
      <c r="H116" s="172"/>
    </row>
    <row r="117" spans="8:13" x14ac:dyDescent="0.35">
      <c r="H117" s="172"/>
    </row>
    <row r="118" spans="8:13" x14ac:dyDescent="0.35">
      <c r="H118" s="172"/>
    </row>
    <row r="119" spans="8:13" x14ac:dyDescent="0.35">
      <c r="H119" s="172"/>
      <c r="L119" s="172"/>
      <c r="M119" s="172"/>
    </row>
    <row r="120" spans="8:13" x14ac:dyDescent="0.35">
      <c r="H120" s="172"/>
      <c r="L120" s="172"/>
      <c r="M120" s="172"/>
    </row>
    <row r="121" spans="8:13" x14ac:dyDescent="0.35">
      <c r="H121" s="172"/>
    </row>
    <row r="122" spans="8:13" x14ac:dyDescent="0.35">
      <c r="H122" s="172"/>
    </row>
    <row r="123" spans="8:13" x14ac:dyDescent="0.35">
      <c r="H123" s="172"/>
    </row>
    <row r="124" spans="8:13" x14ac:dyDescent="0.35">
      <c r="H124" s="172"/>
    </row>
    <row r="125" spans="8:13" x14ac:dyDescent="0.35">
      <c r="H125" s="172"/>
      <c r="M125" s="172"/>
    </row>
    <row r="126" spans="8:13" x14ac:dyDescent="0.35">
      <c r="H126" s="172"/>
      <c r="M126" s="172"/>
    </row>
    <row r="127" spans="8:13" x14ac:dyDescent="0.35">
      <c r="H127" s="172"/>
    </row>
    <row r="128" spans="8:13" x14ac:dyDescent="0.35">
      <c r="H128" s="172"/>
    </row>
    <row r="129" spans="8:8" x14ac:dyDescent="0.35">
      <c r="H129" s="172"/>
    </row>
    <row r="130" spans="8:8" x14ac:dyDescent="0.35">
      <c r="H130" s="172"/>
    </row>
    <row r="131" spans="8:8" x14ac:dyDescent="0.35">
      <c r="H131" s="172"/>
    </row>
    <row r="132" spans="8:8" x14ac:dyDescent="0.35">
      <c r="H132" s="172"/>
    </row>
    <row r="133" spans="8:8" x14ac:dyDescent="0.35">
      <c r="H133" s="172"/>
    </row>
    <row r="134" spans="8:8" x14ac:dyDescent="0.35">
      <c r="H134" s="172"/>
    </row>
    <row r="135" spans="8:8" x14ac:dyDescent="0.35">
      <c r="H135" s="172"/>
    </row>
    <row r="136" spans="8:8" x14ac:dyDescent="0.35">
      <c r="H136" s="172"/>
    </row>
    <row r="137" spans="8:8" x14ac:dyDescent="0.35">
      <c r="H137" s="172"/>
    </row>
    <row r="138" spans="8:8" x14ac:dyDescent="0.35">
      <c r="H138" s="172"/>
    </row>
    <row r="139" spans="8:8" x14ac:dyDescent="0.35">
      <c r="H139" s="172"/>
    </row>
    <row r="140" spans="8:8" x14ac:dyDescent="0.35">
      <c r="H140" s="172"/>
    </row>
    <row r="141" spans="8:8" x14ac:dyDescent="0.35">
      <c r="H141" s="172"/>
    </row>
    <row r="142" spans="8:8" x14ac:dyDescent="0.35">
      <c r="H142" s="172"/>
    </row>
    <row r="143" spans="8:8" x14ac:dyDescent="0.35">
      <c r="H143" s="172"/>
    </row>
    <row r="144" spans="8:8" x14ac:dyDescent="0.35">
      <c r="H144" s="172"/>
    </row>
    <row r="145" spans="8:8" x14ac:dyDescent="0.35">
      <c r="H145" s="172"/>
    </row>
    <row r="146" spans="8:8" x14ac:dyDescent="0.35">
      <c r="H146" s="172"/>
    </row>
  </sheetData>
  <mergeCells count="1">
    <mergeCell ref="AJ2:AK2"/>
  </mergeCells>
  <printOptions horizontalCentered="1" verticalCentered="1"/>
  <pageMargins left="0.7" right="0.7" top="0.75" bottom="0.75" header="0.3" footer="0.3"/>
  <pageSetup scale="17" orientation="landscape" r:id="rId1"/>
  <headerFooter>
    <oddHeader>&amp;A</oddHeader>
  </headerFooter>
  <rowBreaks count="1" manualBreakCount="1">
    <brk id="56" max="16383" man="1"/>
  </rowBreaks>
  <customProperties>
    <customPr name="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39381-FECD-4B00-8747-C237FDC59982}">
  <sheetPr>
    <pageSetUpPr fitToPage="1"/>
  </sheetPr>
  <dimension ref="A1:AH108"/>
  <sheetViews>
    <sheetView topLeftCell="A71" zoomScale="90" zoomScaleNormal="90" workbookViewId="0">
      <pane xSplit="1" topLeftCell="U1" activePane="topRight" state="frozen"/>
      <selection activeCell="L3" sqref="L3"/>
      <selection pane="topRight" activeCell="W12" sqref="W12"/>
    </sheetView>
  </sheetViews>
  <sheetFormatPr defaultRowHeight="14.5" x14ac:dyDescent="0.35"/>
  <cols>
    <col min="1" max="1" width="17.453125" bestFit="1" customWidth="1"/>
    <col min="2" max="2" width="21.1796875" bestFit="1" customWidth="1"/>
    <col min="3" max="3" width="16.81640625" bestFit="1" customWidth="1"/>
    <col min="4" max="4" width="17.453125" bestFit="1" customWidth="1"/>
    <col min="5" max="7" width="16.453125" customWidth="1"/>
    <col min="8" max="8" width="16.1796875" bestFit="1" customWidth="1"/>
    <col min="9" max="9" width="14.453125" customWidth="1"/>
    <col min="10" max="10" width="17" bestFit="1" customWidth="1"/>
    <col min="11" max="11" width="17.453125" customWidth="1"/>
    <col min="12" max="12" width="17.54296875" customWidth="1"/>
    <col min="13" max="13" width="16.1796875" bestFit="1" customWidth="1"/>
    <col min="14" max="14" width="16.54296875" bestFit="1" customWidth="1"/>
    <col min="15" max="15" width="16.1796875" bestFit="1" customWidth="1"/>
    <col min="16" max="16" width="17.453125" bestFit="1" customWidth="1"/>
    <col min="17" max="17" width="17.54296875" bestFit="1" customWidth="1"/>
    <col min="18" max="18" width="24.1796875" bestFit="1" customWidth="1"/>
    <col min="19" max="19" width="24.453125" customWidth="1"/>
    <col min="20" max="20" width="15.453125" customWidth="1"/>
    <col min="21" max="21" width="16" customWidth="1"/>
    <col min="22" max="22" width="18.54296875" customWidth="1"/>
    <col min="23" max="23" width="18.81640625" customWidth="1"/>
    <col min="24" max="24" width="17.453125" bestFit="1" customWidth="1"/>
    <col min="25" max="25" width="17.1796875" customWidth="1"/>
    <col min="26" max="26" width="19" customWidth="1"/>
    <col min="27" max="27" width="28" customWidth="1"/>
    <col min="28" max="28" width="17.453125" bestFit="1" customWidth="1"/>
    <col min="29" max="29" width="20.81640625" bestFit="1" customWidth="1"/>
    <col min="30" max="30" width="17.453125" bestFit="1" customWidth="1"/>
    <col min="31" max="31" width="18.81640625" bestFit="1" customWidth="1"/>
    <col min="32" max="32" width="22.453125" bestFit="1" customWidth="1"/>
    <col min="33" max="34" width="18.81640625" bestFit="1" customWidth="1"/>
    <col min="35" max="36" width="11.54296875" bestFit="1" customWidth="1"/>
  </cols>
  <sheetData>
    <row r="1" spans="1:34" x14ac:dyDescent="0.35">
      <c r="A1" s="1" t="s">
        <v>0</v>
      </c>
      <c r="B1" t="s">
        <v>186</v>
      </c>
      <c r="Q1" s="191" t="s">
        <v>91</v>
      </c>
      <c r="R1" s="191"/>
      <c r="S1" s="191"/>
      <c r="T1" s="191"/>
      <c r="U1" s="191"/>
      <c r="V1" s="191"/>
      <c r="W1" s="191"/>
      <c r="X1" s="191"/>
      <c r="Y1" s="191"/>
      <c r="Z1" s="191"/>
    </row>
    <row r="2" spans="1:34" x14ac:dyDescent="0.35">
      <c r="A2" s="1"/>
      <c r="Q2" s="191"/>
      <c r="R2" s="191"/>
      <c r="S2" s="191"/>
      <c r="T2" s="191"/>
      <c r="U2" s="191"/>
      <c r="V2" s="191"/>
      <c r="W2" s="191"/>
      <c r="X2" s="191"/>
      <c r="Y2" s="191"/>
      <c r="Z2" s="191"/>
    </row>
    <row r="3" spans="1:34" ht="43.5" x14ac:dyDescent="0.35">
      <c r="A3" s="173" t="s">
        <v>1</v>
      </c>
      <c r="B3" s="173" t="s">
        <v>187</v>
      </c>
      <c r="C3" s="173" t="s">
        <v>188</v>
      </c>
      <c r="D3" s="173" t="s">
        <v>214</v>
      </c>
      <c r="E3" s="173" t="s">
        <v>149</v>
      </c>
      <c r="F3" s="173" t="s">
        <v>215</v>
      </c>
      <c r="G3" s="173" t="s">
        <v>216</v>
      </c>
      <c r="H3" s="173" t="s">
        <v>340</v>
      </c>
      <c r="I3" s="15" t="s">
        <v>218</v>
      </c>
      <c r="J3" s="15" t="s">
        <v>219</v>
      </c>
      <c r="K3" s="15" t="s">
        <v>220</v>
      </c>
      <c r="L3" s="15" t="s">
        <v>221</v>
      </c>
      <c r="M3" s="173" t="s">
        <v>222</v>
      </c>
      <c r="N3" s="173" t="s">
        <v>223</v>
      </c>
      <c r="O3" s="173" t="s">
        <v>203</v>
      </c>
      <c r="P3" s="15" t="s">
        <v>201</v>
      </c>
      <c r="Q3" s="198" t="s">
        <v>187</v>
      </c>
      <c r="R3" s="198" t="s">
        <v>188</v>
      </c>
      <c r="S3" s="198" t="s">
        <v>144</v>
      </c>
      <c r="T3" s="198" t="s">
        <v>149</v>
      </c>
      <c r="U3" s="198" t="s">
        <v>153</v>
      </c>
      <c r="V3" s="198" t="s">
        <v>156</v>
      </c>
      <c r="W3" s="198" t="s">
        <v>86</v>
      </c>
      <c r="X3" s="198" t="s">
        <v>87</v>
      </c>
      <c r="Y3" s="198" t="s">
        <v>82</v>
      </c>
      <c r="Z3" s="198" t="s">
        <v>224</v>
      </c>
      <c r="AA3" s="15" t="s">
        <v>225</v>
      </c>
      <c r="AB3" s="15" t="s">
        <v>226</v>
      </c>
      <c r="AC3" s="15" t="s">
        <v>227</v>
      </c>
      <c r="AD3" s="173" t="s">
        <v>170</v>
      </c>
      <c r="AE3" s="173" t="s">
        <v>228</v>
      </c>
      <c r="AF3" s="15" t="s">
        <v>337</v>
      </c>
      <c r="AG3" s="173" t="s">
        <v>229</v>
      </c>
      <c r="AH3" s="173" t="s">
        <v>230</v>
      </c>
    </row>
    <row r="4" spans="1:34" x14ac:dyDescent="0.35">
      <c r="A4" s="174" t="s">
        <v>17</v>
      </c>
      <c r="B4" s="16">
        <f>'ABP Under Contract'!K4</f>
        <v>137956495.56000051</v>
      </c>
      <c r="C4" s="16">
        <f>'ABP Under Contract'!L4</f>
        <v>48621594.347999923</v>
      </c>
      <c r="D4" s="16">
        <f>'ABP Under Contract'!M4</f>
        <v>29989057.578000002</v>
      </c>
      <c r="E4" s="16"/>
      <c r="F4" s="16"/>
      <c r="G4" s="16"/>
      <c r="H4" s="16">
        <v>30848359.600711424</v>
      </c>
      <c r="I4" s="16">
        <f>I31+I58+I85</f>
        <v>5397290.4699999997</v>
      </c>
      <c r="J4" s="16"/>
      <c r="K4" s="16"/>
      <c r="L4" s="16"/>
      <c r="M4" s="16">
        <f>AB4*0.03</f>
        <v>6757080.0219020871</v>
      </c>
      <c r="N4" s="16"/>
      <c r="O4" s="16">
        <v>11261800.036503479</v>
      </c>
      <c r="P4" s="16">
        <f>SUM(B4:O4)</f>
        <v>270831677.61511743</v>
      </c>
      <c r="Q4" s="252"/>
      <c r="R4" s="252"/>
      <c r="S4" s="252"/>
      <c r="T4" s="252"/>
      <c r="U4" s="252"/>
      <c r="V4" s="197"/>
      <c r="W4" s="197"/>
      <c r="X4" s="197"/>
      <c r="Y4" s="197"/>
      <c r="Z4" s="196">
        <f>SUM(Q4:Y4)</f>
        <v>0</v>
      </c>
      <c r="AA4" s="194">
        <f>AA31+AA58+AA85</f>
        <v>293790554.98094952</v>
      </c>
      <c r="AB4" s="194">
        <f>'Collections and ACP'!K7</f>
        <v>225236000.73006958</v>
      </c>
      <c r="AC4" s="194">
        <f>AA4+AB4</f>
        <v>519026555.7110191</v>
      </c>
      <c r="AD4" s="194">
        <f>P4+Z4</f>
        <v>270831677.61511743</v>
      </c>
      <c r="AE4" s="207">
        <f>AC4-AD4</f>
        <v>248194878.09590167</v>
      </c>
      <c r="AF4" s="206">
        <v>248134425.58190209</v>
      </c>
      <c r="AG4" s="208">
        <f>AE4-AF4</f>
        <v>60452.513999581337</v>
      </c>
      <c r="AH4" s="182"/>
    </row>
    <row r="5" spans="1:34" x14ac:dyDescent="0.35">
      <c r="A5" s="174" t="s">
        <v>18</v>
      </c>
      <c r="B5" s="16">
        <f>'ABP Under Contract'!K5</f>
        <v>61976246.74999997</v>
      </c>
      <c r="C5" s="16">
        <f>'ABP Under Contract'!L5</f>
        <v>60698120.017999992</v>
      </c>
      <c r="D5" s="16">
        <f>'ABP Under Contract'!M5</f>
        <v>84192311.930000037</v>
      </c>
      <c r="E5" s="16"/>
      <c r="F5" s="16"/>
      <c r="G5" s="16"/>
      <c r="H5" s="16">
        <v>24142255.383493654</v>
      </c>
      <c r="I5" s="16">
        <f t="shared" ref="I5:I27" si="0">I32+I59+I86</f>
        <v>19260591.157020841</v>
      </c>
      <c r="J5" s="16"/>
      <c r="K5" s="16"/>
      <c r="L5" s="16"/>
      <c r="M5" s="16">
        <f t="shared" ref="M5:M27" si="1">AB5*0.03</f>
        <v>13942135.092404015</v>
      </c>
      <c r="N5" s="16">
        <v>10000000</v>
      </c>
      <c r="O5" s="16">
        <v>50000000</v>
      </c>
      <c r="P5" s="16">
        <f t="shared" ref="P5:P27" si="2">SUM(B5:O5)</f>
        <v>324211660.33091855</v>
      </c>
      <c r="Q5" s="252"/>
      <c r="R5" s="252"/>
      <c r="S5" s="252"/>
      <c r="T5" s="252"/>
      <c r="U5" s="252"/>
      <c r="V5" s="197"/>
      <c r="W5" s="196"/>
      <c r="X5" s="197"/>
      <c r="Y5" s="197"/>
      <c r="Z5" s="196">
        <f t="shared" ref="Z5:Z8" si="3">SUM(Q5:Y5)</f>
        <v>0</v>
      </c>
      <c r="AA5" s="194">
        <f t="shared" ref="AA5:AA26" si="4">AE4</f>
        <v>248194878.09590167</v>
      </c>
      <c r="AB5" s="194">
        <f>'Collections and ACP'!K8</f>
        <v>464737836.41346717</v>
      </c>
      <c r="AC5" s="194">
        <f t="shared" ref="AC5:AC26" si="5">AA5+AB5</f>
        <v>712932714.5093689</v>
      </c>
      <c r="AD5" s="194">
        <f t="shared" ref="AD5:AD26" si="6">P5+Z5</f>
        <v>324211660.33091855</v>
      </c>
      <c r="AE5" s="207">
        <f t="shared" ref="AE5:AE26" si="7">AC5-AD5</f>
        <v>388721054.17845035</v>
      </c>
      <c r="AF5" s="206">
        <v>388579085.36245072</v>
      </c>
      <c r="AG5" s="208">
        <f t="shared" ref="AG5:AG27" si="8">AE5-AF5</f>
        <v>141968.81599962711</v>
      </c>
      <c r="AH5" s="182"/>
    </row>
    <row r="6" spans="1:34" x14ac:dyDescent="0.35">
      <c r="A6" s="174" t="s">
        <v>19</v>
      </c>
      <c r="B6" s="16">
        <f>'ABP Under Contract'!K6</f>
        <v>88771585.7099998</v>
      </c>
      <c r="C6" s="16">
        <f>'ABP Under Contract'!L6</f>
        <v>65368120.833999932</v>
      </c>
      <c r="D6" s="16">
        <f>'ABP Under Contract'!M6</f>
        <v>102137171.86600004</v>
      </c>
      <c r="E6" s="16"/>
      <c r="F6" s="16"/>
      <c r="G6" s="16"/>
      <c r="H6" s="16">
        <v>22062344.595163539</v>
      </c>
      <c r="I6" s="16">
        <f t="shared" si="0"/>
        <v>22975411.212579787</v>
      </c>
      <c r="J6" s="16"/>
      <c r="K6" s="16"/>
      <c r="L6" s="16"/>
      <c r="M6" s="16">
        <f t="shared" si="1"/>
        <v>17623889.800951708</v>
      </c>
      <c r="N6" s="16"/>
      <c r="O6" s="16">
        <v>50000000</v>
      </c>
      <c r="P6" s="16">
        <f t="shared" si="2"/>
        <v>368938524.01869482</v>
      </c>
      <c r="Q6" s="252"/>
      <c r="R6" s="252"/>
      <c r="S6" s="252"/>
      <c r="T6" s="252"/>
      <c r="U6" s="252"/>
      <c r="V6" s="197"/>
      <c r="W6" s="251" cm="1">
        <f t="array" ref="W6:W27">TRANSPOSE('Indexed REC Spend'!C80:X80)</f>
        <v>0</v>
      </c>
      <c r="X6" s="251" cm="1">
        <f t="array" ref="X6:X27">TRANSPOSE('Indexed REC Spend'!C81:X81)</f>
        <v>0</v>
      </c>
      <c r="Y6" s="251" cm="1">
        <f t="array" ref="Y6:Y27">TRANSPOSE('Indexed REC Spend'!C82:X82)</f>
        <v>0</v>
      </c>
      <c r="Z6" s="196">
        <f t="shared" si="3"/>
        <v>0</v>
      </c>
      <c r="AA6" s="194">
        <f t="shared" si="4"/>
        <v>388721054.17845035</v>
      </c>
      <c r="AB6" s="194">
        <f>'Collections and ACP'!K9</f>
        <v>587462993.36505699</v>
      </c>
      <c r="AC6" s="194">
        <f t="shared" si="5"/>
        <v>976184047.54350734</v>
      </c>
      <c r="AD6" s="194">
        <f t="shared" si="6"/>
        <v>368938524.01869482</v>
      </c>
      <c r="AE6" s="207">
        <f t="shared" si="7"/>
        <v>607245523.52481246</v>
      </c>
      <c r="AF6" s="206">
        <v>608816031.11881268</v>
      </c>
      <c r="AG6" s="208">
        <f t="shared" si="8"/>
        <v>-1570507.5940002203</v>
      </c>
      <c r="AH6" s="182"/>
    </row>
    <row r="7" spans="1:34" x14ac:dyDescent="0.35">
      <c r="A7" s="174" t="s">
        <v>20</v>
      </c>
      <c r="B7" s="16">
        <f>'ABP Under Contract'!K7</f>
        <v>270236541.53999889</v>
      </c>
      <c r="C7" s="16">
        <f>'ABP Under Contract'!L7</f>
        <v>83969753.633833319</v>
      </c>
      <c r="D7" s="16">
        <f>'ABP Under Contract'!M7</f>
        <v>118165987.32000004</v>
      </c>
      <c r="E7" s="16"/>
      <c r="F7" s="16"/>
      <c r="G7" s="16"/>
      <c r="H7" s="16">
        <v>17721007.415898785</v>
      </c>
      <c r="I7" s="16">
        <f t="shared" si="0"/>
        <v>22594914.147020839</v>
      </c>
      <c r="J7" s="16"/>
      <c r="K7" s="16"/>
      <c r="L7" s="16"/>
      <c r="M7" s="16">
        <f t="shared" si="1"/>
        <v>17322647.088471591</v>
      </c>
      <c r="N7" s="16"/>
      <c r="O7" s="16">
        <v>50000000</v>
      </c>
      <c r="P7" s="16">
        <f t="shared" si="2"/>
        <v>580010851.14522338</v>
      </c>
      <c r="Q7" s="252"/>
      <c r="R7" s="252"/>
      <c r="S7" s="252"/>
      <c r="T7" s="252"/>
      <c r="U7" s="252"/>
      <c r="V7" s="197"/>
      <c r="W7" s="252">
        <v>0</v>
      </c>
      <c r="X7" s="252">
        <v>0</v>
      </c>
      <c r="Y7" s="196">
        <v>0</v>
      </c>
      <c r="Z7" s="196">
        <f t="shared" si="3"/>
        <v>0</v>
      </c>
      <c r="AA7" s="194">
        <f t="shared" si="4"/>
        <v>607245523.52481246</v>
      </c>
      <c r="AB7" s="194">
        <f>'Collections and ACP'!K10</f>
        <v>577421569.61571968</v>
      </c>
      <c r="AC7" s="194">
        <f t="shared" si="5"/>
        <v>1184667093.140532</v>
      </c>
      <c r="AD7" s="194">
        <f t="shared" si="6"/>
        <v>580010851.14522338</v>
      </c>
      <c r="AE7" s="207">
        <f t="shared" si="7"/>
        <v>604656241.99530864</v>
      </c>
      <c r="AF7" s="206">
        <v>614495633.40314114</v>
      </c>
      <c r="AG7" s="208">
        <f t="shared" si="8"/>
        <v>-9839391.4078325033</v>
      </c>
      <c r="AH7" s="182"/>
    </row>
    <row r="8" spans="1:34" x14ac:dyDescent="0.35">
      <c r="A8" s="174" t="s">
        <v>22</v>
      </c>
      <c r="B8" s="16">
        <f>'ABP Under Contract'!K8</f>
        <v>94007113.820000261</v>
      </c>
      <c r="C8" s="16">
        <f>'ABP Under Contract'!L8</f>
        <v>94999026.155583248</v>
      </c>
      <c r="D8" s="16">
        <f>'ABP Under Contract'!M8</f>
        <v>139115552.29199991</v>
      </c>
      <c r="E8" s="16">
        <f>'ABP Under Contract'!N8</f>
        <v>109935.3</v>
      </c>
      <c r="F8" s="16">
        <f>'ABP Under Contract'!O8</f>
        <v>877546.85699999996</v>
      </c>
      <c r="G8" s="16"/>
      <c r="H8" s="16">
        <v>17421541.685608782</v>
      </c>
      <c r="I8" s="16">
        <f t="shared" si="0"/>
        <v>22594914.147020839</v>
      </c>
      <c r="J8" s="16" cm="1">
        <f t="array" ref="J8:L26">TRANSPOSE('Indexed REC Spend'!F74:X76)</f>
        <v>3376103.3730158722</v>
      </c>
      <c r="K8" s="16">
        <v>32476195.839196421</v>
      </c>
      <c r="L8" s="16">
        <v>2756889.4830357139</v>
      </c>
      <c r="M8" s="16">
        <f t="shared" si="1"/>
        <v>17208829.557390258</v>
      </c>
      <c r="N8" s="16">
        <v>10000000</v>
      </c>
      <c r="O8" s="16">
        <v>50000000</v>
      </c>
      <c r="P8" s="16">
        <f t="shared" si="2"/>
        <v>484943648.50985134</v>
      </c>
      <c r="Q8" s="252" cm="1">
        <f t="array" ref="Q8:V26">TRANSPOSE('Projected ABP Spend'!C165:U170)</f>
        <v>160339848.81633624</v>
      </c>
      <c r="R8" s="252">
        <v>23006805.750932097</v>
      </c>
      <c r="S8" s="252">
        <v>0</v>
      </c>
      <c r="T8" s="252">
        <v>22749618.675816096</v>
      </c>
      <c r="U8" s="252">
        <v>0</v>
      </c>
      <c r="V8" s="252">
        <v>18601341.705302659</v>
      </c>
      <c r="W8" s="252">
        <v>0</v>
      </c>
      <c r="X8" s="252">
        <v>0</v>
      </c>
      <c r="Y8" s="196">
        <v>0</v>
      </c>
      <c r="Z8" s="196">
        <f t="shared" si="3"/>
        <v>224697614.94838709</v>
      </c>
      <c r="AA8" s="194">
        <f t="shared" si="4"/>
        <v>604656241.99530864</v>
      </c>
      <c r="AB8" s="194">
        <f>'Collections and ACP'!K11</f>
        <v>573627651.91300857</v>
      </c>
      <c r="AC8" s="194">
        <f t="shared" si="5"/>
        <v>1178283893.9083171</v>
      </c>
      <c r="AD8" s="194">
        <f t="shared" si="6"/>
        <v>709641263.45823836</v>
      </c>
      <c r="AE8" s="207">
        <f t="shared" si="7"/>
        <v>468642630.45007873</v>
      </c>
      <c r="AF8" s="206">
        <v>573025601.04308116</v>
      </c>
      <c r="AG8" s="208">
        <f t="shared" si="8"/>
        <v>-104382970.59300244</v>
      </c>
      <c r="AH8" s="182"/>
    </row>
    <row r="9" spans="1:34" x14ac:dyDescent="0.35">
      <c r="A9" s="174" t="s">
        <v>23</v>
      </c>
      <c r="B9" s="16"/>
      <c r="C9" s="16">
        <f>'ABP Under Contract'!L9</f>
        <v>63395973.737916648</v>
      </c>
      <c r="D9" s="16">
        <f>'ABP Under Contract'!M9</f>
        <v>144714670.35200015</v>
      </c>
      <c r="E9" s="16">
        <f>'ABP Under Contract'!N9</f>
        <v>1166222.4800000002</v>
      </c>
      <c r="F9" s="16">
        <f>'ABP Under Contract'!O9</f>
        <v>22622640.368333336</v>
      </c>
      <c r="G9" s="16"/>
      <c r="H9" s="16">
        <v>11401431.694168944</v>
      </c>
      <c r="I9" s="16">
        <f t="shared" si="0"/>
        <v>22594914.147020839</v>
      </c>
      <c r="J9" s="16">
        <v>1695757.1428571462</v>
      </c>
      <c r="K9" s="16">
        <v>79151042.051132172</v>
      </c>
      <c r="L9" s="16">
        <v>7635066.2111785719</v>
      </c>
      <c r="M9" s="16">
        <f t="shared" si="1"/>
        <v>16997493.39059734</v>
      </c>
      <c r="N9" s="16"/>
      <c r="O9" s="16">
        <v>50000000</v>
      </c>
      <c r="P9" s="16">
        <f t="shared" si="2"/>
        <v>421375211.57520515</v>
      </c>
      <c r="Q9" s="252">
        <v>153926254.86368278</v>
      </c>
      <c r="R9" s="252">
        <v>38148297.89904847</v>
      </c>
      <c r="S9" s="252">
        <v>13809309.912177913</v>
      </c>
      <c r="T9" s="252">
        <v>30893631.121763173</v>
      </c>
      <c r="U9" s="252">
        <v>5636343.3831327278</v>
      </c>
      <c r="V9" s="252">
        <v>35425221.8698764</v>
      </c>
      <c r="W9" s="252">
        <v>0</v>
      </c>
      <c r="X9" s="252">
        <v>2756889.4830357139</v>
      </c>
      <c r="Y9" s="196">
        <v>0</v>
      </c>
      <c r="Z9" s="196">
        <f>SUM(Q9:Y9)</f>
        <v>280595948.53271723</v>
      </c>
      <c r="AA9" s="194">
        <f>AE8</f>
        <v>468642630.45007873</v>
      </c>
      <c r="AB9" s="194">
        <f>'Collections and ACP'!K12</f>
        <v>566583113.01991129</v>
      </c>
      <c r="AC9" s="194">
        <f t="shared" si="5"/>
        <v>1035225743.46999</v>
      </c>
      <c r="AD9" s="194">
        <f t="shared" si="6"/>
        <v>701971160.10792232</v>
      </c>
      <c r="AE9" s="207">
        <f t="shared" si="7"/>
        <v>333254583.3620677</v>
      </c>
      <c r="AF9" s="206">
        <v>553811234.50097823</v>
      </c>
      <c r="AG9" s="208">
        <f t="shared" si="8"/>
        <v>-220556651.13891053</v>
      </c>
      <c r="AH9" s="182"/>
    </row>
    <row r="10" spans="1:34" x14ac:dyDescent="0.35">
      <c r="A10" s="174" t="s">
        <v>24</v>
      </c>
      <c r="B10" s="16"/>
      <c r="C10" s="16">
        <f>'ABP Under Contract'!L10</f>
        <v>51089650.638666779</v>
      </c>
      <c r="D10" s="16">
        <f>'ABP Under Contract'!M10</f>
        <v>90162527.079999939</v>
      </c>
      <c r="E10" s="16">
        <f>'ABP Under Contract'!N10</f>
        <v>1160314.54</v>
      </c>
      <c r="F10" s="16">
        <f>'ABP Under Contract'!O10</f>
        <v>21411871.139749996</v>
      </c>
      <c r="G10" s="16"/>
      <c r="H10" s="16">
        <v>8215431.7104763286</v>
      </c>
      <c r="I10" s="16">
        <f t="shared" si="0"/>
        <v>22594914.147020839</v>
      </c>
      <c r="J10" s="16">
        <v>18087854.17025793</v>
      </c>
      <c r="K10" s="16">
        <v>74616362.311534852</v>
      </c>
      <c r="L10" s="16">
        <v>7433334.9345493894</v>
      </c>
      <c r="M10" s="16">
        <f t="shared" si="1"/>
        <v>16888811.399599317</v>
      </c>
      <c r="N10" s="16"/>
      <c r="O10" s="16">
        <v>50000000</v>
      </c>
      <c r="P10" s="16">
        <f t="shared" si="2"/>
        <v>361661072.07185537</v>
      </c>
      <c r="Q10" s="252">
        <v>147769204.66913545</v>
      </c>
      <c r="R10" s="252">
        <v>52684130.361240178</v>
      </c>
      <c r="S10" s="252">
        <v>26997200.878307819</v>
      </c>
      <c r="T10" s="252">
        <v>38666613.083907463</v>
      </c>
      <c r="U10" s="252">
        <v>10734102.842988327</v>
      </c>
      <c r="V10" s="252">
        <v>51576146.827867195</v>
      </c>
      <c r="W10" s="252">
        <v>0</v>
      </c>
      <c r="X10" s="252">
        <v>2532767.1483214283</v>
      </c>
      <c r="Y10" s="196">
        <v>0</v>
      </c>
      <c r="Z10" s="196">
        <f t="shared" ref="Z10:Z27" si="9">SUM(Q10:Y10)</f>
        <v>330960165.81176788</v>
      </c>
      <c r="AA10" s="194">
        <f t="shared" si="4"/>
        <v>333254583.3620677</v>
      </c>
      <c r="AB10" s="194">
        <f>'Collections and ACP'!K13</f>
        <v>562960379.98664391</v>
      </c>
      <c r="AC10" s="194">
        <f t="shared" si="5"/>
        <v>896214963.34871161</v>
      </c>
      <c r="AD10" s="194">
        <f t="shared" si="6"/>
        <v>692621237.88362324</v>
      </c>
      <c r="AE10" s="207">
        <f t="shared" si="7"/>
        <v>203593725.46508837</v>
      </c>
      <c r="AF10" s="206">
        <v>444379869.69813943</v>
      </c>
      <c r="AG10" s="208">
        <f t="shared" si="8"/>
        <v>-240786144.23305106</v>
      </c>
      <c r="AH10" s="182"/>
    </row>
    <row r="11" spans="1:34" x14ac:dyDescent="0.35">
      <c r="A11" s="174" t="s">
        <v>25</v>
      </c>
      <c r="B11" s="16"/>
      <c r="C11" s="16">
        <f>'ABP Under Contract'!L11</f>
        <v>46490991.142666735</v>
      </c>
      <c r="D11" s="16">
        <f>'ABP Under Contract'!M11</f>
        <v>71870271.364000008</v>
      </c>
      <c r="E11" s="16">
        <f>'ABP Under Contract'!N11</f>
        <v>1154560.27</v>
      </c>
      <c r="F11" s="16">
        <f>'ABP Under Contract'!O11</f>
        <v>21411871.139749996</v>
      </c>
      <c r="G11" s="16"/>
      <c r="H11" s="16">
        <v>4480482.7749063233</v>
      </c>
      <c r="I11" s="16">
        <f t="shared" si="0"/>
        <v>22594914.147020839</v>
      </c>
      <c r="J11" s="16">
        <v>16493777.4612599</v>
      </c>
      <c r="K11" s="16">
        <v>69180881.944688633</v>
      </c>
      <c r="L11" s="16">
        <v>7196119.8229676532</v>
      </c>
      <c r="M11" s="16">
        <f t="shared" si="1"/>
        <v>16862404.659270328</v>
      </c>
      <c r="N11" s="16">
        <v>10000000</v>
      </c>
      <c r="O11" s="16">
        <v>50000000</v>
      </c>
      <c r="P11" s="16">
        <f t="shared" si="2"/>
        <v>337736274.72653043</v>
      </c>
      <c r="Q11" s="252">
        <v>141858436.48237002</v>
      </c>
      <c r="R11" s="252">
        <v>66638529.524944223</v>
      </c>
      <c r="S11" s="252">
        <v>39588874.888979442</v>
      </c>
      <c r="T11" s="252">
        <v>46083632.131530911</v>
      </c>
      <c r="U11" s="252">
        <v>15627951.924449705</v>
      </c>
      <c r="V11" s="252">
        <v>67081034.78753835</v>
      </c>
      <c r="W11" s="252">
        <v>16705206.082777787</v>
      </c>
      <c r="X11" s="252">
        <v>2462441.1185541516</v>
      </c>
      <c r="Y11" s="196">
        <v>0</v>
      </c>
      <c r="Z11" s="196">
        <f t="shared" si="9"/>
        <v>396046106.94114459</v>
      </c>
      <c r="AA11" s="194">
        <f t="shared" si="4"/>
        <v>203593725.46508837</v>
      </c>
      <c r="AB11" s="194">
        <f>'Collections and ACP'!K14</f>
        <v>562080155.30901098</v>
      </c>
      <c r="AC11" s="194">
        <f t="shared" si="5"/>
        <v>765673880.77409935</v>
      </c>
      <c r="AD11" s="194">
        <f t="shared" si="6"/>
        <v>733782381.66767502</v>
      </c>
      <c r="AE11" s="207">
        <f t="shared" si="7"/>
        <v>31891499.106424332</v>
      </c>
      <c r="AF11" s="206">
        <v>189781776.41871262</v>
      </c>
      <c r="AG11" s="208">
        <f t="shared" si="8"/>
        <v>-157890277.31228828</v>
      </c>
      <c r="AH11" s="182"/>
    </row>
    <row r="12" spans="1:34" x14ac:dyDescent="0.35">
      <c r="A12" s="174" t="s">
        <v>26</v>
      </c>
      <c r="B12" s="16"/>
      <c r="C12" s="16">
        <f>'ABP Under Contract'!L12</f>
        <v>30932342.366666663</v>
      </c>
      <c r="D12" s="16">
        <f>'ABP Under Contract'!M12</f>
        <v>68767463.870000049</v>
      </c>
      <c r="E12" s="16">
        <f>'ABP Under Contract'!N12</f>
        <v>1148755.96</v>
      </c>
      <c r="F12" s="16">
        <f>'ABP Under Contract'!O12</f>
        <v>21411871.139749996</v>
      </c>
      <c r="G12" s="16"/>
      <c r="H12" s="16">
        <v>4478132.259204451</v>
      </c>
      <c r="I12" s="16">
        <f t="shared" si="0"/>
        <v>22594914.147020839</v>
      </c>
      <c r="J12" s="16">
        <v>16234205.85271823</v>
      </c>
      <c r="K12" s="16">
        <v>68014763.141257182</v>
      </c>
      <c r="L12" s="16">
        <v>7127727.1951277889</v>
      </c>
      <c r="M12" s="16">
        <f t="shared" si="1"/>
        <v>16906426.967615873</v>
      </c>
      <c r="N12" s="16"/>
      <c r="O12" s="16">
        <v>50000000</v>
      </c>
      <c r="P12" s="16">
        <f t="shared" si="2"/>
        <v>307616602.89936101</v>
      </c>
      <c r="Q12" s="252">
        <v>136184099.02307522</v>
      </c>
      <c r="R12" s="252">
        <v>80034752.722100109</v>
      </c>
      <c r="S12" s="252">
        <v>51608524.12899518</v>
      </c>
      <c r="T12" s="252">
        <v>53159151.999394521</v>
      </c>
      <c r="U12" s="252">
        <v>20326047.042652629</v>
      </c>
      <c r="V12" s="252">
        <v>81965727.228822663</v>
      </c>
      <c r="W12" s="252">
        <v>12600343.975753866</v>
      </c>
      <c r="X12" s="252">
        <v>19288782.717041977</v>
      </c>
      <c r="Y12" s="196">
        <v>0</v>
      </c>
      <c r="Z12" s="196">
        <f t="shared" si="9"/>
        <v>455167428.83783609</v>
      </c>
      <c r="AA12" s="194">
        <f t="shared" si="4"/>
        <v>31891499.106424332</v>
      </c>
      <c r="AB12" s="194">
        <f>'Collections and ACP'!K15</f>
        <v>563547565.58719575</v>
      </c>
      <c r="AC12" s="194">
        <f t="shared" si="5"/>
        <v>595439064.69362009</v>
      </c>
      <c r="AD12" s="194">
        <f t="shared" si="6"/>
        <v>762784031.73719716</v>
      </c>
      <c r="AE12" s="207">
        <f t="shared" si="7"/>
        <v>-167344967.04357708</v>
      </c>
      <c r="AF12" s="206">
        <v>-135408384.30818617</v>
      </c>
      <c r="AG12" s="208">
        <f t="shared" si="8"/>
        <v>-31936582.735390902</v>
      </c>
      <c r="AH12" s="182"/>
    </row>
    <row r="13" spans="1:34" x14ac:dyDescent="0.35">
      <c r="A13" s="174" t="s">
        <v>27</v>
      </c>
      <c r="B13" s="16"/>
      <c r="C13" s="16">
        <f>'ABP Under Contract'!L13</f>
        <v>29738177.633333337</v>
      </c>
      <c r="D13" s="16">
        <f>'ABP Under Contract'!M13</f>
        <v>68423328.99000001</v>
      </c>
      <c r="E13" s="16">
        <f>'ABP Under Contract'!N13</f>
        <v>1143074.9099999999</v>
      </c>
      <c r="F13" s="16">
        <f>'ABP Under Contract'!O13</f>
        <v>21411871.139749996</v>
      </c>
      <c r="G13" s="16"/>
      <c r="H13" s="16">
        <v>4338008.6485485407</v>
      </c>
      <c r="I13" s="16">
        <f t="shared" si="0"/>
        <v>22594914.147020839</v>
      </c>
      <c r="J13" s="16">
        <v>12545060.184503956</v>
      </c>
      <c r="K13" s="16">
        <v>56075728.473929733</v>
      </c>
      <c r="L13" s="16">
        <v>6633737.8459884524</v>
      </c>
      <c r="M13" s="16">
        <f t="shared" si="1"/>
        <v>16920397.12592769</v>
      </c>
      <c r="N13" s="16"/>
      <c r="O13" s="16">
        <v>50000000</v>
      </c>
      <c r="P13" s="16">
        <f t="shared" si="2"/>
        <v>289824299.09900254</v>
      </c>
      <c r="Q13" s="252">
        <v>130736735.06215221</v>
      </c>
      <c r="R13" s="252">
        <v>92895126.991369739</v>
      </c>
      <c r="S13" s="252">
        <v>63079371.378232419</v>
      </c>
      <c r="T13" s="252">
        <v>59907056.746777967</v>
      </c>
      <c r="U13" s="252">
        <v>24836218.35612743</v>
      </c>
      <c r="V13" s="252">
        <v>96255031.972455591</v>
      </c>
      <c r="W13" s="252">
        <v>13944264.879285568</v>
      </c>
      <c r="X13" s="252">
        <v>35487229.319763638</v>
      </c>
      <c r="Y13" s="196">
        <v>3531012.9960317449</v>
      </c>
      <c r="Z13" s="196">
        <f t="shared" si="9"/>
        <v>520672047.70219636</v>
      </c>
      <c r="AA13" s="194">
        <f t="shared" si="4"/>
        <v>-167344967.04357708</v>
      </c>
      <c r="AB13" s="194">
        <f>'Collections and ACP'!K16</f>
        <v>564013237.53092301</v>
      </c>
      <c r="AC13" s="194">
        <f t="shared" si="5"/>
        <v>396668270.48734593</v>
      </c>
      <c r="AD13" s="194">
        <f t="shared" si="6"/>
        <v>810496346.80119896</v>
      </c>
      <c r="AE13" s="207">
        <f t="shared" si="7"/>
        <v>-413828076.31385303</v>
      </c>
      <c r="AF13" s="206">
        <v>-493812848.75269318</v>
      </c>
      <c r="AG13" s="208">
        <f t="shared" si="8"/>
        <v>79984772.438840151</v>
      </c>
      <c r="AH13" s="182"/>
    </row>
    <row r="14" spans="1:34" x14ac:dyDescent="0.35">
      <c r="A14" s="174" t="s">
        <v>28</v>
      </c>
      <c r="B14" s="16"/>
      <c r="C14" s="16">
        <f>'ABP Under Contract'!L14</f>
        <v>26860505.06008333</v>
      </c>
      <c r="D14" s="16">
        <f>'ABP Under Contract'!M14</f>
        <v>68081480.439999998</v>
      </c>
      <c r="E14" s="16">
        <f>'ABP Under Contract'!N14</f>
        <v>1137345.06</v>
      </c>
      <c r="F14" s="16">
        <f>'ABP Under Contract'!O14</f>
        <v>21411871.139749996</v>
      </c>
      <c r="G14" s="16"/>
      <c r="H14" s="16">
        <v>4303453.6786395097</v>
      </c>
      <c r="I14" s="16">
        <f t="shared" si="0"/>
        <v>22594914.147020839</v>
      </c>
      <c r="J14" s="16">
        <v>14018509.658075409</v>
      </c>
      <c r="K14" s="16">
        <v>60404826.354406185</v>
      </c>
      <c r="L14" s="16">
        <v>6782719.6854640655</v>
      </c>
      <c r="M14" s="16">
        <f t="shared" si="1"/>
        <v>17023386.929470729</v>
      </c>
      <c r="N14" s="16">
        <v>10000000</v>
      </c>
      <c r="O14" s="16">
        <v>50000000</v>
      </c>
      <c r="P14" s="16">
        <f t="shared" si="2"/>
        <v>302619012.15291005</v>
      </c>
      <c r="Q14" s="252">
        <v>125507265.65966612</v>
      </c>
      <c r="R14" s="252">
        <v>98975488.073708892</v>
      </c>
      <c r="S14" s="252">
        <v>74023708.796428174</v>
      </c>
      <c r="T14" s="252">
        <v>66340673.950129271</v>
      </c>
      <c r="U14" s="252">
        <v>29165982.817063238</v>
      </c>
      <c r="V14" s="252">
        <v>109972764.52634323</v>
      </c>
      <c r="W14" s="252">
        <v>-22273884.080873087</v>
      </c>
      <c r="X14" s="252">
        <v>38935044.813563831</v>
      </c>
      <c r="Y14" s="196">
        <v>6558841.3645833321</v>
      </c>
      <c r="Z14" s="196">
        <f t="shared" si="9"/>
        <v>527205885.92061293</v>
      </c>
      <c r="AA14" s="194">
        <f t="shared" si="4"/>
        <v>-413828076.31385303</v>
      </c>
      <c r="AB14" s="194">
        <f>'Collections and ACP'!K17</f>
        <v>567446230.98235762</v>
      </c>
      <c r="AC14" s="194">
        <f t="shared" si="5"/>
        <v>153618154.6685046</v>
      </c>
      <c r="AD14" s="194">
        <f t="shared" si="6"/>
        <v>829824898.07352304</v>
      </c>
      <c r="AE14" s="207">
        <f t="shared" si="7"/>
        <v>-676206743.40501845</v>
      </c>
      <c r="AF14" s="206">
        <v>-840962286.75132906</v>
      </c>
      <c r="AG14" s="208">
        <f t="shared" si="8"/>
        <v>164755543.34631062</v>
      </c>
      <c r="AH14" s="182"/>
    </row>
    <row r="15" spans="1:34" x14ac:dyDescent="0.35">
      <c r="A15" s="174" t="s">
        <v>29</v>
      </c>
      <c r="B15" s="16"/>
      <c r="C15" s="16"/>
      <c r="D15" s="16">
        <f>'ABP Under Contract'!M15</f>
        <v>67740992.879999995</v>
      </c>
      <c r="E15" s="16">
        <f>'ABP Under Contract'!N15</f>
        <v>1131628.02</v>
      </c>
      <c r="F15" s="16"/>
      <c r="G15" s="16"/>
      <c r="H15" s="16">
        <v>4261079.6921323007</v>
      </c>
      <c r="I15" s="16">
        <f t="shared" si="0"/>
        <v>22594914.147020839</v>
      </c>
      <c r="J15" s="16">
        <v>18056205.01958333</v>
      </c>
      <c r="K15" s="16">
        <v>72670999.50225465</v>
      </c>
      <c r="L15" s="16">
        <v>7245457.6629829593</v>
      </c>
      <c r="M15" s="16">
        <f t="shared" si="1"/>
        <v>17120451.256649822</v>
      </c>
      <c r="N15" s="16"/>
      <c r="O15" s="16">
        <v>50000000</v>
      </c>
      <c r="P15" s="16">
        <f t="shared" si="2"/>
        <v>260821728.18062389</v>
      </c>
      <c r="Q15" s="252">
        <v>120486975.03327948</v>
      </c>
      <c r="R15" s="252">
        <v>95016468.550760567</v>
      </c>
      <c r="S15" s="252">
        <v>84462935.156529486</v>
      </c>
      <c r="T15" s="252">
        <v>72472796.9679804</v>
      </c>
      <c r="U15" s="252">
        <v>33322556.699561618</v>
      </c>
      <c r="V15" s="252">
        <v>105573853.94528948</v>
      </c>
      <c r="W15" s="252">
        <v>-7764621.7167458031</v>
      </c>
      <c r="X15" s="252">
        <v>53251055.909329727</v>
      </c>
      <c r="Y15" s="196">
        <v>10103842.030310024</v>
      </c>
      <c r="Z15" s="196">
        <f t="shared" si="9"/>
        <v>566925862.57629502</v>
      </c>
      <c r="AA15" s="194">
        <f t="shared" si="4"/>
        <v>-676206743.40501845</v>
      </c>
      <c r="AB15" s="194">
        <f>'Collections and ACP'!K18</f>
        <v>570681708.55499411</v>
      </c>
      <c r="AC15" s="194">
        <f t="shared" si="5"/>
        <v>-105525034.85002434</v>
      </c>
      <c r="AD15" s="194">
        <f t="shared" si="6"/>
        <v>827747590.75691891</v>
      </c>
      <c r="AE15" s="207">
        <f t="shared" si="7"/>
        <v>-933272625.60694325</v>
      </c>
      <c r="AF15" s="206">
        <v>-1187245032.4731317</v>
      </c>
      <c r="AG15" s="208">
        <f t="shared" si="8"/>
        <v>253972406.86618841</v>
      </c>
      <c r="AH15" s="182"/>
    </row>
    <row r="16" spans="1:34" x14ac:dyDescent="0.35">
      <c r="A16" s="174" t="s">
        <v>30</v>
      </c>
      <c r="B16" s="16"/>
      <c r="C16" s="16"/>
      <c r="D16" s="16">
        <f>'ABP Under Contract'!M16</f>
        <v>67402026.459999993</v>
      </c>
      <c r="E16" s="16">
        <f>'ABP Under Contract'!N16</f>
        <v>1125963.74</v>
      </c>
      <c r="F16" s="16"/>
      <c r="G16" s="16"/>
      <c r="H16" s="16"/>
      <c r="I16" s="16">
        <f t="shared" si="0"/>
        <v>22594914.147020839</v>
      </c>
      <c r="J16" s="16">
        <v>18935619.364196423</v>
      </c>
      <c r="K16" s="16">
        <v>75031324.407293096</v>
      </c>
      <c r="L16" s="16">
        <v>7316860.759987331</v>
      </c>
      <c r="M16" s="16">
        <f t="shared" si="1"/>
        <v>17234402.603198845</v>
      </c>
      <c r="N16" s="16"/>
      <c r="O16" s="16">
        <v>50000000</v>
      </c>
      <c r="P16" s="16">
        <f t="shared" si="2"/>
        <v>259641111.48169655</v>
      </c>
      <c r="Q16" s="252">
        <v>115667496.0319483</v>
      </c>
      <c r="R16" s="252">
        <v>91215809.80873014</v>
      </c>
      <c r="S16" s="252">
        <v>94417591.588666946</v>
      </c>
      <c r="T16" s="252">
        <v>78315706.315238222</v>
      </c>
      <c r="U16" s="252">
        <v>31989654.43157915</v>
      </c>
      <c r="V16" s="252">
        <v>101350899.7874779</v>
      </c>
      <c r="W16" s="252">
        <v>49744802.015000023</v>
      </c>
      <c r="X16" s="252">
        <v>82654806.116128355</v>
      </c>
      <c r="Y16" s="196">
        <v>14495670.018807029</v>
      </c>
      <c r="Z16" s="196">
        <f t="shared" si="9"/>
        <v>659852436.11357605</v>
      </c>
      <c r="AA16" s="194">
        <f t="shared" si="4"/>
        <v>-933272625.60694325</v>
      </c>
      <c r="AB16" s="194">
        <f>'Collections and ACP'!K19</f>
        <v>574480086.77329481</v>
      </c>
      <c r="AC16" s="194">
        <f t="shared" si="5"/>
        <v>-358792538.83364844</v>
      </c>
      <c r="AD16" s="194">
        <f t="shared" si="6"/>
        <v>919493547.59527254</v>
      </c>
      <c r="AE16" s="207">
        <f t="shared" si="7"/>
        <v>-1278286086.428921</v>
      </c>
      <c r="AF16" s="206">
        <v>-1523079228.2956247</v>
      </c>
      <c r="AG16" s="208">
        <f t="shared" si="8"/>
        <v>244793141.86670375</v>
      </c>
      <c r="AH16" s="182"/>
    </row>
    <row r="17" spans="1:34" x14ac:dyDescent="0.35">
      <c r="A17" s="174" t="s">
        <v>31</v>
      </c>
      <c r="B17" s="16"/>
      <c r="C17" s="16"/>
      <c r="D17" s="16">
        <f>'ABP Under Contract'!M17</f>
        <v>67064831.43</v>
      </c>
      <c r="E17" s="16">
        <f>'ABP Under Contract'!N17</f>
        <v>1120460.8399999996</v>
      </c>
      <c r="F17" s="16"/>
      <c r="G17" s="16"/>
      <c r="H17" s="16"/>
      <c r="I17" s="16">
        <f t="shared" si="0"/>
        <v>20941094.263402294</v>
      </c>
      <c r="J17" s="16">
        <v>17452672.588948417</v>
      </c>
      <c r="K17" s="16">
        <v>70086220.761683121</v>
      </c>
      <c r="L17" s="16">
        <v>7099687.9962235447</v>
      </c>
      <c r="M17" s="16">
        <f t="shared" si="1"/>
        <v>17289396.046359867</v>
      </c>
      <c r="N17" s="16"/>
      <c r="O17" s="16">
        <v>50000000</v>
      </c>
      <c r="P17" s="16">
        <f t="shared" si="2"/>
        <v>251054363.92661723</v>
      </c>
      <c r="Q17" s="252">
        <v>55520398.095335178</v>
      </c>
      <c r="R17" s="252">
        <v>81770249.741889507</v>
      </c>
      <c r="S17" s="252">
        <v>103907395.8943269</v>
      </c>
      <c r="T17" s="252">
        <v>80902658.983068943</v>
      </c>
      <c r="U17" s="252">
        <v>30710068.25431598</v>
      </c>
      <c r="V17" s="252">
        <v>90855833.046543881</v>
      </c>
      <c r="W17" s="252">
        <v>60861885.430357113</v>
      </c>
      <c r="X17" s="252">
        <v>96520716.635539547</v>
      </c>
      <c r="Y17" s="196">
        <v>16834262.825235397</v>
      </c>
      <c r="Z17" s="196">
        <f t="shared" si="9"/>
        <v>617883468.9066124</v>
      </c>
      <c r="AA17" s="194">
        <f t="shared" si="4"/>
        <v>-1278286086.428921</v>
      </c>
      <c r="AB17" s="194">
        <f>'Collections and ACP'!K20</f>
        <v>576313201.54532886</v>
      </c>
      <c r="AC17" s="194">
        <f t="shared" si="5"/>
        <v>-701972884.88359213</v>
      </c>
      <c r="AD17" s="194">
        <f t="shared" si="6"/>
        <v>868937832.83322966</v>
      </c>
      <c r="AE17" s="207">
        <f t="shared" si="7"/>
        <v>-1570910717.7168217</v>
      </c>
      <c r="AF17" s="206">
        <v>-1752446581.7462397</v>
      </c>
      <c r="AG17" s="208">
        <f t="shared" si="8"/>
        <v>181535864.02941799</v>
      </c>
      <c r="AH17" s="182"/>
    </row>
    <row r="18" spans="1:34" x14ac:dyDescent="0.35">
      <c r="A18" s="174" t="s">
        <v>32</v>
      </c>
      <c r="B18" s="16"/>
      <c r="C18" s="16"/>
      <c r="D18" s="16">
        <f>'ABP Under Contract'!M18</f>
        <v>66729338.150000006</v>
      </c>
      <c r="E18" s="16">
        <f>'ABP Under Contract'!N18</f>
        <v>1114743.8</v>
      </c>
      <c r="F18" s="16"/>
      <c r="G18" s="16"/>
      <c r="H18" s="16"/>
      <c r="I18" s="16">
        <f t="shared" si="0"/>
        <v>20941094.263402294</v>
      </c>
      <c r="J18" s="16">
        <v>14329658.133730154</v>
      </c>
      <c r="K18" s="16">
        <v>60159821.863106176</v>
      </c>
      <c r="L18" s="16">
        <v>6685780.5139055625</v>
      </c>
      <c r="M18" s="16">
        <f t="shared" si="1"/>
        <v>17378693.799014561</v>
      </c>
      <c r="N18" s="16"/>
      <c r="O18" s="16">
        <v>50000000</v>
      </c>
      <c r="P18" s="16">
        <f t="shared" si="2"/>
        <v>237339130.52315876</v>
      </c>
      <c r="Q18" s="252">
        <v>53299582.171521768</v>
      </c>
      <c r="R18" s="252">
        <v>73024563.615194261</v>
      </c>
      <c r="S18" s="252">
        <v>108169567.20138487</v>
      </c>
      <c r="T18" s="252">
        <v>83357535.639584213</v>
      </c>
      <c r="U18" s="252">
        <v>27529985.82166345</v>
      </c>
      <c r="V18" s="252">
        <v>81138404.016882509</v>
      </c>
      <c r="W18" s="252">
        <v>42063373.406746179</v>
      </c>
      <c r="X18" s="252">
        <v>96803991.14364627</v>
      </c>
      <c r="Y18" s="196">
        <v>18432661.261262413</v>
      </c>
      <c r="Z18" s="196">
        <f t="shared" si="9"/>
        <v>583819664.27788579</v>
      </c>
      <c r="AA18" s="194">
        <f t="shared" si="4"/>
        <v>-1570910717.7168217</v>
      </c>
      <c r="AB18" s="194">
        <f>'Collections and ACP'!K21</f>
        <v>579289793.30048537</v>
      </c>
      <c r="AC18" s="194">
        <f t="shared" si="5"/>
        <v>-991620924.4163363</v>
      </c>
      <c r="AD18" s="194">
        <f t="shared" si="6"/>
        <v>821158794.80104458</v>
      </c>
      <c r="AE18" s="207">
        <f t="shared" si="7"/>
        <v>-1812779719.217381</v>
      </c>
      <c r="AF18" s="206">
        <v>-1928132654.0057821</v>
      </c>
      <c r="AG18" s="208">
        <f t="shared" si="8"/>
        <v>115352934.78840113</v>
      </c>
      <c r="AH18" s="182"/>
    </row>
    <row r="19" spans="1:34" x14ac:dyDescent="0.35">
      <c r="A19" s="174" t="s">
        <v>33</v>
      </c>
      <c r="B19" s="16"/>
      <c r="C19" s="16"/>
      <c r="D19" s="16">
        <f>'ABP Under Contract'!M19</f>
        <v>66395922.589999996</v>
      </c>
      <c r="E19" s="16">
        <f>'ABP Under Contract'!N19</f>
        <v>1109144.31</v>
      </c>
      <c r="F19" s="16"/>
      <c r="G19" s="16"/>
      <c r="H19" s="16"/>
      <c r="I19" s="16">
        <f t="shared" si="0"/>
        <v>17493544.263402294</v>
      </c>
      <c r="J19" s="16">
        <v>12271837.003700387</v>
      </c>
      <c r="K19" s="16">
        <v>53580761.475987457</v>
      </c>
      <c r="L19" s="16">
        <v>6404256.4956682445</v>
      </c>
      <c r="M19" s="16">
        <f t="shared" si="1"/>
        <v>17444210.839039307</v>
      </c>
      <c r="N19" s="16"/>
      <c r="O19" s="16">
        <v>50000000</v>
      </c>
      <c r="P19" s="16">
        <f t="shared" si="2"/>
        <v>224699676.97779766</v>
      </c>
      <c r="Q19" s="252">
        <v>51167598.884660892</v>
      </c>
      <c r="R19" s="252">
        <v>64628704.933566831</v>
      </c>
      <c r="S19" s="252">
        <v>112219159.32044634</v>
      </c>
      <c r="T19" s="252">
        <v>85685762.314759701</v>
      </c>
      <c r="U19" s="252">
        <v>24585533.336454801</v>
      </c>
      <c r="V19" s="252">
        <v>71809672.148407564</v>
      </c>
      <c r="W19" s="252">
        <v>-5147004.9752380615</v>
      </c>
      <c r="X19" s="252">
        <v>84425385.937404707</v>
      </c>
      <c r="Y19" s="196">
        <v>19297354.678350206</v>
      </c>
      <c r="Z19" s="196">
        <f t="shared" si="9"/>
        <v>508672166.57881296</v>
      </c>
      <c r="AA19" s="194">
        <f t="shared" si="4"/>
        <v>-1812779719.217381</v>
      </c>
      <c r="AB19" s="194">
        <f>'Collections and ACP'!K22</f>
        <v>581473694.63464355</v>
      </c>
      <c r="AC19" s="194">
        <f t="shared" si="5"/>
        <v>-1231306024.5827374</v>
      </c>
      <c r="AD19" s="194">
        <f t="shared" si="6"/>
        <v>733371843.55661058</v>
      </c>
      <c r="AE19" s="207">
        <f t="shared" si="7"/>
        <v>-1964677868.139348</v>
      </c>
      <c r="AF19" s="206">
        <v>-2030853450.3645997</v>
      </c>
      <c r="AG19" s="208">
        <f t="shared" si="8"/>
        <v>66175582.225251675</v>
      </c>
      <c r="AH19" s="182"/>
    </row>
    <row r="20" spans="1:34" x14ac:dyDescent="0.35">
      <c r="A20" s="174" t="s">
        <v>34</v>
      </c>
      <c r="B20" s="16"/>
      <c r="C20" s="16"/>
      <c r="D20" s="16">
        <f>'ABP Under Contract'!M20</f>
        <v>66064096.460000023</v>
      </c>
      <c r="E20" s="16">
        <f>'ABP Under Contract'!N20</f>
        <v>1103612.05</v>
      </c>
      <c r="F20" s="16"/>
      <c r="G20" s="16"/>
      <c r="H20" s="16"/>
      <c r="I20" s="16">
        <f t="shared" si="0"/>
        <v>5880413.46</v>
      </c>
      <c r="J20" s="16">
        <v>10650725.579970237</v>
      </c>
      <c r="K20" s="16">
        <v>48391695.121758834</v>
      </c>
      <c r="L20" s="16">
        <v>6177767.933594998</v>
      </c>
      <c r="M20" s="16">
        <f t="shared" si="1"/>
        <v>17522169.661825232</v>
      </c>
      <c r="N20" s="16"/>
      <c r="O20" s="16">
        <v>50000000</v>
      </c>
      <c r="P20" s="16">
        <f t="shared" si="2"/>
        <v>205790480.26714933</v>
      </c>
      <c r="Q20" s="252">
        <v>49120894.929274455</v>
      </c>
      <c r="R20" s="252">
        <v>56568680.599204481</v>
      </c>
      <c r="S20" s="252">
        <v>116064885.88070974</v>
      </c>
      <c r="T20" s="252">
        <v>87892547.282424361</v>
      </c>
      <c r="U20" s="252">
        <v>21758858.950654488</v>
      </c>
      <c r="V20" s="252">
        <v>62854089.554671638</v>
      </c>
      <c r="W20" s="252">
        <v>-38940624.869563557</v>
      </c>
      <c r="X20" s="252">
        <v>76292893.540813386</v>
      </c>
      <c r="Y20" s="196">
        <v>20358730.950335387</v>
      </c>
      <c r="Z20" s="196">
        <f t="shared" si="9"/>
        <v>451970956.81852442</v>
      </c>
      <c r="AA20" s="194">
        <f t="shared" si="4"/>
        <v>-1964677868.139348</v>
      </c>
      <c r="AB20" s="194">
        <f>'Collections and ACP'!K23</f>
        <v>584072322.06084108</v>
      </c>
      <c r="AC20" s="194">
        <f t="shared" si="5"/>
        <v>-1380605546.0785069</v>
      </c>
      <c r="AD20" s="194">
        <f t="shared" si="6"/>
        <v>657761437.08567381</v>
      </c>
      <c r="AE20" s="207">
        <f t="shared" si="7"/>
        <v>-2038366983.1641808</v>
      </c>
      <c r="AF20" s="206">
        <v>-2049207018.8190608</v>
      </c>
      <c r="AG20" s="208">
        <f t="shared" si="8"/>
        <v>10840035.654880047</v>
      </c>
      <c r="AH20" s="182"/>
    </row>
    <row r="21" spans="1:34" x14ac:dyDescent="0.35">
      <c r="A21" s="174" t="s">
        <v>35</v>
      </c>
      <c r="B21" s="16"/>
      <c r="C21" s="16"/>
      <c r="D21" s="16">
        <f>'ABP Under Contract'!M21</f>
        <v>65733615.219999999</v>
      </c>
      <c r="E21" s="16">
        <f>'ABP Under Contract'!N21</f>
        <v>1097956.8499999999</v>
      </c>
      <c r="F21" s="16"/>
      <c r="G21" s="16"/>
      <c r="H21" s="16"/>
      <c r="I21" s="16">
        <f t="shared" si="0"/>
        <v>0</v>
      </c>
      <c r="J21" s="16">
        <v>8951168.7452182546</v>
      </c>
      <c r="K21" s="16">
        <v>43016236.047488943</v>
      </c>
      <c r="L21" s="16">
        <v>5944020.9508120976</v>
      </c>
      <c r="M21" s="16">
        <f t="shared" si="1"/>
        <v>17559698.762090176</v>
      </c>
      <c r="N21" s="16"/>
      <c r="O21" s="16">
        <v>50000000</v>
      </c>
      <c r="P21" s="16">
        <f t="shared" si="2"/>
        <v>192302696.57560948</v>
      </c>
      <c r="Q21" s="252">
        <v>47156059.132103473</v>
      </c>
      <c r="R21" s="252">
        <v>48831057.238216639</v>
      </c>
      <c r="S21" s="252">
        <v>119715110.91389725</v>
      </c>
      <c r="T21" s="252">
        <v>89982889.774081171</v>
      </c>
      <c r="U21" s="252">
        <v>19045251.540286195</v>
      </c>
      <c r="V21" s="252">
        <v>54256730.264685139</v>
      </c>
      <c r="W21" s="252">
        <v>-68747977.027976081</v>
      </c>
      <c r="X21" s="252">
        <v>69281491.618767872</v>
      </c>
      <c r="Y21" s="196">
        <v>21454753.694333963</v>
      </c>
      <c r="Z21" s="196">
        <f t="shared" si="9"/>
        <v>400975367.1483956</v>
      </c>
      <c r="AA21" s="194">
        <f t="shared" si="4"/>
        <v>-2038366983.1641808</v>
      </c>
      <c r="AB21" s="194">
        <f>'Collections and ACP'!K24</f>
        <v>585323292.06967258</v>
      </c>
      <c r="AC21" s="194">
        <f t="shared" si="5"/>
        <v>-1453043691.0945082</v>
      </c>
      <c r="AD21" s="194">
        <f t="shared" si="6"/>
        <v>593278063.7240051</v>
      </c>
      <c r="AE21" s="207">
        <f t="shared" si="7"/>
        <v>-2046321754.8185134</v>
      </c>
      <c r="AF21" s="206">
        <v>-1986141602.065618</v>
      </c>
      <c r="AG21" s="208">
        <f t="shared" si="8"/>
        <v>-60180152.752895355</v>
      </c>
      <c r="AH21" s="182"/>
    </row>
    <row r="22" spans="1:34" x14ac:dyDescent="0.35">
      <c r="A22" s="174" t="s">
        <v>36</v>
      </c>
      <c r="B22" s="16"/>
      <c r="C22" s="16"/>
      <c r="D22" s="16">
        <f>'ABP Under Contract'!M22</f>
        <v>65404727.630000032</v>
      </c>
      <c r="E22" s="16">
        <f>'ABP Under Contract'!N22</f>
        <v>1092528.2199999997</v>
      </c>
      <c r="F22" s="16"/>
      <c r="G22" s="16"/>
      <c r="H22" s="16"/>
      <c r="I22" s="16">
        <f t="shared" si="0"/>
        <v>0</v>
      </c>
      <c r="J22" s="16">
        <v>7539534.817956334</v>
      </c>
      <c r="K22" s="16">
        <v>38558642.733970501</v>
      </c>
      <c r="L22" s="16">
        <v>5746651.4775697216</v>
      </c>
      <c r="M22" s="16">
        <f t="shared" si="1"/>
        <v>17642751.566603485</v>
      </c>
      <c r="N22" s="16"/>
      <c r="O22" s="16">
        <v>50000000</v>
      </c>
      <c r="P22" s="16">
        <f t="shared" si="2"/>
        <v>185984836.44610009</v>
      </c>
      <c r="Q22" s="252">
        <v>45269816.766819336</v>
      </c>
      <c r="R22" s="252">
        <v>41402938.811668307</v>
      </c>
      <c r="S22" s="252">
        <v>123177862.84341516</v>
      </c>
      <c r="T22" s="252">
        <v>91961588.344156921</v>
      </c>
      <c r="U22" s="252">
        <v>16440188.426332626</v>
      </c>
      <c r="V22" s="252">
        <v>46003265.346298099</v>
      </c>
      <c r="W22" s="252">
        <v>-102486191.86976177</v>
      </c>
      <c r="X22" s="252">
        <v>59827394.203613676</v>
      </c>
      <c r="Y22" s="196">
        <v>22385131.458114102</v>
      </c>
      <c r="Z22" s="196">
        <f t="shared" si="9"/>
        <v>343981994.33065647</v>
      </c>
      <c r="AA22" s="194">
        <f t="shared" si="4"/>
        <v>-2046321754.8185134</v>
      </c>
      <c r="AB22" s="194">
        <f>'Collections and ACP'!K25</f>
        <v>588091718.88678288</v>
      </c>
      <c r="AC22" s="194">
        <f t="shared" si="5"/>
        <v>-1458230035.9317305</v>
      </c>
      <c r="AD22" s="194">
        <f t="shared" si="6"/>
        <v>529966830.77675653</v>
      </c>
      <c r="AE22" s="207">
        <f t="shared" si="7"/>
        <v>-1988196866.708487</v>
      </c>
      <c r="AF22" s="206">
        <v>-1841859430.8637962</v>
      </c>
      <c r="AG22" s="208">
        <f t="shared" si="8"/>
        <v>-146337435.8446908</v>
      </c>
      <c r="AH22" s="182"/>
    </row>
    <row r="23" spans="1:34" x14ac:dyDescent="0.35">
      <c r="A23" s="174" t="s">
        <v>37</v>
      </c>
      <c r="B23" s="16"/>
      <c r="C23" s="16"/>
      <c r="D23" s="16">
        <f>'ABP Under Contract'!M23</f>
        <v>65077908.75</v>
      </c>
      <c r="E23" s="16">
        <f>'ABP Under Contract'!N23</f>
        <v>1087098.76</v>
      </c>
      <c r="F23" s="16"/>
      <c r="G23" s="16"/>
      <c r="H23" s="16"/>
      <c r="I23" s="16">
        <f t="shared" si="0"/>
        <v>0</v>
      </c>
      <c r="J23" s="16">
        <v>6237522.5046626981</v>
      </c>
      <c r="K23" s="16">
        <v>34472358.498654515</v>
      </c>
      <c r="L23" s="16">
        <v>5564060.9557857672</v>
      </c>
      <c r="M23" s="16">
        <f t="shared" si="1"/>
        <v>17710238.723197304</v>
      </c>
      <c r="N23" s="16"/>
      <c r="O23" s="16">
        <v>50000000</v>
      </c>
      <c r="P23" s="16">
        <f t="shared" si="2"/>
        <v>180149188.19230029</v>
      </c>
      <c r="Q23" s="252">
        <v>43459024.096146561</v>
      </c>
      <c r="R23" s="252">
        <v>34271945.122181907</v>
      </c>
      <c r="S23" s="252">
        <v>126460847.913922</v>
      </c>
      <c r="T23" s="252">
        <v>93833248.900624454</v>
      </c>
      <c r="U23" s="252">
        <v>13939327.836937206</v>
      </c>
      <c r="V23" s="252">
        <v>38079939.02464655</v>
      </c>
      <c r="W23" s="252">
        <v>-133447285.64706367</v>
      </c>
      <c r="X23" s="252">
        <v>51067429.033677094</v>
      </c>
      <c r="Y23" s="196">
        <v>23332922.837920252</v>
      </c>
      <c r="Z23" s="196">
        <f t="shared" si="9"/>
        <v>290997399.11899233</v>
      </c>
      <c r="AA23" s="194">
        <f t="shared" si="4"/>
        <v>-1988196866.708487</v>
      </c>
      <c r="AB23" s="194">
        <f>'Collections and ACP'!K26</f>
        <v>590341290.77324343</v>
      </c>
      <c r="AC23" s="194">
        <f t="shared" si="5"/>
        <v>-1397855575.9352436</v>
      </c>
      <c r="AD23" s="194">
        <f t="shared" si="6"/>
        <v>471146587.31129265</v>
      </c>
      <c r="AE23" s="207">
        <f t="shared" si="7"/>
        <v>-1869002163.2465363</v>
      </c>
      <c r="AF23" s="206">
        <v>-1613307817.2334099</v>
      </c>
      <c r="AG23" s="208">
        <f t="shared" si="8"/>
        <v>-255694346.01312637</v>
      </c>
      <c r="AH23" s="182"/>
    </row>
    <row r="24" spans="1:34" x14ac:dyDescent="0.35">
      <c r="A24" s="174" t="s">
        <v>38</v>
      </c>
      <c r="B24" s="16"/>
      <c r="C24" s="16"/>
      <c r="D24" s="16">
        <f>'ABP Under Contract'!M24</f>
        <v>64752159.359999977</v>
      </c>
      <c r="E24" s="16">
        <f>'ABP Under Contract'!N24</f>
        <v>1081640.96</v>
      </c>
      <c r="F24" s="16"/>
      <c r="G24" s="16"/>
      <c r="H24" s="16"/>
      <c r="I24" s="16">
        <f t="shared" si="0"/>
        <v>0</v>
      </c>
      <c r="J24" s="16">
        <v>4547015.5886011878</v>
      </c>
      <c r="K24" s="16">
        <v>29270041.485806398</v>
      </c>
      <c r="L24" s="16">
        <v>5337474.2621963378</v>
      </c>
      <c r="M24" s="16">
        <f t="shared" si="1"/>
        <v>17790826.711418759</v>
      </c>
      <c r="N24" s="16"/>
      <c r="O24" s="16">
        <v>50000000</v>
      </c>
      <c r="P24" s="16">
        <f t="shared" si="2"/>
        <v>172779158.36802268</v>
      </c>
      <c r="Q24" s="252">
        <v>41720663.132300697</v>
      </c>
      <c r="R24" s="252">
        <v>32901067.317294631</v>
      </c>
      <c r="S24" s="252">
        <v>129571463.08368729</v>
      </c>
      <c r="T24" s="252">
        <v>95602292.41438213</v>
      </c>
      <c r="U24" s="252">
        <v>11538501.671117602</v>
      </c>
      <c r="V24" s="252">
        <v>36556741.463660687</v>
      </c>
      <c r="W24" s="252">
        <v>-164452734.0351586</v>
      </c>
      <c r="X24" s="252">
        <v>41802077.421150357</v>
      </c>
      <c r="Y24" s="196">
        <v>24231113.689791311</v>
      </c>
      <c r="Z24" s="196">
        <f t="shared" si="9"/>
        <v>249471186.15822607</v>
      </c>
      <c r="AA24" s="194">
        <f t="shared" si="4"/>
        <v>-1869002163.2465363</v>
      </c>
      <c r="AB24" s="194">
        <f>'Collections and ACP'!K27</f>
        <v>593027557.04729199</v>
      </c>
      <c r="AC24" s="194">
        <f t="shared" si="5"/>
        <v>-1275974606.1992443</v>
      </c>
      <c r="AD24" s="194">
        <f t="shared" si="6"/>
        <v>422250344.52624875</v>
      </c>
      <c r="AE24" s="207">
        <f t="shared" si="7"/>
        <v>-1698224950.725493</v>
      </c>
      <c r="AF24" s="206">
        <v>-1310162780.1249328</v>
      </c>
      <c r="AG24" s="208">
        <f t="shared" si="8"/>
        <v>-388062170.60056019</v>
      </c>
      <c r="AH24" s="182"/>
    </row>
    <row r="25" spans="1:34" x14ac:dyDescent="0.35">
      <c r="A25" s="174" t="s">
        <v>39</v>
      </c>
      <c r="B25" s="16"/>
      <c r="C25" s="16"/>
      <c r="D25" s="16">
        <f>'ABP Under Contract'!M25</f>
        <v>64428878.509999976</v>
      </c>
      <c r="E25" s="16">
        <f>'ABP Under Contract'!N25</f>
        <v>1076335.6499999999</v>
      </c>
      <c r="F25" s="16"/>
      <c r="G25" s="16"/>
      <c r="H25" s="16"/>
      <c r="I25" s="16">
        <f t="shared" si="0"/>
        <v>0</v>
      </c>
      <c r="J25" s="16">
        <v>3160499.0204166593</v>
      </c>
      <c r="K25" s="16">
        <v>25018859.997850075</v>
      </c>
      <c r="L25" s="16">
        <v>5148578.1922860006</v>
      </c>
      <c r="M25" s="16">
        <f t="shared" si="1"/>
        <v>17846294.061737649</v>
      </c>
      <c r="N25" s="16"/>
      <c r="O25" s="16">
        <v>50000000</v>
      </c>
      <c r="P25" s="16">
        <f t="shared" si="2"/>
        <v>166679445.43229035</v>
      </c>
      <c r="Q25" s="252">
        <v>0</v>
      </c>
      <c r="R25" s="252">
        <v>27403181.410101749</v>
      </c>
      <c r="S25" s="252">
        <v>132516808.40123044</v>
      </c>
      <c r="T25" s="252">
        <v>95124280.952310219</v>
      </c>
      <c r="U25" s="252">
        <v>11076961.604272896</v>
      </c>
      <c r="V25" s="252">
        <v>30447979.34455749</v>
      </c>
      <c r="W25" s="252">
        <v>-217133005.43392849</v>
      </c>
      <c r="X25" s="252">
        <v>27264797.334219698</v>
      </c>
      <c r="Y25" s="196">
        <v>24797123.697440565</v>
      </c>
      <c r="Z25" s="196">
        <f t="shared" si="9"/>
        <v>131498127.31020457</v>
      </c>
      <c r="AA25" s="194">
        <f t="shared" si="4"/>
        <v>-1698224950.725493</v>
      </c>
      <c r="AB25" s="194">
        <f>'Collections and ACP'!K28</f>
        <v>594876468.72458827</v>
      </c>
      <c r="AC25" s="194">
        <f t="shared" si="5"/>
        <v>-1103348482.0009046</v>
      </c>
      <c r="AD25" s="194">
        <f t="shared" si="6"/>
        <v>298177572.74249494</v>
      </c>
      <c r="AE25" s="207">
        <f t="shared" si="7"/>
        <v>-1401526054.7433996</v>
      </c>
      <c r="AF25" s="206">
        <v>-856494208.62372756</v>
      </c>
      <c r="AG25" s="208">
        <f t="shared" si="8"/>
        <v>-545031846.11967206</v>
      </c>
      <c r="AH25" s="182"/>
    </row>
    <row r="26" spans="1:34" x14ac:dyDescent="0.35">
      <c r="A26" s="174" t="s">
        <v>40</v>
      </c>
      <c r="B26" s="16"/>
      <c r="C26" s="16"/>
      <c r="D26" s="16">
        <f>'ABP Under Contract'!M26</f>
        <v>64106702.660000019</v>
      </c>
      <c r="E26" s="16">
        <f>'ABP Under Contract'!N26</f>
        <v>1070973.19</v>
      </c>
      <c r="F26" s="16"/>
      <c r="G26" s="16"/>
      <c r="H26" s="16"/>
      <c r="I26" s="16">
        <f t="shared" si="0"/>
        <v>0</v>
      </c>
      <c r="J26" s="16">
        <v>-12830547.788164679</v>
      </c>
      <c r="K26" s="16">
        <v>-37881859.685108878</v>
      </c>
      <c r="L26" s="16">
        <v>-1496197.66395301</v>
      </c>
      <c r="M26" s="16">
        <f t="shared" si="1"/>
        <v>17902792.457592066</v>
      </c>
      <c r="N26" s="16"/>
      <c r="O26" s="16">
        <v>50000000</v>
      </c>
      <c r="P26" s="16">
        <f t="shared" si="2"/>
        <v>80871863.170365512</v>
      </c>
      <c r="Q26" s="252">
        <v>0</v>
      </c>
      <c r="R26" s="252">
        <v>22357535.562224429</v>
      </c>
      <c r="S26" s="252">
        <v>131854224.35922427</v>
      </c>
      <c r="T26" s="252">
        <v>94648659.547548667</v>
      </c>
      <c r="U26" s="252">
        <v>9225961.7412187196</v>
      </c>
      <c r="V26" s="252">
        <v>24841706.180249352</v>
      </c>
      <c r="W26" s="252">
        <v>-242524168.68166658</v>
      </c>
      <c r="X26" s="252">
        <v>14101362.896199031</v>
      </c>
      <c r="Y26" s="196">
        <v>25425182.196816187</v>
      </c>
      <c r="Z26" s="196">
        <f t="shared" si="9"/>
        <v>79930463.801814079</v>
      </c>
      <c r="AA26" s="194">
        <f t="shared" si="4"/>
        <v>-1401526054.7433996</v>
      </c>
      <c r="AB26" s="194">
        <f>'Collections and ACP'!K29</f>
        <v>596759748.58640218</v>
      </c>
      <c r="AC26" s="194">
        <f t="shared" si="5"/>
        <v>-804766306.15699744</v>
      </c>
      <c r="AD26" s="194">
        <f t="shared" si="6"/>
        <v>160802326.97217959</v>
      </c>
      <c r="AE26" s="207">
        <f t="shared" si="7"/>
        <v>-965568633.12917709</v>
      </c>
      <c r="AF26" s="206">
        <v>-288234719.97894323</v>
      </c>
      <c r="AG26" s="208">
        <f t="shared" si="8"/>
        <v>-677333913.15023386</v>
      </c>
      <c r="AH26" s="182"/>
    </row>
    <row r="27" spans="1:34" x14ac:dyDescent="0.35">
      <c r="A27" s="174" t="s">
        <v>163</v>
      </c>
      <c r="B27" s="16"/>
      <c r="C27" s="16"/>
      <c r="D27" s="16">
        <f>'ABP Under Contract'!M27</f>
        <v>51780676.689999998</v>
      </c>
      <c r="E27" s="16">
        <f>'ABP Under Contract'!N27</f>
        <v>1065552.6199999999</v>
      </c>
      <c r="F27" s="16"/>
      <c r="G27" s="16"/>
      <c r="H27" s="16"/>
      <c r="I27" s="16">
        <f t="shared" si="0"/>
        <v>0</v>
      </c>
      <c r="J27" s="16"/>
      <c r="K27" s="16"/>
      <c r="L27" s="16"/>
      <c r="M27" s="16">
        <f t="shared" si="1"/>
        <v>17902792.457592066</v>
      </c>
      <c r="N27" s="16"/>
      <c r="O27" s="16">
        <v>50000000</v>
      </c>
      <c r="P27" s="16">
        <f t="shared" si="2"/>
        <v>120749021.76759206</v>
      </c>
      <c r="Q27" s="252"/>
      <c r="R27" s="252"/>
      <c r="S27" s="252"/>
      <c r="T27" s="252"/>
      <c r="U27" s="252"/>
      <c r="V27" s="252"/>
      <c r="W27" s="252">
        <v>-281148248.29670644</v>
      </c>
      <c r="X27" s="252">
        <v>-141272082.77774802</v>
      </c>
      <c r="Y27" s="196">
        <v>-8522173.9595500808</v>
      </c>
      <c r="Z27" s="196">
        <f t="shared" si="9"/>
        <v>-430942505.03400451</v>
      </c>
      <c r="AA27" s="194">
        <f t="shared" ref="AA27" si="10">AE26</f>
        <v>-965568633.12917709</v>
      </c>
      <c r="AB27" s="194">
        <f>AB26</f>
        <v>596759748.58640218</v>
      </c>
      <c r="AC27" s="194">
        <f t="shared" ref="AC27" si="11">AA27+AB27</f>
        <v>-368808884.54277492</v>
      </c>
      <c r="AD27" s="194">
        <f t="shared" ref="AD27" si="12">P27+Z27</f>
        <v>-310193483.26641244</v>
      </c>
      <c r="AE27" s="207">
        <f t="shared" ref="AE27" si="13">AC27-AD27</f>
        <v>-58615401.276362479</v>
      </c>
      <c r="AF27" s="206">
        <v>751963689.77032375</v>
      </c>
      <c r="AG27" s="208">
        <f t="shared" si="8"/>
        <v>-810579091.04668617</v>
      </c>
      <c r="AH27" s="182"/>
    </row>
    <row r="28" spans="1:34" x14ac:dyDescent="0.35">
      <c r="AA28" s="21"/>
      <c r="AB28" s="19"/>
    </row>
    <row r="29" spans="1:34" x14ac:dyDescent="0.35">
      <c r="A29" s="177" t="s">
        <v>41</v>
      </c>
      <c r="B29" s="22">
        <v>0.2896143019416435</v>
      </c>
    </row>
    <row r="30" spans="1:34" ht="43.5" x14ac:dyDescent="0.35">
      <c r="A30" s="173" t="s">
        <v>1</v>
      </c>
      <c r="B30" s="173" t="s">
        <v>187</v>
      </c>
      <c r="C30" s="173" t="s">
        <v>188</v>
      </c>
      <c r="D30" s="173" t="s">
        <v>214</v>
      </c>
      <c r="E30" s="173" t="s">
        <v>149</v>
      </c>
      <c r="F30" s="173" t="s">
        <v>215</v>
      </c>
      <c r="G30" s="173" t="s">
        <v>216</v>
      </c>
      <c r="H30" s="173" t="s">
        <v>340</v>
      </c>
      <c r="I30" s="15" t="s">
        <v>218</v>
      </c>
      <c r="J30" s="15" t="s">
        <v>219</v>
      </c>
      <c r="K30" s="15" t="s">
        <v>220</v>
      </c>
      <c r="L30" s="15" t="s">
        <v>221</v>
      </c>
      <c r="M30" s="173" t="s">
        <v>222</v>
      </c>
      <c r="N30" s="173" t="s">
        <v>223</v>
      </c>
      <c r="O30" s="173" t="s">
        <v>203</v>
      </c>
      <c r="P30" s="15" t="s">
        <v>201</v>
      </c>
      <c r="Q30" s="198" t="s">
        <v>187</v>
      </c>
      <c r="R30" s="198" t="s">
        <v>188</v>
      </c>
      <c r="S30" s="198" t="s">
        <v>144</v>
      </c>
      <c r="T30" s="198" t="s">
        <v>149</v>
      </c>
      <c r="U30" s="198" t="s">
        <v>153</v>
      </c>
      <c r="V30" s="198" t="s">
        <v>156</v>
      </c>
      <c r="W30" s="198" t="s">
        <v>86</v>
      </c>
      <c r="X30" s="198" t="s">
        <v>87</v>
      </c>
      <c r="Y30" s="198" t="s">
        <v>82</v>
      </c>
      <c r="Z30" s="198" t="s">
        <v>224</v>
      </c>
      <c r="AA30" s="15" t="s">
        <v>225</v>
      </c>
      <c r="AB30" s="15" t="s">
        <v>226</v>
      </c>
      <c r="AC30" s="15" t="s">
        <v>227</v>
      </c>
      <c r="AD30" s="173" t="s">
        <v>170</v>
      </c>
      <c r="AE30" s="173" t="s">
        <v>228</v>
      </c>
    </row>
    <row r="31" spans="1:34" x14ac:dyDescent="0.35">
      <c r="A31" s="174" t="s">
        <v>17</v>
      </c>
      <c r="B31" s="16">
        <f t="shared" ref="B31:G40" si="14">B4*$B$29</f>
        <v>39954174.159924991</v>
      </c>
      <c r="C31" s="16">
        <f t="shared" si="14"/>
        <v>14081509.106385756</v>
      </c>
      <c r="D31" s="16">
        <f t="shared" si="14"/>
        <v>8685259.976340225</v>
      </c>
      <c r="E31" s="16">
        <f t="shared" si="14"/>
        <v>0</v>
      </c>
      <c r="F31" s="16">
        <f t="shared" si="14"/>
        <v>0</v>
      </c>
      <c r="G31" s="16">
        <f t="shared" si="14"/>
        <v>0</v>
      </c>
      <c r="H31" s="17">
        <v>7753000</v>
      </c>
      <c r="I31" s="17">
        <v>1365128.2799999998</v>
      </c>
      <c r="J31" s="17">
        <f t="shared" ref="J31:L54" si="15">J4*$B$29</f>
        <v>0</v>
      </c>
      <c r="K31" s="17">
        <f t="shared" si="15"/>
        <v>0</v>
      </c>
      <c r="L31" s="17">
        <f t="shared" si="15"/>
        <v>0</v>
      </c>
      <c r="M31" s="17">
        <f t="shared" ref="M31:M54" si="16">$B$29*M4</f>
        <v>1956947.0137069982</v>
      </c>
      <c r="N31" s="17"/>
      <c r="O31" s="17">
        <f t="shared" ref="O31:O54" si="17">$B$29*O4</f>
        <v>3261578.3561783303</v>
      </c>
      <c r="P31" s="17">
        <f>SUM(B31:O31)</f>
        <v>77057596.892536312</v>
      </c>
      <c r="Q31" s="175">
        <f t="shared" ref="Q31:Y31" si="18">$B$29*Q4</f>
        <v>0</v>
      </c>
      <c r="R31" s="175">
        <f t="shared" si="18"/>
        <v>0</v>
      </c>
      <c r="S31" s="175">
        <f t="shared" si="18"/>
        <v>0</v>
      </c>
      <c r="T31" s="175">
        <f t="shared" si="18"/>
        <v>0</v>
      </c>
      <c r="U31" s="175">
        <f t="shared" si="18"/>
        <v>0</v>
      </c>
      <c r="V31" s="175">
        <f t="shared" si="18"/>
        <v>0</v>
      </c>
      <c r="W31" s="175">
        <f t="shared" si="18"/>
        <v>0</v>
      </c>
      <c r="X31" s="175">
        <f t="shared" si="18"/>
        <v>0</v>
      </c>
      <c r="Y31" s="175">
        <f t="shared" si="18"/>
        <v>0</v>
      </c>
      <c r="Z31" s="195"/>
      <c r="AA31" s="176">
        <f>'Collections and ACP'!B149+'Collections and ACP'!B141</f>
        <v>87829264.295962796</v>
      </c>
      <c r="AB31" s="176">
        <f>'Collections and ACP'!K39</f>
        <v>64309855.295962796</v>
      </c>
      <c r="AC31" s="176">
        <f t="shared" ref="AC31:AC54" si="19">AA31+AB31</f>
        <v>152139119.59192559</v>
      </c>
      <c r="AD31" s="176">
        <f>P31+Z31</f>
        <v>77057596.892536312</v>
      </c>
      <c r="AE31" s="18">
        <f t="shared" ref="AE31:AE54" si="20">AC31-AD31</f>
        <v>75081522.699389279</v>
      </c>
    </row>
    <row r="32" spans="1:34" x14ac:dyDescent="0.35">
      <c r="A32" s="174" t="s">
        <v>18</v>
      </c>
      <c r="B32" s="16">
        <f t="shared" si="14"/>
        <v>17949207.439464293</v>
      </c>
      <c r="C32" s="16">
        <f t="shared" si="14"/>
        <v>17579043.658183165</v>
      </c>
      <c r="D32" s="16">
        <f t="shared" si="14"/>
        <v>24383297.648460064</v>
      </c>
      <c r="E32" s="16">
        <f t="shared" si="14"/>
        <v>0</v>
      </c>
      <c r="F32" s="16">
        <f t="shared" si="14"/>
        <v>0</v>
      </c>
      <c r="G32" s="16">
        <f t="shared" si="14"/>
        <v>0</v>
      </c>
      <c r="H32" s="17">
        <v>5554000</v>
      </c>
      <c r="I32" s="17">
        <v>5431217.937169807</v>
      </c>
      <c r="J32" s="17">
        <f t="shared" si="15"/>
        <v>0</v>
      </c>
      <c r="K32" s="17">
        <f t="shared" si="15"/>
        <v>0</v>
      </c>
      <c r="L32" s="17">
        <f t="shared" si="15"/>
        <v>0</v>
      </c>
      <c r="M32" s="17">
        <f t="shared" si="16"/>
        <v>4037841.7223626804</v>
      </c>
      <c r="N32" s="17"/>
      <c r="O32" s="17">
        <f t="shared" si="17"/>
        <v>14480715.097082175</v>
      </c>
      <c r="P32" s="17">
        <f t="shared" ref="P32:P53" si="21">SUM(B32:O32)</f>
        <v>89415323.502722174</v>
      </c>
      <c r="Q32" s="175">
        <f t="shared" ref="Q32:Y32" si="22">$B$29*Q5</f>
        <v>0</v>
      </c>
      <c r="R32" s="175">
        <f t="shared" si="22"/>
        <v>0</v>
      </c>
      <c r="S32" s="175">
        <f t="shared" si="22"/>
        <v>0</v>
      </c>
      <c r="T32" s="175">
        <f t="shared" si="22"/>
        <v>0</v>
      </c>
      <c r="U32" s="175">
        <f t="shared" si="22"/>
        <v>0</v>
      </c>
      <c r="V32" s="175">
        <f t="shared" si="22"/>
        <v>0</v>
      </c>
      <c r="W32" s="175">
        <f t="shared" si="22"/>
        <v>0</v>
      </c>
      <c r="X32" s="175">
        <f t="shared" si="22"/>
        <v>0</v>
      </c>
      <c r="Y32" s="175">
        <f t="shared" si="22"/>
        <v>0</v>
      </c>
      <c r="Z32" s="195"/>
      <c r="AA32" s="176">
        <f t="shared" ref="AA32:AA54" si="23">AE31</f>
        <v>75081522.699389279</v>
      </c>
      <c r="AB32" s="176">
        <f>'Collections and ACP'!K40</f>
        <v>129499575.18679999</v>
      </c>
      <c r="AC32" s="176">
        <f t="shared" si="19"/>
        <v>204581097.88618928</v>
      </c>
      <c r="AD32" s="176">
        <f t="shared" ref="AD32:AD54" si="24">P32+Z32</f>
        <v>89415323.502722174</v>
      </c>
      <c r="AE32" s="18">
        <f t="shared" si="20"/>
        <v>115165774.38346711</v>
      </c>
    </row>
    <row r="33" spans="1:32" x14ac:dyDescent="0.35">
      <c r="A33" s="174" t="s">
        <v>19</v>
      </c>
      <c r="B33" s="16">
        <f t="shared" si="14"/>
        <v>25709520.827654369</v>
      </c>
      <c r="C33" s="16">
        <f t="shared" si="14"/>
        <v>18931542.684575893</v>
      </c>
      <c r="D33" s="16">
        <f t="shared" si="14"/>
        <v>29580385.732265271</v>
      </c>
      <c r="E33" s="16">
        <f t="shared" si="14"/>
        <v>0</v>
      </c>
      <c r="F33" s="16">
        <f t="shared" si="14"/>
        <v>0</v>
      </c>
      <c r="G33" s="16">
        <f t="shared" si="14"/>
        <v>0</v>
      </c>
      <c r="H33" s="17">
        <v>4842000</v>
      </c>
      <c r="I33" s="17">
        <v>6666673.3471698072</v>
      </c>
      <c r="J33" s="17">
        <f t="shared" si="15"/>
        <v>0</v>
      </c>
      <c r="K33" s="17">
        <f t="shared" si="15"/>
        <v>0</v>
      </c>
      <c r="L33" s="17">
        <f t="shared" si="15"/>
        <v>0</v>
      </c>
      <c r="M33" s="17">
        <f t="shared" si="16"/>
        <v>5104130.5421990799</v>
      </c>
      <c r="N33" s="17"/>
      <c r="O33" s="17">
        <f t="shared" si="17"/>
        <v>14480715.097082175</v>
      </c>
      <c r="P33" s="17">
        <f t="shared" si="21"/>
        <v>105314968.2309466</v>
      </c>
      <c r="Q33" s="175">
        <f t="shared" ref="Q33:Y33" si="25">$B$29*Q6</f>
        <v>0</v>
      </c>
      <c r="R33" s="175">
        <f t="shared" si="25"/>
        <v>0</v>
      </c>
      <c r="S33" s="175">
        <f t="shared" si="25"/>
        <v>0</v>
      </c>
      <c r="T33" s="175">
        <f t="shared" si="25"/>
        <v>0</v>
      </c>
      <c r="U33" s="175">
        <f t="shared" si="25"/>
        <v>0</v>
      </c>
      <c r="V33" s="175">
        <f t="shared" si="25"/>
        <v>0</v>
      </c>
      <c r="W33" s="175">
        <f t="shared" si="25"/>
        <v>0</v>
      </c>
      <c r="X33" s="175">
        <f t="shared" si="25"/>
        <v>0</v>
      </c>
      <c r="Y33" s="175">
        <f t="shared" si="25"/>
        <v>0</v>
      </c>
      <c r="Z33" s="196"/>
      <c r="AA33" s="176">
        <f t="shared" si="23"/>
        <v>115165774.38346711</v>
      </c>
      <c r="AB33" s="176">
        <f>'Collections and ACP'!K41</f>
        <v>160483342.72150001</v>
      </c>
      <c r="AC33" s="176">
        <f t="shared" si="19"/>
        <v>275649117.10496712</v>
      </c>
      <c r="AD33" s="176">
        <f t="shared" si="24"/>
        <v>105314968.2309466</v>
      </c>
      <c r="AE33" s="18">
        <f t="shared" si="20"/>
        <v>170334148.87402052</v>
      </c>
      <c r="AF33" s="19"/>
    </row>
    <row r="34" spans="1:32" x14ac:dyDescent="0.35">
      <c r="A34" s="174" t="s">
        <v>20</v>
      </c>
      <c r="B34" s="16">
        <f t="shared" si="14"/>
        <v>78264367.337230727</v>
      </c>
      <c r="C34" s="16">
        <f t="shared" si="14"/>
        <v>24318841.582874421</v>
      </c>
      <c r="D34" s="16">
        <f t="shared" si="14"/>
        <v>34222559.930926912</v>
      </c>
      <c r="E34" s="16">
        <f t="shared" si="14"/>
        <v>0</v>
      </c>
      <c r="F34" s="16">
        <f t="shared" si="14"/>
        <v>0</v>
      </c>
      <c r="G34" s="16">
        <f t="shared" si="14"/>
        <v>0</v>
      </c>
      <c r="H34" s="17">
        <v>3400999.9999999995</v>
      </c>
      <c r="I34" s="17">
        <v>6627071.8807588778</v>
      </c>
      <c r="J34" s="17">
        <f t="shared" si="15"/>
        <v>0</v>
      </c>
      <c r="K34" s="17">
        <f t="shared" si="15"/>
        <v>0</v>
      </c>
      <c r="L34" s="17">
        <f t="shared" si="15"/>
        <v>0</v>
      </c>
      <c r="M34" s="17">
        <f t="shared" si="16"/>
        <v>5016886.3443091428</v>
      </c>
      <c r="N34" s="17"/>
      <c r="O34" s="17">
        <f t="shared" si="17"/>
        <v>14480715.097082175</v>
      </c>
      <c r="P34" s="17">
        <f t="shared" si="21"/>
        <v>166331442.17318225</v>
      </c>
      <c r="Q34" s="175">
        <f t="shared" ref="Q34:Y34" si="26">$B$29*Q7</f>
        <v>0</v>
      </c>
      <c r="R34" s="175">
        <f t="shared" si="26"/>
        <v>0</v>
      </c>
      <c r="S34" s="175">
        <f t="shared" si="26"/>
        <v>0</v>
      </c>
      <c r="T34" s="175">
        <f t="shared" si="26"/>
        <v>0</v>
      </c>
      <c r="U34" s="175">
        <f t="shared" si="26"/>
        <v>0</v>
      </c>
      <c r="V34" s="175">
        <f t="shared" si="26"/>
        <v>0</v>
      </c>
      <c r="W34" s="175">
        <f t="shared" si="26"/>
        <v>0</v>
      </c>
      <c r="X34" s="175">
        <f t="shared" si="26"/>
        <v>0</v>
      </c>
      <c r="Y34" s="175">
        <f t="shared" si="26"/>
        <v>0</v>
      </c>
      <c r="Z34" s="196"/>
      <c r="AA34" s="176">
        <f t="shared" si="23"/>
        <v>170334148.87402052</v>
      </c>
      <c r="AB34" s="176">
        <f>'Collections and ACP'!K42</f>
        <v>156961599.53649759</v>
      </c>
      <c r="AC34" s="176">
        <f t="shared" si="19"/>
        <v>327295748.41051811</v>
      </c>
      <c r="AD34" s="176">
        <f t="shared" si="24"/>
        <v>166331442.17318225</v>
      </c>
      <c r="AE34" s="18">
        <f t="shared" si="20"/>
        <v>160964306.23733586</v>
      </c>
      <c r="AF34" s="19"/>
    </row>
    <row r="35" spans="1:32" x14ac:dyDescent="0.35">
      <c r="A35" s="174" t="s">
        <v>22</v>
      </c>
      <c r="B35" s="16">
        <f t="shared" si="14"/>
        <v>27225804.646528002</v>
      </c>
      <c r="C35" s="16">
        <f t="shared" si="14"/>
        <v>27513076.645185176</v>
      </c>
      <c r="D35" s="16">
        <f t="shared" si="14"/>
        <v>40289853.566273756</v>
      </c>
      <c r="E35" s="16">
        <f t="shared" si="14"/>
        <v>31838.835168245161</v>
      </c>
      <c r="F35" s="16">
        <f t="shared" si="14"/>
        <v>254150.12041113825</v>
      </c>
      <c r="G35" s="16">
        <f t="shared" si="14"/>
        <v>0</v>
      </c>
      <c r="H35" s="17">
        <v>3259000</v>
      </c>
      <c r="I35" s="17">
        <v>6627071.8807588778</v>
      </c>
      <c r="J35" s="17">
        <f t="shared" si="15"/>
        <v>977767.82165881991</v>
      </c>
      <c r="K35" s="17">
        <f t="shared" si="15"/>
        <v>9405570.787688978</v>
      </c>
      <c r="L35" s="17">
        <f t="shared" si="15"/>
        <v>798434.62315964676</v>
      </c>
      <c r="M35" s="17">
        <f t="shared" si="16"/>
        <v>4983923.1594963018</v>
      </c>
      <c r="N35" s="17"/>
      <c r="O35" s="17">
        <f t="shared" si="17"/>
        <v>14480715.097082175</v>
      </c>
      <c r="P35" s="17">
        <f t="shared" si="21"/>
        <v>135847207.18341112</v>
      </c>
      <c r="Q35" s="175">
        <f t="shared" ref="Q35:Y35" si="27">$B$29*Q8</f>
        <v>46436713.388371877</v>
      </c>
      <c r="R35" s="175">
        <f t="shared" si="27"/>
        <v>6663099.9874631884</v>
      </c>
      <c r="S35" s="175">
        <f t="shared" si="27"/>
        <v>0</v>
      </c>
      <c r="T35" s="175">
        <f t="shared" si="27"/>
        <v>6588614.9322350547</v>
      </c>
      <c r="U35" s="175">
        <f t="shared" si="27"/>
        <v>0</v>
      </c>
      <c r="V35" s="175">
        <f t="shared" si="27"/>
        <v>5387214.5931592099</v>
      </c>
      <c r="W35" s="175">
        <f t="shared" si="27"/>
        <v>0</v>
      </c>
      <c r="X35" s="175">
        <f t="shared" si="27"/>
        <v>0</v>
      </c>
      <c r="Y35" s="175">
        <f t="shared" si="27"/>
        <v>0</v>
      </c>
      <c r="Z35" s="196"/>
      <c r="AA35" s="176">
        <f t="shared" si="23"/>
        <v>160964306.23733586</v>
      </c>
      <c r="AB35" s="176">
        <f>'Collections and ACP'!K43</f>
        <v>155398917.17191386</v>
      </c>
      <c r="AC35" s="176">
        <f t="shared" si="19"/>
        <v>316363223.40924972</v>
      </c>
      <c r="AD35" s="176">
        <f t="shared" si="24"/>
        <v>135847207.18341112</v>
      </c>
      <c r="AE35" s="18">
        <f t="shared" si="20"/>
        <v>180516016.2258386</v>
      </c>
      <c r="AF35" s="19"/>
    </row>
    <row r="36" spans="1:32" x14ac:dyDescent="0.35">
      <c r="A36" s="174" t="s">
        <v>23</v>
      </c>
      <c r="B36" s="16">
        <f t="shared" si="14"/>
        <v>0</v>
      </c>
      <c r="C36" s="16">
        <f t="shared" si="14"/>
        <v>18360380.680017494</v>
      </c>
      <c r="D36" s="16">
        <f t="shared" si="14"/>
        <v>41911438.234709576</v>
      </c>
      <c r="E36" s="16">
        <f t="shared" si="14"/>
        <v>337754.70945385238</v>
      </c>
      <c r="F36" s="16">
        <f t="shared" si="14"/>
        <v>6551840.1983517036</v>
      </c>
      <c r="G36" s="16">
        <f t="shared" si="14"/>
        <v>0</v>
      </c>
      <c r="H36" s="17">
        <v>1276000</v>
      </c>
      <c r="I36" s="17">
        <v>6627071.8807588778</v>
      </c>
      <c r="J36" s="17">
        <f t="shared" si="15"/>
        <v>491115.52119112824</v>
      </c>
      <c r="K36" s="17">
        <f t="shared" si="15"/>
        <v>22923273.791592315</v>
      </c>
      <c r="L36" s="17">
        <f t="shared" si="15"/>
        <v>2211224.3710287111</v>
      </c>
      <c r="M36" s="17">
        <f t="shared" si="16"/>
        <v>4922717.1830755481</v>
      </c>
      <c r="N36" s="17"/>
      <c r="O36" s="17">
        <f t="shared" si="17"/>
        <v>14480715.097082175</v>
      </c>
      <c r="P36" s="17">
        <f t="shared" si="21"/>
        <v>120093531.66726139</v>
      </c>
      <c r="Q36" s="175">
        <f t="shared" ref="Q36:Y36" si="28">$B$29*Q9</f>
        <v>44579244.852836996</v>
      </c>
      <c r="R36" s="175">
        <f t="shared" si="28"/>
        <v>11048292.666294789</v>
      </c>
      <c r="S36" s="175">
        <f t="shared" si="28"/>
        <v>3999373.6505112248</v>
      </c>
      <c r="T36" s="175">
        <f t="shared" si="28"/>
        <v>8947237.4117720742</v>
      </c>
      <c r="U36" s="175">
        <f t="shared" si="28"/>
        <v>1632365.6544093862</v>
      </c>
      <c r="V36" s="175">
        <f t="shared" si="28"/>
        <v>10259650.902972097</v>
      </c>
      <c r="W36" s="175">
        <f t="shared" si="28"/>
        <v>0</v>
      </c>
      <c r="X36" s="175">
        <f t="shared" si="28"/>
        <v>798434.62315964676</v>
      </c>
      <c r="Y36" s="175">
        <f t="shared" si="28"/>
        <v>0</v>
      </c>
      <c r="Z36" s="196">
        <f>SUM(Q36:Y36)</f>
        <v>81264599.761956215</v>
      </c>
      <c r="AA36" s="176">
        <f t="shared" si="23"/>
        <v>180516016.2258386</v>
      </c>
      <c r="AB36" s="176">
        <f>'Collections and ACP'!K44</f>
        <v>153492365.55944532</v>
      </c>
      <c r="AC36" s="176">
        <f t="shared" si="19"/>
        <v>334008381.78528392</v>
      </c>
      <c r="AD36" s="176">
        <f t="shared" si="24"/>
        <v>201358131.42921761</v>
      </c>
      <c r="AE36" s="18">
        <f t="shared" si="20"/>
        <v>132650250.35606632</v>
      </c>
      <c r="AF36" s="19"/>
    </row>
    <row r="37" spans="1:32" x14ac:dyDescent="0.35">
      <c r="A37" s="174" t="s">
        <v>24</v>
      </c>
      <c r="B37" s="16">
        <f t="shared" si="14"/>
        <v>0</v>
      </c>
      <c r="C37" s="16">
        <f t="shared" si="14"/>
        <v>14796293.50615992</v>
      </c>
      <c r="D37" s="16">
        <f t="shared" si="14"/>
        <v>26112357.341568712</v>
      </c>
      <c r="E37" s="16">
        <f t="shared" si="14"/>
        <v>336043.68553483923</v>
      </c>
      <c r="F37" s="16">
        <f t="shared" si="14"/>
        <v>6201184.1134031182</v>
      </c>
      <c r="G37" s="16">
        <f t="shared" si="14"/>
        <v>0</v>
      </c>
      <c r="H37" s="17">
        <v>202999.99999999997</v>
      </c>
      <c r="I37" s="17">
        <v>6627071.8807588778</v>
      </c>
      <c r="J37" s="17">
        <f t="shared" si="15"/>
        <v>5238501.2591414955</v>
      </c>
      <c r="K37" s="17">
        <f t="shared" si="15"/>
        <v>21609965.684279922</v>
      </c>
      <c r="L37" s="17">
        <f t="shared" si="15"/>
        <v>2152800.1081679538</v>
      </c>
      <c r="M37" s="17">
        <f t="shared" si="16"/>
        <v>4891241.3241190277</v>
      </c>
      <c r="N37" s="17"/>
      <c r="O37" s="17">
        <f t="shared" si="17"/>
        <v>14480715.097082175</v>
      </c>
      <c r="P37" s="17">
        <f t="shared" si="21"/>
        <v>102649174.00021604</v>
      </c>
      <c r="Q37" s="175">
        <f t="shared" ref="Q37:Y37" si="29">$B$29*Q10</f>
        <v>42796075.058723509</v>
      </c>
      <c r="R37" s="175">
        <f t="shared" si="29"/>
        <v>15258077.63797312</v>
      </c>
      <c r="S37" s="175">
        <f t="shared" si="29"/>
        <v>7818775.4867494442</v>
      </c>
      <c r="T37" s="175">
        <f t="shared" si="29"/>
        <v>11198404.15674348</v>
      </c>
      <c r="U37" s="175">
        <f t="shared" si="29"/>
        <v>3108749.7018418754</v>
      </c>
      <c r="V37" s="175">
        <f t="shared" si="29"/>
        <v>14937189.760392468</v>
      </c>
      <c r="W37" s="175">
        <f t="shared" si="29"/>
        <v>0</v>
      </c>
      <c r="X37" s="175">
        <f t="shared" si="29"/>
        <v>733525.58964183752</v>
      </c>
      <c r="Y37" s="175">
        <f t="shared" si="29"/>
        <v>0</v>
      </c>
      <c r="Z37" s="196">
        <f t="shared" ref="Z37:Z53" si="30">SUM(Q37:Y37)</f>
        <v>95850797.392065749</v>
      </c>
      <c r="AA37" s="176">
        <f>AE36</f>
        <v>132650250.35606632</v>
      </c>
      <c r="AB37" s="176">
        <f>'Collections and ACP'!K45</f>
        <v>151744178.01187399</v>
      </c>
      <c r="AC37" s="176">
        <f t="shared" si="19"/>
        <v>284394428.36794031</v>
      </c>
      <c r="AD37" s="176">
        <f t="shared" si="24"/>
        <v>198499971.39228177</v>
      </c>
      <c r="AE37" s="18">
        <f t="shared" si="20"/>
        <v>85894456.975658536</v>
      </c>
      <c r="AF37" s="19"/>
    </row>
    <row r="38" spans="1:32" x14ac:dyDescent="0.35">
      <c r="A38" s="174" t="s">
        <v>25</v>
      </c>
      <c r="B38" s="16">
        <f t="shared" si="14"/>
        <v>0</v>
      </c>
      <c r="C38" s="16">
        <f t="shared" si="14"/>
        <v>13464455.946358558</v>
      </c>
      <c r="D38" s="16">
        <f t="shared" si="14"/>
        <v>20814658.471441355</v>
      </c>
      <c r="E38" s="16">
        <f t="shared" si="14"/>
        <v>334377.16664560547</v>
      </c>
      <c r="F38" s="16">
        <f t="shared" si="14"/>
        <v>6201184.1134031182</v>
      </c>
      <c r="G38" s="16">
        <f t="shared" si="14"/>
        <v>0</v>
      </c>
      <c r="H38" s="17">
        <v>202999.99999999997</v>
      </c>
      <c r="I38" s="17">
        <v>6627071.8807588778</v>
      </c>
      <c r="J38" s="17">
        <f t="shared" si="15"/>
        <v>4776833.845823599</v>
      </c>
      <c r="K38" s="17">
        <f t="shared" si="15"/>
        <v>20035772.832118247</v>
      </c>
      <c r="L38" s="17">
        <f t="shared" si="15"/>
        <v>2084099.2192172001</v>
      </c>
      <c r="M38" s="17">
        <f t="shared" si="16"/>
        <v>4883593.5544520933</v>
      </c>
      <c r="N38" s="17"/>
      <c r="O38" s="17">
        <f t="shared" si="17"/>
        <v>14480715.097082175</v>
      </c>
      <c r="P38" s="17">
        <f t="shared" si="21"/>
        <v>93905762.127300829</v>
      </c>
      <c r="Q38" s="175">
        <f t="shared" ref="Q38:Y38" si="31">$B$29*Q11</f>
        <v>41084232.056374565</v>
      </c>
      <c r="R38" s="175">
        <f t="shared" si="31"/>
        <v>19299471.210784324</v>
      </c>
      <c r="S38" s="175">
        <f t="shared" si="31"/>
        <v>11465504.36562684</v>
      </c>
      <c r="T38" s="175">
        <f t="shared" si="31"/>
        <v>13346478.950708818</v>
      </c>
      <c r="U38" s="175">
        <f t="shared" si="31"/>
        <v>4526078.3873770656</v>
      </c>
      <c r="V38" s="175">
        <f t="shared" si="31"/>
        <v>19427627.063516025</v>
      </c>
      <c r="W38" s="175">
        <f t="shared" si="31"/>
        <v>4838066.5984549858</v>
      </c>
      <c r="X38" s="175">
        <f t="shared" si="31"/>
        <v>713158.16562246042</v>
      </c>
      <c r="Y38" s="175">
        <f t="shared" si="31"/>
        <v>0</v>
      </c>
      <c r="Z38" s="196">
        <f t="shared" si="30"/>
        <v>114700616.79846507</v>
      </c>
      <c r="AA38" s="176">
        <f t="shared" si="23"/>
        <v>85894456.975658536</v>
      </c>
      <c r="AB38" s="176">
        <f>'Collections and ACP'!K46</f>
        <v>150699620.50638735</v>
      </c>
      <c r="AC38" s="176">
        <f t="shared" si="19"/>
        <v>236594077.48204589</v>
      </c>
      <c r="AD38" s="176">
        <f t="shared" si="24"/>
        <v>208606378.9257659</v>
      </c>
      <c r="AE38" s="18">
        <f t="shared" si="20"/>
        <v>27987698.556279987</v>
      </c>
      <c r="AF38" s="19"/>
    </row>
    <row r="39" spans="1:32" x14ac:dyDescent="0.35">
      <c r="A39" s="174" t="s">
        <v>26</v>
      </c>
      <c r="B39" s="16">
        <f t="shared" si="14"/>
        <v>0</v>
      </c>
      <c r="C39" s="16">
        <f t="shared" si="14"/>
        <v>8958448.7419420909</v>
      </c>
      <c r="D39" s="16">
        <f t="shared" si="14"/>
        <v>19916041.045007255</v>
      </c>
      <c r="E39" s="16">
        <f t="shared" si="14"/>
        <v>332696.15545670252</v>
      </c>
      <c r="F39" s="16">
        <f t="shared" si="14"/>
        <v>6201184.1134031182</v>
      </c>
      <c r="G39" s="16">
        <f t="shared" si="14"/>
        <v>0</v>
      </c>
      <c r="H39" s="17">
        <v>202999.99999999997</v>
      </c>
      <c r="I39" s="17">
        <v>6627071.8807588778</v>
      </c>
      <c r="J39" s="17">
        <f t="shared" si="15"/>
        <v>4701658.1956119332</v>
      </c>
      <c r="K39" s="17">
        <f t="shared" si="15"/>
        <v>19698048.148881424</v>
      </c>
      <c r="L39" s="17">
        <f t="shared" si="15"/>
        <v>2064291.7360474032</v>
      </c>
      <c r="M39" s="17">
        <f t="shared" si="16"/>
        <v>4896343.0445534475</v>
      </c>
      <c r="N39" s="17"/>
      <c r="O39" s="17">
        <f t="shared" si="17"/>
        <v>14480715.097082175</v>
      </c>
      <c r="P39" s="17">
        <f t="shared" si="21"/>
        <v>88079498.158744425</v>
      </c>
      <c r="Q39" s="175">
        <f t="shared" ref="Q39:Y39" si="32">$B$29*Q12</f>
        <v>39440862.774119586</v>
      </c>
      <c r="R39" s="175">
        <f t="shared" si="32"/>
        <v>23179209.040683076</v>
      </c>
      <c r="S39" s="175">
        <f t="shared" si="32"/>
        <v>14946566.689857405</v>
      </c>
      <c r="T39" s="175">
        <f t="shared" si="32"/>
        <v>15395650.698114367</v>
      </c>
      <c r="U39" s="175">
        <f t="shared" si="32"/>
        <v>5886713.9254908487</v>
      </c>
      <c r="V39" s="175">
        <f t="shared" si="32"/>
        <v>23738446.874514636</v>
      </c>
      <c r="W39" s="175">
        <f t="shared" si="32"/>
        <v>3649239.8247625488</v>
      </c>
      <c r="X39" s="175">
        <f t="shared" si="32"/>
        <v>5586307.3419001503</v>
      </c>
      <c r="Y39" s="175">
        <f t="shared" si="32"/>
        <v>0</v>
      </c>
      <c r="Z39" s="196">
        <f t="shared" si="30"/>
        <v>131822997.16944264</v>
      </c>
      <c r="AA39" s="176">
        <f t="shared" si="23"/>
        <v>27987698.556279987</v>
      </c>
      <c r="AB39" s="176">
        <f>'Collections and ACP'!K47</f>
        <v>150699620.50638735</v>
      </c>
      <c r="AC39" s="176">
        <f t="shared" si="19"/>
        <v>178687319.06266734</v>
      </c>
      <c r="AD39" s="176">
        <f t="shared" si="24"/>
        <v>219902495.32818705</v>
      </c>
      <c r="AE39" s="18">
        <f t="shared" si="20"/>
        <v>-41215176.265519708</v>
      </c>
      <c r="AF39" s="19"/>
    </row>
    <row r="40" spans="1:32" x14ac:dyDescent="0.35">
      <c r="A40" s="174" t="s">
        <v>27</v>
      </c>
      <c r="B40" s="16">
        <f t="shared" si="14"/>
        <v>0</v>
      </c>
      <c r="C40" s="16">
        <f t="shared" si="14"/>
        <v>8612601.55629443</v>
      </c>
      <c r="D40" s="16">
        <f t="shared" si="14"/>
        <v>19816374.661962271</v>
      </c>
      <c r="E40" s="16">
        <f t="shared" si="14"/>
        <v>331050.84212665696</v>
      </c>
      <c r="F40" s="16">
        <f t="shared" si="14"/>
        <v>6201184.1134031182</v>
      </c>
      <c r="G40" s="16">
        <f t="shared" si="14"/>
        <v>0</v>
      </c>
      <c r="H40" s="17">
        <v>202999.99999999997</v>
      </c>
      <c r="I40" s="17">
        <v>6627071.8807588778</v>
      </c>
      <c r="J40" s="17">
        <f t="shared" si="15"/>
        <v>3633228.8481510184</v>
      </c>
      <c r="K40" s="17">
        <f t="shared" si="15"/>
        <v>16240332.957846303</v>
      </c>
      <c r="L40" s="17">
        <f t="shared" si="15"/>
        <v>1921225.3555298075</v>
      </c>
      <c r="M40" s="17">
        <f t="shared" si="16"/>
        <v>4900389.0022009388</v>
      </c>
      <c r="N40" s="17"/>
      <c r="O40" s="17">
        <f t="shared" si="17"/>
        <v>14480715.097082175</v>
      </c>
      <c r="P40" s="17">
        <f t="shared" si="21"/>
        <v>82967174.315355599</v>
      </c>
      <c r="Q40" s="175">
        <f t="shared" ref="Q40:Y40" si="33">$B$29*Q13</f>
        <v>37863228.263154797</v>
      </c>
      <c r="R40" s="175">
        <f t="shared" si="33"/>
        <v>26903757.357385874</v>
      </c>
      <c r="S40" s="175">
        <f t="shared" si="33"/>
        <v>18268688.108624469</v>
      </c>
      <c r="T40" s="175">
        <f t="shared" si="33"/>
        <v>17349940.421096526</v>
      </c>
      <c r="U40" s="175">
        <f t="shared" si="33"/>
        <v>7192924.0420800783</v>
      </c>
      <c r="V40" s="175">
        <f t="shared" si="33"/>
        <v>27876833.893073302</v>
      </c>
      <c r="W40" s="175">
        <f t="shared" si="33"/>
        <v>4038458.5391036659</v>
      </c>
      <c r="X40" s="175">
        <f t="shared" si="33"/>
        <v>10277609.14728637</v>
      </c>
      <c r="Y40" s="175">
        <f t="shared" si="33"/>
        <v>1022631.863992605</v>
      </c>
      <c r="Z40" s="196">
        <f t="shared" si="30"/>
        <v>150794071.63579765</v>
      </c>
      <c r="AA40" s="176">
        <f t="shared" si="23"/>
        <v>-41215176.265519708</v>
      </c>
      <c r="AB40" s="176">
        <f>'Collections and ACP'!K48</f>
        <v>150699620.50638735</v>
      </c>
      <c r="AC40" s="176">
        <f t="shared" si="19"/>
        <v>109484444.24086764</v>
      </c>
      <c r="AD40" s="176">
        <f t="shared" si="24"/>
        <v>233761245.95115325</v>
      </c>
      <c r="AE40" s="18">
        <f t="shared" si="20"/>
        <v>-124276801.7102856</v>
      </c>
      <c r="AF40" s="19"/>
    </row>
    <row r="41" spans="1:32" x14ac:dyDescent="0.35">
      <c r="A41" s="174" t="s">
        <v>28</v>
      </c>
      <c r="B41" s="16">
        <f t="shared" ref="B41:G50" si="34">B14*$B$29</f>
        <v>0</v>
      </c>
      <c r="C41" s="16">
        <f t="shared" si="34"/>
        <v>7779186.4227760164</v>
      </c>
      <c r="D41" s="16">
        <f t="shared" si="34"/>
        <v>19717370.432784256</v>
      </c>
      <c r="E41" s="16">
        <f t="shared" si="34"/>
        <v>329391.39561867667</v>
      </c>
      <c r="F41" s="16">
        <f t="shared" si="34"/>
        <v>6201184.1134031182</v>
      </c>
      <c r="G41" s="16">
        <f t="shared" si="34"/>
        <v>0</v>
      </c>
      <c r="H41" s="17">
        <v>202999.99999999997</v>
      </c>
      <c r="I41" s="17">
        <v>6627071.8807588778</v>
      </c>
      <c r="J41" s="17">
        <f t="shared" si="15"/>
        <v>4059960.8888856973</v>
      </c>
      <c r="K41" s="17">
        <f t="shared" si="15"/>
        <v>17494101.618537538</v>
      </c>
      <c r="L41" s="17">
        <f t="shared" si="15"/>
        <v>1964372.6269715191</v>
      </c>
      <c r="M41" s="17">
        <f t="shared" si="16"/>
        <v>4930216.322261163</v>
      </c>
      <c r="N41" s="17"/>
      <c r="O41" s="17">
        <f t="shared" si="17"/>
        <v>14480715.097082175</v>
      </c>
      <c r="P41" s="17">
        <f t="shared" si="21"/>
        <v>83786570.799079031</v>
      </c>
      <c r="Q41" s="175">
        <f t="shared" ref="Q41:Y41" si="35">$B$29*Q14</f>
        <v>36348699.132628612</v>
      </c>
      <c r="R41" s="175">
        <f t="shared" si="35"/>
        <v>28664716.887800664</v>
      </c>
      <c r="S41" s="175">
        <f t="shared" si="35"/>
        <v>21438324.750209041</v>
      </c>
      <c r="T41" s="175">
        <f t="shared" si="35"/>
        <v>19213207.976404861</v>
      </c>
      <c r="U41" s="175">
        <f t="shared" si="35"/>
        <v>8446885.7540057395</v>
      </c>
      <c r="V41" s="175">
        <f t="shared" si="35"/>
        <v>31849685.430889629</v>
      </c>
      <c r="W41" s="175">
        <f t="shared" si="35"/>
        <v>-6450835.3896111446</v>
      </c>
      <c r="X41" s="175">
        <f t="shared" si="35"/>
        <v>11276145.824746896</v>
      </c>
      <c r="Y41" s="175">
        <f t="shared" si="35"/>
        <v>1899534.2633497783</v>
      </c>
      <c r="Z41" s="196">
        <f t="shared" si="30"/>
        <v>152686364.63042408</v>
      </c>
      <c r="AA41" s="176">
        <f t="shared" si="23"/>
        <v>-124276801.7102856</v>
      </c>
      <c r="AB41" s="176">
        <f>'Collections and ACP'!K49</f>
        <v>150699620.50638735</v>
      </c>
      <c r="AC41" s="176">
        <f t="shared" si="19"/>
        <v>26422818.796101749</v>
      </c>
      <c r="AD41" s="176">
        <f t="shared" si="24"/>
        <v>236472935.42950311</v>
      </c>
      <c r="AE41" s="18">
        <f t="shared" si="20"/>
        <v>-210050116.63340136</v>
      </c>
      <c r="AF41" s="19"/>
    </row>
    <row r="42" spans="1:32" x14ac:dyDescent="0.35">
      <c r="A42" s="174" t="s">
        <v>29</v>
      </c>
      <c r="B42" s="16">
        <f t="shared" si="34"/>
        <v>0</v>
      </c>
      <c r="C42" s="16">
        <f t="shared" si="34"/>
        <v>0</v>
      </c>
      <c r="D42" s="16">
        <f t="shared" si="34"/>
        <v>19618760.365775041</v>
      </c>
      <c r="E42" s="16">
        <f t="shared" si="34"/>
        <v>327735.65906990418</v>
      </c>
      <c r="F42" s="16">
        <f t="shared" si="34"/>
        <v>0</v>
      </c>
      <c r="G42" s="16">
        <f t="shared" si="34"/>
        <v>0</v>
      </c>
      <c r="H42" s="17">
        <v>202999.99999999997</v>
      </c>
      <c r="I42" s="17">
        <v>6627071.8807588778</v>
      </c>
      <c r="J42" s="17">
        <f t="shared" si="15"/>
        <v>5229335.2124618255</v>
      </c>
      <c r="K42" s="17">
        <f t="shared" si="15"/>
        <v>21046560.792247005</v>
      </c>
      <c r="L42" s="17">
        <f t="shared" si="15"/>
        <v>2098388.1633125413</v>
      </c>
      <c r="M42" s="17">
        <f t="shared" si="16"/>
        <v>4958327.5396205718</v>
      </c>
      <c r="N42" s="17"/>
      <c r="O42" s="17">
        <f t="shared" si="17"/>
        <v>14480715.097082175</v>
      </c>
      <c r="P42" s="17">
        <f t="shared" si="21"/>
        <v>74589894.710327938</v>
      </c>
      <c r="Q42" s="175">
        <f t="shared" ref="Q42:Y42" si="36">$B$29*Q15</f>
        <v>34894751.167323463</v>
      </c>
      <c r="R42" s="175">
        <f t="shared" si="36"/>
        <v>27518128.212288644</v>
      </c>
      <c r="S42" s="175">
        <f t="shared" si="36"/>
        <v>24461674.005300585</v>
      </c>
      <c r="T42" s="175">
        <f t="shared" si="36"/>
        <v>20989158.5036401</v>
      </c>
      <c r="U42" s="175">
        <f t="shared" si="36"/>
        <v>9650688.997454375</v>
      </c>
      <c r="V42" s="175">
        <f t="shared" si="36"/>
        <v>30575698.013654038</v>
      </c>
      <c r="W42" s="175">
        <f t="shared" si="36"/>
        <v>-2248745.4983362611</v>
      </c>
      <c r="X42" s="175">
        <f t="shared" si="36"/>
        <v>15422267.384835958</v>
      </c>
      <c r="Y42" s="175">
        <f t="shared" si="36"/>
        <v>2926217.1565368753</v>
      </c>
      <c r="Z42" s="196">
        <f t="shared" si="30"/>
        <v>164189837.94269776</v>
      </c>
      <c r="AA42" s="176">
        <f t="shared" si="23"/>
        <v>-210050116.63340136</v>
      </c>
      <c r="AB42" s="176">
        <f>'Collections and ACP'!K50</f>
        <v>150699620.50638735</v>
      </c>
      <c r="AC42" s="176">
        <f t="shared" si="19"/>
        <v>-59350496.127014011</v>
      </c>
      <c r="AD42" s="176">
        <f t="shared" si="24"/>
        <v>238779732.65302569</v>
      </c>
      <c r="AE42" s="18">
        <f t="shared" si="20"/>
        <v>-298130228.78003967</v>
      </c>
      <c r="AF42" s="19"/>
    </row>
    <row r="43" spans="1:32" x14ac:dyDescent="0.35">
      <c r="A43" s="174" t="s">
        <v>30</v>
      </c>
      <c r="B43" s="16">
        <f t="shared" si="34"/>
        <v>0</v>
      </c>
      <c r="C43" s="16">
        <f t="shared" si="34"/>
        <v>0</v>
      </c>
      <c r="D43" s="16">
        <f t="shared" si="34"/>
        <v>19520590.842665084</v>
      </c>
      <c r="E43" s="16">
        <f t="shared" si="34"/>
        <v>326095.20257170219</v>
      </c>
      <c r="F43" s="16">
        <f t="shared" si="34"/>
        <v>0</v>
      </c>
      <c r="G43" s="16">
        <f t="shared" si="34"/>
        <v>0</v>
      </c>
      <c r="H43" s="17">
        <v>202999.99999999997</v>
      </c>
      <c r="I43" s="17">
        <v>6627071.8807588778</v>
      </c>
      <c r="J43" s="17">
        <f t="shared" si="15"/>
        <v>5484026.1839944143</v>
      </c>
      <c r="K43" s="17">
        <f t="shared" si="15"/>
        <v>21730144.641975187</v>
      </c>
      <c r="L43" s="17">
        <f t="shared" si="15"/>
        <v>2119067.5214079339</v>
      </c>
      <c r="M43" s="17">
        <f t="shared" si="16"/>
        <v>4991329.4793066774</v>
      </c>
      <c r="N43" s="17"/>
      <c r="O43" s="17">
        <f t="shared" si="17"/>
        <v>14480715.097082175</v>
      </c>
      <c r="P43" s="17">
        <f t="shared" si="21"/>
        <v>75482040.849762052</v>
      </c>
      <c r="Q43" s="175">
        <f t="shared" ref="Q43:Y43" si="37">$B$29*Q16</f>
        <v>33498961.120630525</v>
      </c>
      <c r="R43" s="175">
        <f t="shared" si="37"/>
        <v>26417403.083797097</v>
      </c>
      <c r="S43" s="175">
        <f t="shared" si="37"/>
        <v>27344684.878962968</v>
      </c>
      <c r="T43" s="175">
        <f t="shared" si="37"/>
        <v>22681348.615554478</v>
      </c>
      <c r="U43" s="175">
        <f t="shared" si="37"/>
        <v>9264661.4375561979</v>
      </c>
      <c r="V43" s="175">
        <f t="shared" si="37"/>
        <v>29352670.093107875</v>
      </c>
      <c r="W43" s="175">
        <f t="shared" si="37"/>
        <v>14406806.110799493</v>
      </c>
      <c r="X43" s="175">
        <f t="shared" si="37"/>
        <v>23938013.975444399</v>
      </c>
      <c r="Y43" s="175">
        <f t="shared" si="37"/>
        <v>4198153.3536732085</v>
      </c>
      <c r="Z43" s="196">
        <f t="shared" si="30"/>
        <v>191102702.66952625</v>
      </c>
      <c r="AA43" s="176">
        <f t="shared" si="23"/>
        <v>-298130228.78003967</v>
      </c>
      <c r="AB43" s="176">
        <f>'Collections and ACP'!K51</f>
        <v>150699620.50638735</v>
      </c>
      <c r="AC43" s="176">
        <f t="shared" si="19"/>
        <v>-147430608.27365232</v>
      </c>
      <c r="AD43" s="176">
        <f t="shared" si="24"/>
        <v>266584743.5192883</v>
      </c>
      <c r="AE43" s="18">
        <f t="shared" si="20"/>
        <v>-414015351.79294062</v>
      </c>
      <c r="AF43" s="19"/>
    </row>
    <row r="44" spans="1:32" x14ac:dyDescent="0.35">
      <c r="A44" s="174" t="s">
        <v>31</v>
      </c>
      <c r="B44" s="16">
        <f t="shared" si="34"/>
        <v>0</v>
      </c>
      <c r="C44" s="16">
        <f t="shared" si="34"/>
        <v>0</v>
      </c>
      <c r="D44" s="16">
        <f t="shared" si="34"/>
        <v>19422934.339433443</v>
      </c>
      <c r="E44" s="16">
        <f t="shared" si="34"/>
        <v>324501.48402954743</v>
      </c>
      <c r="F44" s="16">
        <f t="shared" si="34"/>
        <v>0</v>
      </c>
      <c r="G44" s="16">
        <f t="shared" si="34"/>
        <v>0</v>
      </c>
      <c r="H44" s="17">
        <v>202999.99999999997</v>
      </c>
      <c r="I44" s="17">
        <v>6142006.5088935578</v>
      </c>
      <c r="J44" s="17">
        <f t="shared" si="15"/>
        <v>5054543.5888643516</v>
      </c>
      <c r="K44" s="17">
        <f t="shared" si="15"/>
        <v>20297971.90162278</v>
      </c>
      <c r="L44" s="17">
        <f t="shared" si="15"/>
        <v>2056171.1830297476</v>
      </c>
      <c r="M44" s="17">
        <f t="shared" si="16"/>
        <v>5007256.3669591239</v>
      </c>
      <c r="N44" s="17"/>
      <c r="O44" s="17">
        <f t="shared" si="17"/>
        <v>14480715.097082175</v>
      </c>
      <c r="P44" s="17">
        <f t="shared" si="21"/>
        <v>72989100.469914734</v>
      </c>
      <c r="Q44" s="175">
        <f t="shared" ref="Q44:Y44" si="38">$B$29*Q17</f>
        <v>16079501.33790265</v>
      </c>
      <c r="R44" s="175">
        <f t="shared" si="38"/>
        <v>23681833.798591185</v>
      </c>
      <c r="S44" s="175">
        <f t="shared" si="38"/>
        <v>30093067.928509478</v>
      </c>
      <c r="T44" s="175">
        <f t="shared" si="38"/>
        <v>23430567.106604345</v>
      </c>
      <c r="U44" s="175">
        <f t="shared" si="38"/>
        <v>8894074.9800539482</v>
      </c>
      <c r="V44" s="175">
        <f t="shared" si="38"/>
        <v>26313148.665101312</v>
      </c>
      <c r="W44" s="175">
        <f t="shared" si="38"/>
        <v>17626472.463765159</v>
      </c>
      <c r="X44" s="175">
        <f t="shared" si="38"/>
        <v>27953779.971308962</v>
      </c>
      <c r="Y44" s="175">
        <f t="shared" si="38"/>
        <v>4875443.2768327091</v>
      </c>
      <c r="Z44" s="196">
        <f t="shared" si="30"/>
        <v>178947889.52866971</v>
      </c>
      <c r="AA44" s="176">
        <f t="shared" si="23"/>
        <v>-414015351.79294062</v>
      </c>
      <c r="AB44" s="176">
        <f>'Collections and ACP'!K52</f>
        <v>150699620.50638735</v>
      </c>
      <c r="AC44" s="176">
        <f t="shared" si="19"/>
        <v>-263315731.28655326</v>
      </c>
      <c r="AD44" s="176">
        <f t="shared" si="24"/>
        <v>251936989.99858445</v>
      </c>
      <c r="AE44" s="18">
        <f t="shared" si="20"/>
        <v>-515252721.28513771</v>
      </c>
      <c r="AF44" s="19"/>
    </row>
    <row r="45" spans="1:32" x14ac:dyDescent="0.35">
      <c r="A45" s="174" t="s">
        <v>32</v>
      </c>
      <c r="B45" s="16">
        <f t="shared" si="34"/>
        <v>0</v>
      </c>
      <c r="C45" s="16">
        <f t="shared" si="34"/>
        <v>0</v>
      </c>
      <c r="D45" s="16">
        <f t="shared" si="34"/>
        <v>19325770.687340133</v>
      </c>
      <c r="E45" s="16">
        <f t="shared" si="34"/>
        <v>322845.74748077506</v>
      </c>
      <c r="F45" s="16">
        <f t="shared" si="34"/>
        <v>0</v>
      </c>
      <c r="G45" s="16">
        <f t="shared" si="34"/>
        <v>0</v>
      </c>
      <c r="H45" s="17">
        <v>202999.99999999997</v>
      </c>
      <c r="I45" s="17">
        <v>6142006.5088935578</v>
      </c>
      <c r="J45" s="17">
        <f t="shared" si="15"/>
        <v>4150073.9374626526</v>
      </c>
      <c r="K45" s="17">
        <f t="shared" si="15"/>
        <v>17423144.813817117</v>
      </c>
      <c r="L45" s="17">
        <f t="shared" si="15"/>
        <v>1936297.6564698021</v>
      </c>
      <c r="M45" s="17">
        <f t="shared" si="16"/>
        <v>5033118.2732591704</v>
      </c>
      <c r="N45" s="17"/>
      <c r="O45" s="17">
        <f t="shared" si="17"/>
        <v>14480715.097082175</v>
      </c>
      <c r="P45" s="17">
        <f t="shared" si="21"/>
        <v>69016972.721805394</v>
      </c>
      <c r="Q45" s="175">
        <f t="shared" ref="Q45:Y45" si="39">$B$29*Q18</f>
        <v>15436321.284386544</v>
      </c>
      <c r="R45" s="175">
        <f t="shared" si="39"/>
        <v>21148958.016007625</v>
      </c>
      <c r="S45" s="175">
        <f t="shared" si="39"/>
        <v>31327453.696358778</v>
      </c>
      <c r="T45" s="175">
        <f t="shared" si="39"/>
        <v>24141534.495833851</v>
      </c>
      <c r="U45" s="175">
        <f t="shared" si="39"/>
        <v>7973077.6262044031</v>
      </c>
      <c r="V45" s="175">
        <f t="shared" si="39"/>
        <v>23498842.24000847</v>
      </c>
      <c r="W45" s="175">
        <f t="shared" si="39"/>
        <v>12182154.526505485</v>
      </c>
      <c r="X45" s="175">
        <f t="shared" si="39"/>
        <v>28035820.320232153</v>
      </c>
      <c r="Y45" s="175">
        <f t="shared" si="39"/>
        <v>5338362.3241072875</v>
      </c>
      <c r="Z45" s="196">
        <f t="shared" si="30"/>
        <v>169082524.52964461</v>
      </c>
      <c r="AA45" s="176">
        <f t="shared" si="23"/>
        <v>-515252721.28513771</v>
      </c>
      <c r="AB45" s="176">
        <f>'Collections and ACP'!K53</f>
        <v>150699620.50638735</v>
      </c>
      <c r="AC45" s="176">
        <f t="shared" si="19"/>
        <v>-364553100.77875036</v>
      </c>
      <c r="AD45" s="176">
        <f t="shared" si="24"/>
        <v>238099497.25145</v>
      </c>
      <c r="AE45" s="18">
        <f t="shared" si="20"/>
        <v>-602652598.03020036</v>
      </c>
      <c r="AF45" s="19"/>
    </row>
    <row r="46" spans="1:32" x14ac:dyDescent="0.35">
      <c r="A46" s="174" t="s">
        <v>33</v>
      </c>
      <c r="B46" s="16">
        <f t="shared" si="34"/>
        <v>0</v>
      </c>
      <c r="C46" s="16">
        <f t="shared" si="34"/>
        <v>0</v>
      </c>
      <c r="D46" s="16">
        <f t="shared" si="34"/>
        <v>19229208.772674248</v>
      </c>
      <c r="E46" s="16">
        <f t="shared" si="34"/>
        <v>321224.05509319587</v>
      </c>
      <c r="F46" s="16">
        <f t="shared" si="34"/>
        <v>0</v>
      </c>
      <c r="G46" s="16">
        <f t="shared" si="34"/>
        <v>0</v>
      </c>
      <c r="H46" s="17">
        <v>202999.99999999997</v>
      </c>
      <c r="I46" s="17">
        <v>5130841.8801888945</v>
      </c>
      <c r="J46" s="17">
        <f t="shared" si="15"/>
        <v>3554099.5073683173</v>
      </c>
      <c r="K46" s="17">
        <f t="shared" si="15"/>
        <v>15517754.832369812</v>
      </c>
      <c r="L46" s="17">
        <f t="shared" si="15"/>
        <v>1854764.2744481948</v>
      </c>
      <c r="M46" s="17">
        <f t="shared" si="16"/>
        <v>5052092.9450712204</v>
      </c>
      <c r="N46" s="17"/>
      <c r="O46" s="17">
        <f t="shared" si="17"/>
        <v>14480715.097082175</v>
      </c>
      <c r="P46" s="17">
        <f t="shared" si="21"/>
        <v>65343701.364296056</v>
      </c>
      <c r="Q46" s="175">
        <f t="shared" ref="Q46:Y46" si="40">$B$29*Q19</f>
        <v>14818868.433011081</v>
      </c>
      <c r="R46" s="175">
        <f t="shared" si="40"/>
        <v>18717397.26472741</v>
      </c>
      <c r="S46" s="175">
        <f t="shared" si="40"/>
        <v>32500273.491069146</v>
      </c>
      <c r="T46" s="175">
        <f t="shared" si="40"/>
        <v>24815822.239126716</v>
      </c>
      <c r="U46" s="175">
        <f t="shared" si="40"/>
        <v>7120322.0751003632</v>
      </c>
      <c r="V46" s="175">
        <f t="shared" si="40"/>
        <v>20797108.071919337</v>
      </c>
      <c r="W46" s="175">
        <f t="shared" si="40"/>
        <v>-1490646.2529937373</v>
      </c>
      <c r="X46" s="175">
        <f t="shared" si="40"/>
        <v>24450799.214415312</v>
      </c>
      <c r="Y46" s="175">
        <f t="shared" si="40"/>
        <v>5588789.9044907037</v>
      </c>
      <c r="Z46" s="196">
        <f t="shared" si="30"/>
        <v>147318734.44086635</v>
      </c>
      <c r="AA46" s="176">
        <f t="shared" si="23"/>
        <v>-602652598.03020036</v>
      </c>
      <c r="AB46" s="176">
        <f>'Collections and ACP'!K54</f>
        <v>150699620.50638735</v>
      </c>
      <c r="AC46" s="176">
        <f t="shared" si="19"/>
        <v>-451952977.52381301</v>
      </c>
      <c r="AD46" s="176">
        <f t="shared" si="24"/>
        <v>212662435.8051624</v>
      </c>
      <c r="AE46" s="18">
        <f t="shared" si="20"/>
        <v>-664615413.32897544</v>
      </c>
      <c r="AF46" s="19"/>
    </row>
    <row r="47" spans="1:32" x14ac:dyDescent="0.35">
      <c r="A47" s="174" t="s">
        <v>34</v>
      </c>
      <c r="B47" s="16">
        <f t="shared" si="34"/>
        <v>0</v>
      </c>
      <c r="C47" s="16">
        <f t="shared" si="34"/>
        <v>0</v>
      </c>
      <c r="D47" s="16">
        <f t="shared" si="34"/>
        <v>19133107.179668307</v>
      </c>
      <c r="E47" s="16">
        <f t="shared" si="34"/>
        <v>319621.8334751362</v>
      </c>
      <c r="F47" s="16">
        <f t="shared" si="34"/>
        <v>0</v>
      </c>
      <c r="G47" s="16">
        <f t="shared" si="34"/>
        <v>0</v>
      </c>
      <c r="H47" s="17">
        <v>202999.99999999997</v>
      </c>
      <c r="I47" s="17">
        <v>1724725.2635890711</v>
      </c>
      <c r="J47" s="17">
        <f t="shared" si="15"/>
        <v>3084602.4540150864</v>
      </c>
      <c r="K47" s="17">
        <f t="shared" si="15"/>
        <v>14014927.00246102</v>
      </c>
      <c r="L47" s="17">
        <f t="shared" si="15"/>
        <v>1789169.9476455848</v>
      </c>
      <c r="M47" s="17">
        <f t="shared" si="16"/>
        <v>5074670.9351125583</v>
      </c>
      <c r="N47" s="17"/>
      <c r="O47" s="17">
        <f t="shared" si="17"/>
        <v>14480715.097082175</v>
      </c>
      <c r="P47" s="17">
        <f t="shared" si="21"/>
        <v>59824539.713048935</v>
      </c>
      <c r="Q47" s="175">
        <f t="shared" ref="Q47:Y47" si="41">$B$29*Q20</f>
        <v>14226113.695690637</v>
      </c>
      <c r="R47" s="175">
        <f t="shared" si="41"/>
        <v>16383098.943498397</v>
      </c>
      <c r="S47" s="175">
        <f t="shared" si="41"/>
        <v>33614050.904278263</v>
      </c>
      <c r="T47" s="175">
        <f t="shared" si="41"/>
        <v>25454938.727072228</v>
      </c>
      <c r="U47" s="175">
        <f t="shared" si="41"/>
        <v>6301676.7460404811</v>
      </c>
      <c r="V47" s="175">
        <f t="shared" si="41"/>
        <v>18203443.270553771</v>
      </c>
      <c r="W47" s="175">
        <f t="shared" si="41"/>
        <v>-11277761.888770053</v>
      </c>
      <c r="X47" s="175">
        <f t="shared" si="41"/>
        <v>22095513.10593079</v>
      </c>
      <c r="Y47" s="175">
        <f t="shared" si="41"/>
        <v>5896179.6525991159</v>
      </c>
      <c r="Z47" s="196">
        <f t="shared" si="30"/>
        <v>130897253.15689361</v>
      </c>
      <c r="AA47" s="176">
        <f t="shared" si="23"/>
        <v>-664615413.32897544</v>
      </c>
      <c r="AB47" s="176">
        <f>'Collections and ACP'!K55</f>
        <v>150699620.50638735</v>
      </c>
      <c r="AC47" s="176">
        <f t="shared" si="19"/>
        <v>-513915792.82258809</v>
      </c>
      <c r="AD47" s="176">
        <f t="shared" si="24"/>
        <v>190721792.86994255</v>
      </c>
      <c r="AE47" s="18">
        <f t="shared" si="20"/>
        <v>-704637585.69253063</v>
      </c>
      <c r="AF47" s="19"/>
    </row>
    <row r="48" spans="1:32" x14ac:dyDescent="0.35">
      <c r="A48" s="174" t="s">
        <v>35</v>
      </c>
      <c r="B48" s="16">
        <f t="shared" si="34"/>
        <v>0</v>
      </c>
      <c r="C48" s="16">
        <f t="shared" si="34"/>
        <v>0</v>
      </c>
      <c r="D48" s="16">
        <f t="shared" si="34"/>
        <v>19037395.086040892</v>
      </c>
      <c r="E48" s="16">
        <f t="shared" si="34"/>
        <v>317984.00667479576</v>
      </c>
      <c r="F48" s="16">
        <f t="shared" si="34"/>
        <v>0</v>
      </c>
      <c r="G48" s="16">
        <f t="shared" si="34"/>
        <v>0</v>
      </c>
      <c r="H48" s="17">
        <v>202999.99999999997</v>
      </c>
      <c r="I48" s="17"/>
      <c r="J48" s="17">
        <f t="shared" si="15"/>
        <v>2592386.4877082417</v>
      </c>
      <c r="K48" s="17">
        <f t="shared" si="15"/>
        <v>12458117.175050473</v>
      </c>
      <c r="L48" s="17">
        <f t="shared" si="15"/>
        <v>1721473.4783959498</v>
      </c>
      <c r="M48" s="17">
        <f t="shared" si="16"/>
        <v>5085539.8992882883</v>
      </c>
      <c r="N48" s="17"/>
      <c r="O48" s="17">
        <f t="shared" si="17"/>
        <v>14480715.097082175</v>
      </c>
      <c r="P48" s="17">
        <f t="shared" si="21"/>
        <v>55896611.230240814</v>
      </c>
      <c r="Q48" s="175">
        <f t="shared" ref="Q48:Y48" si="42">$B$29*Q21</f>
        <v>13657069.14786301</v>
      </c>
      <c r="R48" s="175">
        <f t="shared" si="42"/>
        <v>14142172.55511855</v>
      </c>
      <c r="S48" s="175">
        <f t="shared" si="42"/>
        <v>34671208.27919478</v>
      </c>
      <c r="T48" s="175">
        <f t="shared" si="42"/>
        <v>26060331.808612369</v>
      </c>
      <c r="U48" s="175">
        <f t="shared" si="42"/>
        <v>5515777.2301429966</v>
      </c>
      <c r="V48" s="175">
        <f t="shared" si="42"/>
        <v>15713525.06124283</v>
      </c>
      <c r="W48" s="175">
        <f t="shared" si="42"/>
        <v>-19910397.376857437</v>
      </c>
      <c r="X48" s="175">
        <f t="shared" si="42"/>
        <v>20064910.832645282</v>
      </c>
      <c r="Y48" s="175">
        <f t="shared" si="42"/>
        <v>6213603.5145144276</v>
      </c>
      <c r="Z48" s="196">
        <f t="shared" si="30"/>
        <v>116128201.05247682</v>
      </c>
      <c r="AA48" s="176">
        <f t="shared" si="23"/>
        <v>-704637585.69253063</v>
      </c>
      <c r="AB48" s="176">
        <f>'Collections and ACP'!K56</f>
        <v>150699620.50638735</v>
      </c>
      <c r="AC48" s="176">
        <f t="shared" si="19"/>
        <v>-553937965.18614328</v>
      </c>
      <c r="AD48" s="176">
        <f t="shared" si="24"/>
        <v>172024812.28271765</v>
      </c>
      <c r="AE48" s="18">
        <f t="shared" si="20"/>
        <v>-725962777.46886086</v>
      </c>
      <c r="AF48" s="19"/>
    </row>
    <row r="49" spans="1:34" x14ac:dyDescent="0.35">
      <c r="A49" s="174" t="s">
        <v>36</v>
      </c>
      <c r="B49" s="16">
        <f t="shared" si="34"/>
        <v>0</v>
      </c>
      <c r="C49" s="16">
        <f t="shared" si="34"/>
        <v>0</v>
      </c>
      <c r="D49" s="16">
        <f t="shared" si="34"/>
        <v>18942144.536245782</v>
      </c>
      <c r="E49" s="16">
        <f t="shared" si="34"/>
        <v>316411.79778684623</v>
      </c>
      <c r="F49" s="16">
        <f t="shared" si="34"/>
        <v>0</v>
      </c>
      <c r="G49" s="16">
        <f t="shared" si="34"/>
        <v>0</v>
      </c>
      <c r="H49" s="17">
        <v>202999.99999999997</v>
      </c>
      <c r="I49" s="17"/>
      <c r="J49" s="17">
        <f t="shared" si="15"/>
        <v>2183557.11326714</v>
      </c>
      <c r="K49" s="17">
        <f t="shared" si="15"/>
        <v>11167134.399216091</v>
      </c>
      <c r="L49" s="17">
        <f t="shared" si="15"/>
        <v>1664312.4561782691</v>
      </c>
      <c r="M49" s="17">
        <f t="shared" si="16"/>
        <v>5109593.1792917056</v>
      </c>
      <c r="N49" s="17"/>
      <c r="O49" s="17">
        <f t="shared" si="17"/>
        <v>14480715.097082175</v>
      </c>
      <c r="P49" s="17">
        <f t="shared" si="21"/>
        <v>54066868.579068005</v>
      </c>
      <c r="Q49" s="175">
        <f t="shared" ref="Q49:Y49" si="43">$B$29*Q22</f>
        <v>13110786.381948492</v>
      </c>
      <c r="R49" s="175">
        <f t="shared" si="43"/>
        <v>11990883.222273896</v>
      </c>
      <c r="S49" s="175">
        <f t="shared" si="43"/>
        <v>35674070.762059189</v>
      </c>
      <c r="T49" s="175">
        <f t="shared" si="43"/>
        <v>26633391.213737786</v>
      </c>
      <c r="U49" s="175">
        <f t="shared" si="43"/>
        <v>4761313.6948814103</v>
      </c>
      <c r="V49" s="175">
        <f t="shared" si="43"/>
        <v>13323203.580304323</v>
      </c>
      <c r="W49" s="175">
        <f t="shared" si="43"/>
        <v>-29681466.917018395</v>
      </c>
      <c r="X49" s="175">
        <f t="shared" si="43"/>
        <v>17326869.009267103</v>
      </c>
      <c r="Y49" s="175">
        <f t="shared" si="43"/>
        <v>6483054.2211136399</v>
      </c>
      <c r="Z49" s="196">
        <f t="shared" si="30"/>
        <v>99622105.168567434</v>
      </c>
      <c r="AA49" s="176">
        <f t="shared" si="23"/>
        <v>-725962777.46886086</v>
      </c>
      <c r="AB49" s="176">
        <f>'Collections and ACP'!K57</f>
        <v>150699620.50638735</v>
      </c>
      <c r="AC49" s="176">
        <f t="shared" si="19"/>
        <v>-575263156.96247351</v>
      </c>
      <c r="AD49" s="176">
        <f t="shared" si="24"/>
        <v>153688973.74763542</v>
      </c>
      <c r="AE49" s="18">
        <f t="shared" si="20"/>
        <v>-728952130.710109</v>
      </c>
      <c r="AF49" s="19"/>
    </row>
    <row r="50" spans="1:34" x14ac:dyDescent="0.35">
      <c r="A50" s="174" t="s">
        <v>37</v>
      </c>
      <c r="B50" s="16">
        <f t="shared" si="34"/>
        <v>0</v>
      </c>
      <c r="C50" s="16">
        <f t="shared" si="34"/>
        <v>0</v>
      </c>
      <c r="D50" s="16">
        <f t="shared" si="34"/>
        <v>18847493.114453223</v>
      </c>
      <c r="E50" s="16">
        <f t="shared" si="34"/>
        <v>314839.34851902624</v>
      </c>
      <c r="F50" s="16">
        <f t="shared" si="34"/>
        <v>0</v>
      </c>
      <c r="G50" s="16">
        <f t="shared" si="34"/>
        <v>0</v>
      </c>
      <c r="H50" s="17">
        <v>202999.99999999997</v>
      </c>
      <c r="I50" s="17"/>
      <c r="J50" s="17">
        <f t="shared" si="15"/>
        <v>1806475.7260331791</v>
      </c>
      <c r="K50" s="17">
        <f t="shared" si="15"/>
        <v>9983688.0428699087</v>
      </c>
      <c r="L50" s="17">
        <f t="shared" si="15"/>
        <v>1611431.6296706488</v>
      </c>
      <c r="M50" s="17">
        <f t="shared" si="16"/>
        <v>5129138.4250386506</v>
      </c>
      <c r="N50" s="17"/>
      <c r="O50" s="17">
        <f t="shared" si="17"/>
        <v>14480715.097082175</v>
      </c>
      <c r="P50" s="17">
        <f t="shared" si="21"/>
        <v>52376781.383666813</v>
      </c>
      <c r="Q50" s="175">
        <f t="shared" ref="Q50:Y50" si="44">$B$29*Q23</f>
        <v>12586354.926670551</v>
      </c>
      <c r="R50" s="175">
        <f t="shared" si="44"/>
        <v>9925645.4627430271</v>
      </c>
      <c r="S50" s="175">
        <f t="shared" si="44"/>
        <v>36624870.191538863</v>
      </c>
      <c r="T50" s="175">
        <f t="shared" si="44"/>
        <v>27175450.87927084</v>
      </c>
      <c r="U50" s="175">
        <f t="shared" si="44"/>
        <v>4037028.7010302884</v>
      </c>
      <c r="V50" s="175">
        <f t="shared" si="44"/>
        <v>11028494.95860336</v>
      </c>
      <c r="W50" s="175">
        <f t="shared" si="44"/>
        <v>-38648242.478681445</v>
      </c>
      <c r="X50" s="175">
        <f t="shared" si="44"/>
        <v>14789857.811542809</v>
      </c>
      <c r="Y50" s="175">
        <f t="shared" si="44"/>
        <v>6757548.1599625051</v>
      </c>
      <c r="Z50" s="196">
        <f t="shared" si="30"/>
        <v>84277008.612680793</v>
      </c>
      <c r="AA50" s="176">
        <f t="shared" si="23"/>
        <v>-728952130.710109</v>
      </c>
      <c r="AB50" s="176">
        <f>'Collections and ACP'!K58</f>
        <v>150699620.50638735</v>
      </c>
      <c r="AC50" s="176">
        <f t="shared" si="19"/>
        <v>-578252510.20372164</v>
      </c>
      <c r="AD50" s="176">
        <f t="shared" si="24"/>
        <v>136653789.99634761</v>
      </c>
      <c r="AE50" s="18">
        <f t="shared" si="20"/>
        <v>-714906300.20006919</v>
      </c>
      <c r="AF50" s="19"/>
    </row>
    <row r="51" spans="1:34" x14ac:dyDescent="0.35">
      <c r="A51" s="174" t="s">
        <v>38</v>
      </c>
      <c r="B51" s="16">
        <f t="shared" ref="B51:G54" si="45">B24*$B$29</f>
        <v>0</v>
      </c>
      <c r="C51" s="16">
        <f t="shared" si="45"/>
        <v>0</v>
      </c>
      <c r="D51" s="16">
        <f t="shared" si="45"/>
        <v>18753151.43226045</v>
      </c>
      <c r="E51" s="16">
        <f t="shared" si="45"/>
        <v>313258.69158188911</v>
      </c>
      <c r="F51" s="16">
        <f t="shared" si="45"/>
        <v>0</v>
      </c>
      <c r="G51" s="16">
        <f t="shared" si="45"/>
        <v>0</v>
      </c>
      <c r="H51" s="17">
        <v>202999.99999999997</v>
      </c>
      <c r="I51" s="17"/>
      <c r="J51" s="17">
        <f t="shared" si="15"/>
        <v>1316880.7456105042</v>
      </c>
      <c r="K51" s="17">
        <f t="shared" si="15"/>
        <v>8477022.6327147651</v>
      </c>
      <c r="L51" s="17">
        <f t="shared" si="15"/>
        <v>1545808.882577481</v>
      </c>
      <c r="M51" s="17">
        <f t="shared" si="16"/>
        <v>5152477.8589922888</v>
      </c>
      <c r="N51" s="17"/>
      <c r="O51" s="17">
        <f t="shared" si="17"/>
        <v>14480715.097082175</v>
      </c>
      <c r="P51" s="17">
        <f t="shared" si="21"/>
        <v>50242315.34081956</v>
      </c>
      <c r="Q51" s="175">
        <f t="shared" ref="Q51:Y51" si="46">$B$29*Q24</f>
        <v>12082900.729603728</v>
      </c>
      <c r="R51" s="175">
        <f t="shared" si="46"/>
        <v>9528619.6442333069</v>
      </c>
      <c r="S51" s="175">
        <f t="shared" si="46"/>
        <v>37525748.832539529</v>
      </c>
      <c r="T51" s="175">
        <f t="shared" si="46"/>
        <v>27687791.18161216</v>
      </c>
      <c r="U51" s="175">
        <f t="shared" si="46"/>
        <v>3341715.1069332114</v>
      </c>
      <c r="V51" s="175">
        <f t="shared" si="46"/>
        <v>10587355.160259224</v>
      </c>
      <c r="W51" s="175">
        <f t="shared" si="46"/>
        <v>-47627863.769987218</v>
      </c>
      <c r="X51" s="175">
        <f t="shared" si="46"/>
        <v>12106479.472036997</v>
      </c>
      <c r="Y51" s="175">
        <f t="shared" si="46"/>
        <v>7017677.0765375122</v>
      </c>
      <c r="Z51" s="196">
        <f t="shared" si="30"/>
        <v>72250423.433768451</v>
      </c>
      <c r="AA51" s="176">
        <f t="shared" si="23"/>
        <v>-714906300.20006919</v>
      </c>
      <c r="AB51" s="176">
        <f>'Collections and ACP'!K59</f>
        <v>150699620.50638735</v>
      </c>
      <c r="AC51" s="176">
        <f t="shared" si="19"/>
        <v>-564206679.69368184</v>
      </c>
      <c r="AD51" s="176">
        <f t="shared" si="24"/>
        <v>122492738.77458802</v>
      </c>
      <c r="AE51" s="18">
        <f t="shared" si="20"/>
        <v>-686699418.46826982</v>
      </c>
      <c r="AF51" s="19"/>
    </row>
    <row r="52" spans="1:34" x14ac:dyDescent="0.35">
      <c r="A52" s="174" t="s">
        <v>39</v>
      </c>
      <c r="B52" s="16">
        <f t="shared" si="45"/>
        <v>0</v>
      </c>
      <c r="C52" s="16">
        <f t="shared" si="45"/>
        <v>0</v>
      </c>
      <c r="D52" s="16">
        <f t="shared" si="45"/>
        <v>18659524.674556598</v>
      </c>
      <c r="E52" s="16">
        <f t="shared" si="45"/>
        <v>311722.19792965509</v>
      </c>
      <c r="F52" s="16">
        <f t="shared" si="45"/>
        <v>0</v>
      </c>
      <c r="G52" s="16">
        <f t="shared" si="45"/>
        <v>0</v>
      </c>
      <c r="H52" s="17">
        <v>202999.99999999997</v>
      </c>
      <c r="I52" s="20"/>
      <c r="J52" s="17">
        <f t="shared" si="15"/>
        <v>915325.71758521884</v>
      </c>
      <c r="K52" s="17">
        <f t="shared" si="15"/>
        <v>7245819.6736530578</v>
      </c>
      <c r="L52" s="17">
        <f t="shared" si="15"/>
        <v>1491101.8791508789</v>
      </c>
      <c r="M52" s="17">
        <f t="shared" si="16"/>
        <v>5168541.9969354467</v>
      </c>
      <c r="N52" s="17"/>
      <c r="O52" s="17">
        <f t="shared" si="17"/>
        <v>14480715.097082175</v>
      </c>
      <c r="P52" s="17">
        <f t="shared" si="21"/>
        <v>48475751.236893028</v>
      </c>
      <c r="Q52" s="175">
        <f t="shared" ref="Q52:Y52" si="47">$B$29*Q25</f>
        <v>0</v>
      </c>
      <c r="R52" s="175">
        <f t="shared" si="47"/>
        <v>7936353.25506684</v>
      </c>
      <c r="S52" s="175">
        <f t="shared" si="47"/>
        <v>38378762.960656874</v>
      </c>
      <c r="T52" s="175">
        <f t="shared" si="47"/>
        <v>27549352.2257041</v>
      </c>
      <c r="U52" s="175">
        <f t="shared" si="47"/>
        <v>3208046.5026558824</v>
      </c>
      <c r="V52" s="175">
        <f t="shared" si="47"/>
        <v>8818170.2834075969</v>
      </c>
      <c r="W52" s="175">
        <f t="shared" si="47"/>
        <v>-62884823.797238283</v>
      </c>
      <c r="X52" s="175">
        <f t="shared" si="47"/>
        <v>7896275.2475304203</v>
      </c>
      <c r="Y52" s="175">
        <f t="shared" si="47"/>
        <v>7181601.6697948352</v>
      </c>
      <c r="Z52" s="196">
        <f t="shared" si="30"/>
        <v>38083738.347578257</v>
      </c>
      <c r="AA52" s="176">
        <f t="shared" si="23"/>
        <v>-686699418.46826982</v>
      </c>
      <c r="AB52" s="176">
        <f>'Collections and ACP'!K60</f>
        <v>150699620.50638735</v>
      </c>
      <c r="AC52" s="176">
        <f t="shared" si="19"/>
        <v>-535999797.96188247</v>
      </c>
      <c r="AD52" s="176">
        <f t="shared" si="24"/>
        <v>86559489.584471285</v>
      </c>
      <c r="AE52" s="18">
        <f t="shared" si="20"/>
        <v>-622559287.54635382</v>
      </c>
      <c r="AF52" s="19"/>
    </row>
    <row r="53" spans="1:34" x14ac:dyDescent="0.35">
      <c r="A53" s="174" t="s">
        <v>40</v>
      </c>
      <c r="B53" s="16">
        <f t="shared" si="45"/>
        <v>0</v>
      </c>
      <c r="C53" s="16">
        <f t="shared" si="45"/>
        <v>0</v>
      </c>
      <c r="D53" s="16">
        <f t="shared" si="45"/>
        <v>18566217.940656405</v>
      </c>
      <c r="E53" s="16">
        <f t="shared" si="45"/>
        <v>310169.15282006509</v>
      </c>
      <c r="F53" s="16">
        <f t="shared" si="45"/>
        <v>0</v>
      </c>
      <c r="G53" s="16">
        <f t="shared" si="45"/>
        <v>0</v>
      </c>
      <c r="H53" s="17">
        <v>202999.99999999997</v>
      </c>
      <c r="I53" s="20"/>
      <c r="J53" s="17">
        <f t="shared" si="15"/>
        <v>-3715910.1411982113</v>
      </c>
      <c r="K53" s="17">
        <f t="shared" si="15"/>
        <v>-10971128.348954095</v>
      </c>
      <c r="L53" s="17">
        <f t="shared" si="15"/>
        <v>-433320.24201246869</v>
      </c>
      <c r="M53" s="17">
        <f t="shared" si="16"/>
        <v>5184904.7404116467</v>
      </c>
      <c r="N53" s="17"/>
      <c r="O53" s="17">
        <f t="shared" si="17"/>
        <v>14480715.097082175</v>
      </c>
      <c r="P53" s="17">
        <f t="shared" si="21"/>
        <v>23624648.198805518</v>
      </c>
      <c r="Q53" s="175">
        <f t="shared" ref="Q53:Y53" si="48">$B$29*Q26</f>
        <v>0</v>
      </c>
      <c r="R53" s="175">
        <f t="shared" si="48"/>
        <v>6475062.0549890986</v>
      </c>
      <c r="S53" s="175">
        <f t="shared" si="48"/>
        <v>38186869.145853586</v>
      </c>
      <c r="T53" s="175">
        <f t="shared" si="48"/>
        <v>27411605.464575578</v>
      </c>
      <c r="U53" s="175">
        <f t="shared" si="48"/>
        <v>2671970.4694233695</v>
      </c>
      <c r="V53" s="175">
        <f t="shared" si="48"/>
        <v>7194513.3944323277</v>
      </c>
      <c r="W53" s="175">
        <f t="shared" si="48"/>
        <v>-70238467.816718265</v>
      </c>
      <c r="X53" s="175">
        <f t="shared" si="48"/>
        <v>4083956.3716084748</v>
      </c>
      <c r="Y53" s="175">
        <f t="shared" si="48"/>
        <v>7363496.3936700225</v>
      </c>
      <c r="Z53" s="196">
        <f t="shared" si="30"/>
        <v>23149005.477834187</v>
      </c>
      <c r="AA53" s="176">
        <f t="shared" si="23"/>
        <v>-622559287.54635382</v>
      </c>
      <c r="AB53" s="176">
        <f>'Collections and ACP'!K61</f>
        <v>150699620.50638735</v>
      </c>
      <c r="AC53" s="176">
        <f t="shared" si="19"/>
        <v>-471859667.03996646</v>
      </c>
      <c r="AD53" s="176">
        <f t="shared" si="24"/>
        <v>46773653.676639706</v>
      </c>
      <c r="AE53" s="18">
        <f t="shared" si="20"/>
        <v>-518633320.71660614</v>
      </c>
      <c r="AF53" s="19"/>
    </row>
    <row r="54" spans="1:34" x14ac:dyDescent="0.35">
      <c r="A54" s="174" t="s">
        <v>163</v>
      </c>
      <c r="B54" s="16">
        <f t="shared" si="45"/>
        <v>0</v>
      </c>
      <c r="C54" s="16">
        <f t="shared" si="45"/>
        <v>0</v>
      </c>
      <c r="D54" s="16">
        <f t="shared" si="45"/>
        <v>14996424.53364028</v>
      </c>
      <c r="E54" s="16">
        <f t="shared" si="45"/>
        <v>308599.27822338929</v>
      </c>
      <c r="F54" s="16">
        <f t="shared" si="45"/>
        <v>0</v>
      </c>
      <c r="G54" s="16">
        <f t="shared" si="45"/>
        <v>0</v>
      </c>
      <c r="H54" s="17">
        <v>203001</v>
      </c>
      <c r="I54" s="20"/>
      <c r="J54" s="17">
        <f t="shared" si="15"/>
        <v>0</v>
      </c>
      <c r="K54" s="17">
        <f t="shared" si="15"/>
        <v>0</v>
      </c>
      <c r="L54" s="17">
        <f t="shared" si="15"/>
        <v>0</v>
      </c>
      <c r="M54" s="17">
        <f t="shared" si="16"/>
        <v>5184904.7404116467</v>
      </c>
      <c r="N54" s="17"/>
      <c r="O54" s="17">
        <f t="shared" si="17"/>
        <v>14480715.097082175</v>
      </c>
      <c r="P54" s="17">
        <f t="shared" ref="P54" si="49">SUM(B54:O54)</f>
        <v>35173644.64935749</v>
      </c>
      <c r="Q54" s="175">
        <f t="shared" ref="Q54:Y54" si="50">$B$29*Q27</f>
        <v>0</v>
      </c>
      <c r="R54" s="175">
        <f t="shared" si="50"/>
        <v>0</v>
      </c>
      <c r="S54" s="175">
        <f t="shared" si="50"/>
        <v>0</v>
      </c>
      <c r="T54" s="175">
        <f t="shared" si="50"/>
        <v>0</v>
      </c>
      <c r="U54" s="175">
        <f t="shared" si="50"/>
        <v>0</v>
      </c>
      <c r="V54" s="175">
        <f t="shared" si="50"/>
        <v>0</v>
      </c>
      <c r="W54" s="175">
        <f t="shared" si="50"/>
        <v>-81424553.672566503</v>
      </c>
      <c r="X54" s="175">
        <f t="shared" si="50"/>
        <v>-40914415.637519568</v>
      </c>
      <c r="Y54" s="175">
        <f t="shared" si="50"/>
        <v>-2468143.4623203487</v>
      </c>
      <c r="Z54" s="196">
        <f t="shared" ref="Z54" si="51">SUM(Q54:Y54)</f>
        <v>-124807112.77240641</v>
      </c>
      <c r="AA54" s="176">
        <f t="shared" si="23"/>
        <v>-518633320.71660614</v>
      </c>
      <c r="AB54" s="176">
        <f>AB53</f>
        <v>150699620.50638735</v>
      </c>
      <c r="AC54" s="176">
        <f t="shared" si="19"/>
        <v>-367933700.21021879</v>
      </c>
      <c r="AD54" s="176">
        <f t="shared" si="24"/>
        <v>-89633468.123048931</v>
      </c>
      <c r="AE54" s="18">
        <f t="shared" si="20"/>
        <v>-278300232.08716989</v>
      </c>
      <c r="AF54" s="45"/>
      <c r="AG54" s="75">
        <f>AE54-AF54</f>
        <v>-278300232.08716989</v>
      </c>
      <c r="AH54" s="181">
        <v>2556726061.8057499</v>
      </c>
    </row>
    <row r="56" spans="1:34" x14ac:dyDescent="0.35">
      <c r="A56" s="177" t="s">
        <v>43</v>
      </c>
      <c r="B56" s="22">
        <v>0.70538159360122976</v>
      </c>
    </row>
    <row r="57" spans="1:34" ht="58" x14ac:dyDescent="0.35">
      <c r="A57" s="173" t="s">
        <v>1</v>
      </c>
      <c r="B57" s="173" t="s">
        <v>187</v>
      </c>
      <c r="C57" s="173" t="s">
        <v>188</v>
      </c>
      <c r="D57" s="173" t="s">
        <v>214</v>
      </c>
      <c r="E57" s="173" t="s">
        <v>149</v>
      </c>
      <c r="F57" s="173" t="s">
        <v>215</v>
      </c>
      <c r="G57" s="173" t="s">
        <v>216</v>
      </c>
      <c r="H57" s="173" t="s">
        <v>340</v>
      </c>
      <c r="I57" s="15" t="s">
        <v>218</v>
      </c>
      <c r="J57" s="15" t="s">
        <v>219</v>
      </c>
      <c r="K57" s="15" t="s">
        <v>220</v>
      </c>
      <c r="L57" s="15" t="s">
        <v>221</v>
      </c>
      <c r="M57" s="173" t="s">
        <v>222</v>
      </c>
      <c r="N57" s="173" t="s">
        <v>223</v>
      </c>
      <c r="O57" s="173" t="s">
        <v>203</v>
      </c>
      <c r="P57" s="15" t="s">
        <v>201</v>
      </c>
      <c r="Q57" s="198" t="s">
        <v>187</v>
      </c>
      <c r="R57" s="198" t="s">
        <v>188</v>
      </c>
      <c r="S57" s="198" t="s">
        <v>144</v>
      </c>
      <c r="T57" s="198" t="s">
        <v>149</v>
      </c>
      <c r="U57" s="198" t="s">
        <v>153</v>
      </c>
      <c r="V57" s="198" t="s">
        <v>156</v>
      </c>
      <c r="W57" s="198" t="s">
        <v>86</v>
      </c>
      <c r="X57" s="198" t="s">
        <v>87</v>
      </c>
      <c r="Y57" s="198" t="s">
        <v>82</v>
      </c>
      <c r="Z57" s="198" t="s">
        <v>224</v>
      </c>
      <c r="AA57" s="15" t="s">
        <v>225</v>
      </c>
      <c r="AB57" s="15" t="s">
        <v>226</v>
      </c>
      <c r="AC57" s="15" t="s">
        <v>227</v>
      </c>
      <c r="AD57" s="173" t="s">
        <v>170</v>
      </c>
      <c r="AE57" s="173" t="s">
        <v>228</v>
      </c>
    </row>
    <row r="58" spans="1:34" x14ac:dyDescent="0.35">
      <c r="A58" s="174" t="s">
        <v>17</v>
      </c>
      <c r="B58" s="16">
        <f t="shared" ref="B58:G67" si="52">B4*$B$56</f>
        <v>97311972.685754135</v>
      </c>
      <c r="C58" s="16">
        <f t="shared" si="52"/>
        <v>34296777.704624735</v>
      </c>
      <c r="D58" s="16">
        <f t="shared" si="52"/>
        <v>21153729.224968676</v>
      </c>
      <c r="E58" s="16">
        <f t="shared" si="52"/>
        <v>0</v>
      </c>
      <c r="F58" s="16">
        <f t="shared" si="52"/>
        <v>0</v>
      </c>
      <c r="G58" s="16">
        <f t="shared" si="52"/>
        <v>0</v>
      </c>
      <c r="H58" s="17">
        <v>23095359.600711424</v>
      </c>
      <c r="I58" s="17">
        <v>4022753.2299999995</v>
      </c>
      <c r="J58" s="16">
        <f t="shared" ref="J58:L81" si="53">J4*$B$56</f>
        <v>0</v>
      </c>
      <c r="K58" s="16">
        <f t="shared" si="53"/>
        <v>0</v>
      </c>
      <c r="L58" s="16">
        <f t="shared" si="53"/>
        <v>0</v>
      </c>
      <c r="M58" s="17">
        <f t="shared" ref="M58:M81" si="54">$B$56*M4</f>
        <v>4766319.8739403263</v>
      </c>
      <c r="N58" s="17"/>
      <c r="O58" s="17">
        <f t="shared" ref="O58:O81" si="55">$B$56*O4</f>
        <v>7943866.4565672111</v>
      </c>
      <c r="P58" s="17">
        <f>SUM(B58:O58)</f>
        <v>192590778.77656648</v>
      </c>
      <c r="Q58" s="175">
        <f t="shared" ref="Q58:Y58" si="56">$B$56*Q4</f>
        <v>0</v>
      </c>
      <c r="R58" s="175">
        <f t="shared" si="56"/>
        <v>0</v>
      </c>
      <c r="S58" s="175">
        <f t="shared" si="56"/>
        <v>0</v>
      </c>
      <c r="T58" s="175">
        <f t="shared" si="56"/>
        <v>0</v>
      </c>
      <c r="U58" s="175">
        <f t="shared" si="56"/>
        <v>0</v>
      </c>
      <c r="V58" s="175">
        <f t="shared" si="56"/>
        <v>0</v>
      </c>
      <c r="W58" s="175">
        <f t="shared" si="56"/>
        <v>0</v>
      </c>
      <c r="X58" s="175">
        <f t="shared" si="56"/>
        <v>0</v>
      </c>
      <c r="Y58" s="175">
        <f t="shared" si="56"/>
        <v>0</v>
      </c>
      <c r="Z58" s="196">
        <f>SUM(Q58:Y58)</f>
        <v>0</v>
      </c>
      <c r="AA58" s="176">
        <f>'Collections and ACP'!C149+'Collections and ACP'!C141</f>
        <v>204555086.45917991</v>
      </c>
      <c r="AB58" s="176">
        <f>'Collections and ACP'!K72</f>
        <v>160340838.45917991</v>
      </c>
      <c r="AC58" s="176">
        <f t="shared" ref="AC58:AC81" si="57">AA58+AB58</f>
        <v>364895924.91835982</v>
      </c>
      <c r="AD58" s="176">
        <f>P58+Z58</f>
        <v>192590778.77656648</v>
      </c>
      <c r="AE58" s="18">
        <f t="shared" ref="AE58:AE81" si="58">AC58-AD58</f>
        <v>172305146.14179334</v>
      </c>
    </row>
    <row r="59" spans="1:34" x14ac:dyDescent="0.35">
      <c r="A59" s="174" t="s">
        <v>18</v>
      </c>
      <c r="B59" s="16">
        <f t="shared" si="52"/>
        <v>43716903.697938018</v>
      </c>
      <c r="C59" s="16">
        <f t="shared" si="52"/>
        <v>42815336.626895539</v>
      </c>
      <c r="D59" s="16">
        <f t="shared" si="52"/>
        <v>59387707.158155255</v>
      </c>
      <c r="E59" s="16">
        <f t="shared" si="52"/>
        <v>0</v>
      </c>
      <c r="F59" s="16">
        <f t="shared" si="52"/>
        <v>0</v>
      </c>
      <c r="G59" s="16">
        <f t="shared" si="52"/>
        <v>0</v>
      </c>
      <c r="H59" s="17">
        <v>18588255.383493654</v>
      </c>
      <c r="I59" s="17">
        <v>13774212.278173922</v>
      </c>
      <c r="J59" s="16">
        <f t="shared" si="53"/>
        <v>0</v>
      </c>
      <c r="K59" s="16">
        <f t="shared" si="53"/>
        <v>0</v>
      </c>
      <c r="L59" s="16">
        <f t="shared" si="53"/>
        <v>0</v>
      </c>
      <c r="M59" s="17">
        <f t="shared" si="54"/>
        <v>9834525.4696835726</v>
      </c>
      <c r="N59" s="17">
        <v>10000000</v>
      </c>
      <c r="O59" s="17">
        <f t="shared" si="55"/>
        <v>35269079.680061489</v>
      </c>
      <c r="P59" s="17">
        <f t="shared" ref="P59:P81" si="59">SUM(B59:O59)</f>
        <v>233386020.29440144</v>
      </c>
      <c r="Q59" s="175">
        <f t="shared" ref="Q59:Y59" si="60">$B$56*Q5</f>
        <v>0</v>
      </c>
      <c r="R59" s="175">
        <f t="shared" si="60"/>
        <v>0</v>
      </c>
      <c r="S59" s="175">
        <f t="shared" si="60"/>
        <v>0</v>
      </c>
      <c r="T59" s="175">
        <f t="shared" si="60"/>
        <v>0</v>
      </c>
      <c r="U59" s="175">
        <f t="shared" si="60"/>
        <v>0</v>
      </c>
      <c r="V59" s="175">
        <f t="shared" si="60"/>
        <v>0</v>
      </c>
      <c r="W59" s="175">
        <f t="shared" si="60"/>
        <v>0</v>
      </c>
      <c r="X59" s="175">
        <f t="shared" si="60"/>
        <v>0</v>
      </c>
      <c r="Y59" s="175">
        <f t="shared" si="60"/>
        <v>0</v>
      </c>
      <c r="Z59" s="196">
        <f t="shared" ref="Z59:Z81" si="61">SUM(Q59:Y59)</f>
        <v>0</v>
      </c>
      <c r="AA59" s="176">
        <f t="shared" ref="AA59:AA81" si="62">AE58</f>
        <v>172305146.14179334</v>
      </c>
      <c r="AB59" s="176">
        <f>'Collections and ACP'!K73</f>
        <v>334084827.7045005</v>
      </c>
      <c r="AC59" s="176">
        <f t="shared" si="57"/>
        <v>506389973.84629381</v>
      </c>
      <c r="AD59" s="176">
        <f t="shared" ref="AD59:AD81" si="63">P59+Z59</f>
        <v>233386020.29440144</v>
      </c>
      <c r="AE59" s="18">
        <f t="shared" si="58"/>
        <v>273003953.5518924</v>
      </c>
    </row>
    <row r="60" spans="1:34" x14ac:dyDescent="0.35">
      <c r="A60" s="174" t="s">
        <v>19</v>
      </c>
      <c r="B60" s="16">
        <f t="shared" si="52"/>
        <v>62617842.594627813</v>
      </c>
      <c r="C60" s="16">
        <f t="shared" si="52"/>
        <v>46109469.244604617</v>
      </c>
      <c r="D60" s="16">
        <f t="shared" si="52"/>
        <v>72045681.056761801</v>
      </c>
      <c r="E60" s="16">
        <f t="shared" si="52"/>
        <v>0</v>
      </c>
      <c r="F60" s="16">
        <f t="shared" si="52"/>
        <v>0</v>
      </c>
      <c r="G60" s="16">
        <f t="shared" si="52"/>
        <v>0</v>
      </c>
      <c r="H60" s="17">
        <v>17220344.595163539</v>
      </c>
      <c r="I60" s="17">
        <v>16234169.923732867</v>
      </c>
      <c r="J60" s="16">
        <f t="shared" si="53"/>
        <v>0</v>
      </c>
      <c r="K60" s="16">
        <f t="shared" si="53"/>
        <v>0</v>
      </c>
      <c r="L60" s="16">
        <f t="shared" si="53"/>
        <v>0</v>
      </c>
      <c r="M60" s="17">
        <f t="shared" si="54"/>
        <v>12431567.473247776</v>
      </c>
      <c r="N60" s="17"/>
      <c r="O60" s="17">
        <f t="shared" si="55"/>
        <v>35269079.680061489</v>
      </c>
      <c r="P60" s="17">
        <f t="shared" si="59"/>
        <v>261928154.5681999</v>
      </c>
      <c r="Q60" s="175">
        <f t="shared" ref="Q60:Y60" si="64">$B$56*Q6</f>
        <v>0</v>
      </c>
      <c r="R60" s="175">
        <f t="shared" si="64"/>
        <v>0</v>
      </c>
      <c r="S60" s="175">
        <f t="shared" si="64"/>
        <v>0</v>
      </c>
      <c r="T60" s="175">
        <f t="shared" si="64"/>
        <v>0</v>
      </c>
      <c r="U60" s="175">
        <f t="shared" si="64"/>
        <v>0</v>
      </c>
      <c r="V60" s="175">
        <f t="shared" si="64"/>
        <v>0</v>
      </c>
      <c r="W60" s="175">
        <f t="shared" si="64"/>
        <v>0</v>
      </c>
      <c r="X60" s="175">
        <f t="shared" si="64"/>
        <v>0</v>
      </c>
      <c r="Y60" s="175">
        <f t="shared" si="64"/>
        <v>0</v>
      </c>
      <c r="Z60" s="196">
        <f t="shared" si="61"/>
        <v>0</v>
      </c>
      <c r="AA60" s="176">
        <f t="shared" si="62"/>
        <v>273003953.5518924</v>
      </c>
      <c r="AB60" s="176">
        <f>'Collections and ACP'!K74</f>
        <v>425587002.41775018</v>
      </c>
      <c r="AC60" s="176">
        <f t="shared" si="57"/>
        <v>698590955.96964264</v>
      </c>
      <c r="AD60" s="176">
        <f t="shared" si="63"/>
        <v>261928154.5681999</v>
      </c>
      <c r="AE60" s="18">
        <f t="shared" si="58"/>
        <v>436662801.40144277</v>
      </c>
      <c r="AF60" s="19"/>
    </row>
    <row r="61" spans="1:34" x14ac:dyDescent="0.35">
      <c r="A61" s="174" t="s">
        <v>20</v>
      </c>
      <c r="B61" s="16">
        <f t="shared" si="52"/>
        <v>190619882.32076934</v>
      </c>
      <c r="C61" s="16">
        <f t="shared" si="52"/>
        <v>59230718.632536002</v>
      </c>
      <c r="D61" s="16">
        <f t="shared" si="52"/>
        <v>83352112.445244342</v>
      </c>
      <c r="E61" s="16">
        <f t="shared" si="52"/>
        <v>0</v>
      </c>
      <c r="F61" s="16">
        <f t="shared" si="52"/>
        <v>0</v>
      </c>
      <c r="G61" s="16">
        <f t="shared" si="52"/>
        <v>0</v>
      </c>
      <c r="H61" s="17">
        <v>14320007.415898787</v>
      </c>
      <c r="I61" s="17">
        <v>15893275.783732867</v>
      </c>
      <c r="J61" s="16">
        <f t="shared" si="53"/>
        <v>0</v>
      </c>
      <c r="K61" s="16">
        <f t="shared" si="53"/>
        <v>0</v>
      </c>
      <c r="L61" s="16">
        <f t="shared" si="53"/>
        <v>0</v>
      </c>
      <c r="M61" s="17">
        <f t="shared" si="54"/>
        <v>12219076.408657795</v>
      </c>
      <c r="N61" s="17"/>
      <c r="O61" s="17">
        <f t="shared" si="55"/>
        <v>35269079.680061489</v>
      </c>
      <c r="P61" s="17">
        <f t="shared" si="59"/>
        <v>410904152.68690062</v>
      </c>
      <c r="Q61" s="175">
        <f t="shared" ref="Q61:Y61" si="65">$B$56*Q7</f>
        <v>0</v>
      </c>
      <c r="R61" s="175">
        <f t="shared" si="65"/>
        <v>0</v>
      </c>
      <c r="S61" s="175">
        <f t="shared" si="65"/>
        <v>0</v>
      </c>
      <c r="T61" s="175">
        <f t="shared" si="65"/>
        <v>0</v>
      </c>
      <c r="U61" s="175">
        <f t="shared" si="65"/>
        <v>0</v>
      </c>
      <c r="V61" s="175">
        <f t="shared" si="65"/>
        <v>0</v>
      </c>
      <c r="W61" s="175">
        <f t="shared" si="65"/>
        <v>0</v>
      </c>
      <c r="X61" s="175">
        <f t="shared" si="65"/>
        <v>0</v>
      </c>
      <c r="Y61" s="175">
        <f t="shared" si="65"/>
        <v>0</v>
      </c>
      <c r="Z61" s="196">
        <f t="shared" si="61"/>
        <v>0</v>
      </c>
      <c r="AA61" s="176">
        <f>AE60</f>
        <v>436662801.40144277</v>
      </c>
      <c r="AB61" s="176">
        <f>'Collections and ACP'!K75</f>
        <v>419076745.64009327</v>
      </c>
      <c r="AC61" s="176">
        <f t="shared" si="57"/>
        <v>855739547.04153609</v>
      </c>
      <c r="AD61" s="176">
        <f t="shared" si="63"/>
        <v>410904152.68690062</v>
      </c>
      <c r="AE61" s="18">
        <f t="shared" si="58"/>
        <v>444835394.35463548</v>
      </c>
      <c r="AF61" s="19"/>
    </row>
    <row r="62" spans="1:34" x14ac:dyDescent="0.35">
      <c r="A62" s="174" t="s">
        <v>22</v>
      </c>
      <c r="B62" s="16">
        <f t="shared" si="52"/>
        <v>66310887.756203972</v>
      </c>
      <c r="C62" s="16">
        <f t="shared" si="52"/>
        <v>67010564.460190222</v>
      </c>
      <c r="D62" s="16">
        <f t="shared" si="52"/>
        <v>98129549.97044611</v>
      </c>
      <c r="E62" s="16">
        <f t="shared" si="52"/>
        <v>77546.337107029278</v>
      </c>
      <c r="F62" s="16">
        <f t="shared" si="52"/>
        <v>619005.40045041044</v>
      </c>
      <c r="G62" s="16">
        <f t="shared" si="52"/>
        <v>0</v>
      </c>
      <c r="H62" s="17">
        <v>14162541.685608782</v>
      </c>
      <c r="I62" s="17">
        <v>15893275.783732867</v>
      </c>
      <c r="J62" s="16">
        <f t="shared" si="53"/>
        <v>2381441.1774204229</v>
      </c>
      <c r="K62" s="16">
        <f t="shared" si="53"/>
        <v>22908110.775157999</v>
      </c>
      <c r="L62" s="16">
        <f t="shared" si="53"/>
        <v>1944659.0969262023</v>
      </c>
      <c r="M62" s="17">
        <f t="shared" si="54"/>
        <v>12138791.617203886</v>
      </c>
      <c r="N62" s="17">
        <v>10000000</v>
      </c>
      <c r="O62" s="17">
        <f t="shared" si="55"/>
        <v>35269079.680061489</v>
      </c>
      <c r="P62" s="17">
        <f t="shared" si="59"/>
        <v>346845453.74050939</v>
      </c>
      <c r="Q62" s="175">
        <f t="shared" ref="Q62:Y62" si="66">$B$56*Q8</f>
        <v>113100778.07584751</v>
      </c>
      <c r="R62" s="175">
        <f t="shared" si="66"/>
        <v>16228577.304266421</v>
      </c>
      <c r="S62" s="175">
        <f t="shared" si="66"/>
        <v>0</v>
      </c>
      <c r="T62" s="175">
        <f t="shared" si="66"/>
        <v>16047162.275367456</v>
      </c>
      <c r="U62" s="175">
        <f t="shared" si="66"/>
        <v>0</v>
      </c>
      <c r="V62" s="175">
        <f t="shared" si="66"/>
        <v>13121044.055207407</v>
      </c>
      <c r="W62" s="175">
        <f t="shared" si="66"/>
        <v>0</v>
      </c>
      <c r="X62" s="175">
        <f t="shared" si="66"/>
        <v>0</v>
      </c>
      <c r="Y62" s="175">
        <f t="shared" si="66"/>
        <v>0</v>
      </c>
      <c r="Z62" s="196">
        <f t="shared" si="61"/>
        <v>158497561.7106888</v>
      </c>
      <c r="AA62" s="176">
        <f t="shared" si="62"/>
        <v>444835394.35463548</v>
      </c>
      <c r="AB62" s="176">
        <f>'Collections and ACP'!K76</f>
        <v>416841690.5059967</v>
      </c>
      <c r="AC62" s="176">
        <f t="shared" si="57"/>
        <v>861677084.86063218</v>
      </c>
      <c r="AD62" s="176">
        <f t="shared" si="63"/>
        <v>505343015.45119822</v>
      </c>
      <c r="AE62" s="18">
        <f t="shared" si="58"/>
        <v>356334069.40943396</v>
      </c>
      <c r="AF62" s="19"/>
    </row>
    <row r="63" spans="1:34" x14ac:dyDescent="0.35">
      <c r="A63" s="174" t="s">
        <v>23</v>
      </c>
      <c r="B63" s="16">
        <f t="shared" si="52"/>
        <v>0</v>
      </c>
      <c r="C63" s="16">
        <f t="shared" si="52"/>
        <v>44718352.983153358</v>
      </c>
      <c r="D63" s="16">
        <f t="shared" si="52"/>
        <v>102079064.79037049</v>
      </c>
      <c r="E63" s="16">
        <f t="shared" si="52"/>
        <v>822631.87143597845</v>
      </c>
      <c r="F63" s="16">
        <f t="shared" si="52"/>
        <v>15957594.114482479</v>
      </c>
      <c r="G63" s="16">
        <f t="shared" si="52"/>
        <v>0</v>
      </c>
      <c r="H63" s="17">
        <v>10125431.694168944</v>
      </c>
      <c r="I63" s="17">
        <v>15893275.783732867</v>
      </c>
      <c r="J63" s="16">
        <f t="shared" si="53"/>
        <v>1196155.8757892421</v>
      </c>
      <c r="K63" s="16">
        <f t="shared" si="53"/>
        <v>55831688.17722556</v>
      </c>
      <c r="L63" s="16">
        <f t="shared" si="53"/>
        <v>5385635.1712920442</v>
      </c>
      <c r="M63" s="17">
        <f t="shared" si="54"/>
        <v>11989718.975085922</v>
      </c>
      <c r="N63" s="17"/>
      <c r="O63" s="17">
        <f t="shared" si="55"/>
        <v>35269079.680061489</v>
      </c>
      <c r="P63" s="17">
        <f t="shared" si="59"/>
        <v>299268629.1167984</v>
      </c>
      <c r="Q63" s="175">
        <f t="shared" ref="Q63:Y63" si="67">$B$56*Q9</f>
        <v>108576746.9528136</v>
      </c>
      <c r="R63" s="175">
        <f t="shared" si="67"/>
        <v>26909107.165205255</v>
      </c>
      <c r="S63" s="175">
        <f t="shared" si="67"/>
        <v>9740833.0323853139</v>
      </c>
      <c r="T63" s="175">
        <f t="shared" si="67"/>
        <v>21791798.752797853</v>
      </c>
      <c r="U63" s="175">
        <f t="shared" si="67"/>
        <v>3975772.8776779105</v>
      </c>
      <c r="V63" s="175">
        <f t="shared" si="67"/>
        <v>24988299.456250552</v>
      </c>
      <c r="W63" s="175">
        <f t="shared" si="67"/>
        <v>0</v>
      </c>
      <c r="X63" s="175">
        <f t="shared" si="67"/>
        <v>1944659.0969262023</v>
      </c>
      <c r="Y63" s="175">
        <f t="shared" si="67"/>
        <v>0</v>
      </c>
      <c r="Z63" s="196">
        <f t="shared" si="61"/>
        <v>197927217.33405671</v>
      </c>
      <c r="AA63" s="176">
        <f t="shared" si="62"/>
        <v>356334069.40943396</v>
      </c>
      <c r="AB63" s="176">
        <f>'Collections and ACP'!K77</f>
        <v>411704590.86891198</v>
      </c>
      <c r="AC63" s="176">
        <f t="shared" si="57"/>
        <v>768038660.27834594</v>
      </c>
      <c r="AD63" s="176">
        <f t="shared" si="63"/>
        <v>497195846.45085514</v>
      </c>
      <c r="AE63" s="18">
        <f t="shared" si="58"/>
        <v>270842813.82749081</v>
      </c>
      <c r="AF63" s="19"/>
    </row>
    <row r="64" spans="1:34" x14ac:dyDescent="0.35">
      <c r="A64" s="174" t="s">
        <v>24</v>
      </c>
      <c r="B64" s="16">
        <f t="shared" si="52"/>
        <v>0</v>
      </c>
      <c r="C64" s="16">
        <f t="shared" si="52"/>
        <v>36037699.184032857</v>
      </c>
      <c r="D64" s="16">
        <f t="shared" si="52"/>
        <v>63598987.034804389</v>
      </c>
      <c r="E64" s="16">
        <f t="shared" si="52"/>
        <v>818464.51930387784</v>
      </c>
      <c r="F64" s="16">
        <f t="shared" si="52"/>
        <v>15103539.786541032</v>
      </c>
      <c r="G64" s="16">
        <f t="shared" si="52"/>
        <v>0</v>
      </c>
      <c r="H64" s="17">
        <v>8012431.7104763286</v>
      </c>
      <c r="I64" s="17">
        <v>15893275.783732867</v>
      </c>
      <c r="J64" s="16">
        <f t="shared" si="53"/>
        <v>12758839.399443189</v>
      </c>
      <c r="K64" s="16">
        <f t="shared" si="53"/>
        <v>52633008.556037195</v>
      </c>
      <c r="L64" s="16">
        <f t="shared" si="53"/>
        <v>5243337.6419041408</v>
      </c>
      <c r="M64" s="17">
        <f t="shared" si="54"/>
        <v>11913056.699079983</v>
      </c>
      <c r="N64" s="17"/>
      <c r="O64" s="17">
        <f t="shared" si="55"/>
        <v>35269079.680061489</v>
      </c>
      <c r="P64" s="17">
        <f t="shared" si="59"/>
        <v>257281719.99541733</v>
      </c>
      <c r="Q64" s="175">
        <f t="shared" ref="Q64:Y64" si="68">$B$56*Q10</f>
        <v>104233677.07470104</v>
      </c>
      <c r="R64" s="175">
        <f t="shared" si="68"/>
        <v>37162415.831706531</v>
      </c>
      <c r="S64" s="175">
        <f t="shared" si="68"/>
        <v>19043328.578313291</v>
      </c>
      <c r="T64" s="175">
        <f t="shared" si="68"/>
        <v>27274717.156288806</v>
      </c>
      <c r="U64" s="175">
        <f t="shared" si="68"/>
        <v>7571638.5692665968</v>
      </c>
      <c r="V64" s="175">
        <f t="shared" si="68"/>
        <v>36380864.641251974</v>
      </c>
      <c r="W64" s="175">
        <f t="shared" si="68"/>
        <v>0</v>
      </c>
      <c r="X64" s="175">
        <f t="shared" si="68"/>
        <v>1786567.3273038114</v>
      </c>
      <c r="Y64" s="175">
        <f t="shared" si="68"/>
        <v>0</v>
      </c>
      <c r="Z64" s="196">
        <f t="shared" si="61"/>
        <v>233453209.17883202</v>
      </c>
      <c r="AA64" s="176">
        <f t="shared" si="62"/>
        <v>270842813.82749081</v>
      </c>
      <c r="AB64" s="176">
        <f>'Collections and ACP'!K78</f>
        <v>409825345.05896723</v>
      </c>
      <c r="AC64" s="176">
        <f t="shared" si="57"/>
        <v>680668158.88645804</v>
      </c>
      <c r="AD64" s="176">
        <f t="shared" si="63"/>
        <v>490734929.17424935</v>
      </c>
      <c r="AE64" s="18">
        <f t="shared" si="58"/>
        <v>189933229.71220869</v>
      </c>
      <c r="AF64" s="19"/>
    </row>
    <row r="65" spans="1:32" x14ac:dyDescent="0.35">
      <c r="A65" s="174" t="s">
        <v>25</v>
      </c>
      <c r="B65" s="16">
        <f t="shared" si="52"/>
        <v>0</v>
      </c>
      <c r="C65" s="16">
        <f t="shared" si="52"/>
        <v>32793889.420314919</v>
      </c>
      <c r="D65" s="16">
        <f t="shared" si="52"/>
        <v>50695966.547291152</v>
      </c>
      <c r="E65" s="16">
        <f t="shared" si="52"/>
        <v>814405.56316126615</v>
      </c>
      <c r="F65" s="16">
        <f t="shared" si="52"/>
        <v>15103539.786541032</v>
      </c>
      <c r="G65" s="16">
        <f t="shared" si="52"/>
        <v>0</v>
      </c>
      <c r="H65" s="17">
        <v>4480482.7749063233</v>
      </c>
      <c r="I65" s="17">
        <v>15893275.783732867</v>
      </c>
      <c r="J65" s="16">
        <f t="shared" si="53"/>
        <v>11634407.030127553</v>
      </c>
      <c r="K65" s="16">
        <f t="shared" si="53"/>
        <v>48798920.75288301</v>
      </c>
      <c r="L65" s="16">
        <f t="shared" si="53"/>
        <v>5076010.4684703229</v>
      </c>
      <c r="M65" s="17">
        <f t="shared" si="54"/>
        <v>11894429.870504905</v>
      </c>
      <c r="N65" s="17">
        <v>10000000</v>
      </c>
      <c r="O65" s="17">
        <f t="shared" si="55"/>
        <v>35269079.680061489</v>
      </c>
      <c r="P65" s="17">
        <f t="shared" si="59"/>
        <v>242454407.67799485</v>
      </c>
      <c r="Q65" s="175">
        <f t="shared" ref="Q65:Y65" si="69">$B$56*Q11</f>
        <v>100064329.99171299</v>
      </c>
      <c r="R65" s="175">
        <f t="shared" si="69"/>
        <v>47005592.15154776</v>
      </c>
      <c r="S65" s="175">
        <f t="shared" si="69"/>
        <v>27925263.658068027</v>
      </c>
      <c r="T65" s="175">
        <f t="shared" si="69"/>
        <v>32506545.871872112</v>
      </c>
      <c r="U65" s="175">
        <f t="shared" si="69"/>
        <v>11023669.633191738</v>
      </c>
      <c r="V65" s="175">
        <f t="shared" si="69"/>
        <v>47317727.218853332</v>
      </c>
      <c r="W65" s="175">
        <f t="shared" si="69"/>
        <v>11783544.888106752</v>
      </c>
      <c r="X65" s="175">
        <f t="shared" si="69"/>
        <v>1736960.6403549223</v>
      </c>
      <c r="Y65" s="175">
        <f t="shared" si="69"/>
        <v>0</v>
      </c>
      <c r="Z65" s="196">
        <f t="shared" si="61"/>
        <v>279363634.05370766</v>
      </c>
      <c r="AA65" s="176">
        <f t="shared" si="62"/>
        <v>189933229.71220869</v>
      </c>
      <c r="AB65" s="176">
        <f>'Collections and ACP'!K79</f>
        <v>409988158.14116162</v>
      </c>
      <c r="AC65" s="176">
        <f t="shared" si="57"/>
        <v>599921387.85337031</v>
      </c>
      <c r="AD65" s="176">
        <f t="shared" si="63"/>
        <v>521818041.73170251</v>
      </c>
      <c r="AE65" s="18">
        <f t="shared" si="58"/>
        <v>78103346.121667802</v>
      </c>
      <c r="AF65" s="19"/>
    </row>
    <row r="66" spans="1:32" x14ac:dyDescent="0.35">
      <c r="A66" s="174" t="s">
        <v>26</v>
      </c>
      <c r="B66" s="16">
        <f t="shared" si="52"/>
        <v>0</v>
      </c>
      <c r="C66" s="16">
        <f t="shared" si="52"/>
        <v>21819104.952418167</v>
      </c>
      <c r="D66" s="16">
        <f t="shared" si="52"/>
        <v>48507303.252535626</v>
      </c>
      <c r="E66" s="16">
        <f t="shared" si="52"/>
        <v>810311.30972371052</v>
      </c>
      <c r="F66" s="16">
        <f t="shared" si="52"/>
        <v>15103539.786541032</v>
      </c>
      <c r="G66" s="16">
        <f t="shared" si="52"/>
        <v>0</v>
      </c>
      <c r="H66" s="17">
        <v>4478132.259204451</v>
      </c>
      <c r="I66" s="17">
        <v>15893275.783732867</v>
      </c>
      <c r="J66" s="16">
        <f t="shared" si="53"/>
        <v>11451309.995240796</v>
      </c>
      <c r="K66" s="16">
        <f t="shared" si="53"/>
        <v>47976362.012990177</v>
      </c>
      <c r="L66" s="16">
        <f t="shared" si="53"/>
        <v>5027767.567654063</v>
      </c>
      <c r="M66" s="17">
        <f t="shared" si="54"/>
        <v>11925482.396519691</v>
      </c>
      <c r="N66" s="17"/>
      <c r="O66" s="17">
        <f t="shared" si="55"/>
        <v>35269079.680061489</v>
      </c>
      <c r="P66" s="17">
        <f t="shared" si="59"/>
        <v>218261668.99662206</v>
      </c>
      <c r="Q66" s="175">
        <f t="shared" ref="Q66:Y66" si="70">$B$56*Q12</f>
        <v>96061756.792044476</v>
      </c>
      <c r="R66" s="175">
        <f t="shared" si="70"/>
        <v>56455041.418595336</v>
      </c>
      <c r="S66" s="175">
        <f t="shared" si="70"/>
        <v>36403702.993518136</v>
      </c>
      <c r="T66" s="175">
        <f t="shared" si="70"/>
        <v>37497487.351822905</v>
      </c>
      <c r="U66" s="175">
        <f t="shared" si="70"/>
        <v>14337619.454559876</v>
      </c>
      <c r="V66" s="175">
        <f t="shared" si="70"/>
        <v>57817115.293350637</v>
      </c>
      <c r="W66" s="175">
        <f t="shared" si="70"/>
        <v>8888050.7135409173</v>
      </c>
      <c r="X66" s="175">
        <f t="shared" si="70"/>
        <v>13605952.291574929</v>
      </c>
      <c r="Y66" s="175">
        <f t="shared" si="70"/>
        <v>0</v>
      </c>
      <c r="Z66" s="196">
        <f t="shared" si="61"/>
        <v>321066726.30900723</v>
      </c>
      <c r="AA66" s="176">
        <f t="shared" si="62"/>
        <v>78103346.121667802</v>
      </c>
      <c r="AB66" s="176">
        <f>'Collections and ACP'!K80</f>
        <v>411453110.88446397</v>
      </c>
      <c r="AC66" s="176">
        <f>AA66+AB66</f>
        <v>489556457.00613177</v>
      </c>
      <c r="AD66" s="176">
        <f t="shared" si="63"/>
        <v>539328395.30562925</v>
      </c>
      <c r="AE66" s="18">
        <f t="shared" si="58"/>
        <v>-49771938.299497485</v>
      </c>
      <c r="AF66" s="19"/>
    </row>
    <row r="67" spans="1:32" x14ac:dyDescent="0.35">
      <c r="A67" s="174" t="s">
        <v>27</v>
      </c>
      <c r="B67" s="16">
        <f t="shared" si="52"/>
        <v>0</v>
      </c>
      <c r="C67" s="16">
        <f t="shared" si="52"/>
        <v>20976763.129797116</v>
      </c>
      <c r="D67" s="16">
        <f t="shared" si="52"/>
        <v>48264556.842467427</v>
      </c>
      <c r="E67" s="16">
        <f t="shared" si="52"/>
        <v>806304.00162138219</v>
      </c>
      <c r="F67" s="16">
        <f t="shared" si="52"/>
        <v>15103539.786541032</v>
      </c>
      <c r="G67" s="16">
        <f t="shared" si="52"/>
        <v>0</v>
      </c>
      <c r="H67" s="17">
        <v>4338008.6485485407</v>
      </c>
      <c r="I67" s="17">
        <v>15893275.783732867</v>
      </c>
      <c r="J67" s="16">
        <f t="shared" si="53"/>
        <v>8849054.5447687376</v>
      </c>
      <c r="K67" s="16">
        <f t="shared" si="53"/>
        <v>39554786.713290408</v>
      </c>
      <c r="L67" s="16">
        <f t="shared" si="53"/>
        <v>4679316.5733361235</v>
      </c>
      <c r="M67" s="17">
        <f t="shared" si="54"/>
        <v>11935336.689052543</v>
      </c>
      <c r="N67" s="17"/>
      <c r="O67" s="17">
        <f t="shared" si="55"/>
        <v>35269079.680061489</v>
      </c>
      <c r="P67" s="17">
        <f t="shared" si="59"/>
        <v>205670022.39321768</v>
      </c>
      <c r="Q67" s="175">
        <f t="shared" ref="Q67:Y67" si="71">$B$56*Q13</f>
        <v>92219286.52036269</v>
      </c>
      <c r="R67" s="175">
        <f t="shared" si="71"/>
        <v>65526512.714961</v>
      </c>
      <c r="S67" s="175">
        <f t="shared" si="71"/>
        <v>44495027.506141387</v>
      </c>
      <c r="T67" s="175">
        <f t="shared" si="71"/>
        <v>42257335.156001545</v>
      </c>
      <c r="U67" s="175">
        <f t="shared" si="71"/>
        <v>17519011.28307328</v>
      </c>
      <c r="V67" s="175">
        <f t="shared" si="71"/>
        <v>67896527.844868049</v>
      </c>
      <c r="W67" s="175">
        <f t="shared" si="71"/>
        <v>9836027.7821481135</v>
      </c>
      <c r="X67" s="175">
        <f t="shared" si="71"/>
        <v>25032038.370067161</v>
      </c>
      <c r="Y67" s="175">
        <f t="shared" si="71"/>
        <v>2490711.5741675249</v>
      </c>
      <c r="Z67" s="196">
        <f t="shared" si="61"/>
        <v>367272478.75179082</v>
      </c>
      <c r="AA67" s="176">
        <f t="shared" si="62"/>
        <v>-49771938.299497485</v>
      </c>
      <c r="AB67" s="176">
        <f>'Collections and ACP'!K81</f>
        <v>411918354.75480801</v>
      </c>
      <c r="AC67" s="176">
        <f t="shared" si="57"/>
        <v>362146416.45531052</v>
      </c>
      <c r="AD67" s="176">
        <f t="shared" si="63"/>
        <v>572942501.14500856</v>
      </c>
      <c r="AE67" s="18">
        <f t="shared" si="58"/>
        <v>-210796084.68969804</v>
      </c>
      <c r="AF67" s="19"/>
    </row>
    <row r="68" spans="1:32" x14ac:dyDescent="0.35">
      <c r="A68" s="174" t="s">
        <v>28</v>
      </c>
      <c r="B68" s="16">
        <f t="shared" ref="B68:G77" si="72">B14*$B$56</f>
        <v>0</v>
      </c>
      <c r="C68" s="16">
        <f t="shared" si="72"/>
        <v>18946905.864215475</v>
      </c>
      <c r="D68" s="16">
        <f t="shared" si="72"/>
        <v>48023423.167498149</v>
      </c>
      <c r="E68" s="16">
        <f t="shared" si="72"/>
        <v>802262.27089728636</v>
      </c>
      <c r="F68" s="16">
        <f t="shared" si="72"/>
        <v>15103539.786541032</v>
      </c>
      <c r="G68" s="16">
        <f t="shared" si="72"/>
        <v>0</v>
      </c>
      <c r="H68" s="17">
        <v>4303453.6786395097</v>
      </c>
      <c r="I68" s="17">
        <v>15893275.783732867</v>
      </c>
      <c r="J68" s="16">
        <f t="shared" si="53"/>
        <v>9888398.682527462</v>
      </c>
      <c r="K68" s="16">
        <f t="shared" si="53"/>
        <v>42608452.675076596</v>
      </c>
      <c r="L68" s="16">
        <f t="shared" si="53"/>
        <v>4784405.620683074</v>
      </c>
      <c r="M68" s="17">
        <f t="shared" si="54"/>
        <v>12007983.800800409</v>
      </c>
      <c r="N68" s="17">
        <v>10000000</v>
      </c>
      <c r="O68" s="17">
        <f t="shared" si="55"/>
        <v>35269079.680061489</v>
      </c>
      <c r="P68" s="17">
        <f t="shared" si="59"/>
        <v>217631181.01067334</v>
      </c>
      <c r="Q68" s="175">
        <f t="shared" ref="Q68:Y68" si="73">$B$56*Q14</f>
        <v>88530515.059548184</v>
      </c>
      <c r="R68" s="175">
        <f t="shared" si="73"/>
        <v>69815487.50489229</v>
      </c>
      <c r="S68" s="175">
        <f t="shared" si="73"/>
        <v>52214961.675097875</v>
      </c>
      <c r="T68" s="175">
        <f t="shared" si="73"/>
        <v>46795490.311521776</v>
      </c>
      <c r="U68" s="175">
        <f t="shared" si="73"/>
        <v>20573147.438446153</v>
      </c>
      <c r="V68" s="175">
        <f t="shared" si="73"/>
        <v>77572763.89432478</v>
      </c>
      <c r="W68" s="175">
        <f t="shared" si="73"/>
        <v>-15711587.848655321</v>
      </c>
      <c r="X68" s="175">
        <f t="shared" si="73"/>
        <v>27464063.957526952</v>
      </c>
      <c r="Y68" s="175">
        <f t="shared" si="73"/>
        <v>4626485.973927455</v>
      </c>
      <c r="Z68" s="196">
        <f t="shared" si="61"/>
        <v>371881327.96663016</v>
      </c>
      <c r="AA68" s="176">
        <f t="shared" si="62"/>
        <v>-210796084.68969804</v>
      </c>
      <c r="AB68" s="176">
        <f>'Collections and ACP'!K82</f>
        <v>415348992.70139438</v>
      </c>
      <c r="AC68" s="176">
        <f t="shared" si="57"/>
        <v>204552908.01169634</v>
      </c>
      <c r="AD68" s="176">
        <f t="shared" si="63"/>
        <v>589512508.9773035</v>
      </c>
      <c r="AE68" s="18">
        <f t="shared" si="58"/>
        <v>-384959600.96560717</v>
      </c>
      <c r="AF68" s="19"/>
    </row>
    <row r="69" spans="1:32" x14ac:dyDescent="0.35">
      <c r="A69" s="174" t="s">
        <v>29</v>
      </c>
      <c r="B69" s="16">
        <f t="shared" si="72"/>
        <v>0</v>
      </c>
      <c r="C69" s="16">
        <f t="shared" si="72"/>
        <v>0</v>
      </c>
      <c r="D69" s="16">
        <f t="shared" si="72"/>
        <v>47783249.509823956</v>
      </c>
      <c r="E69" s="16">
        <f t="shared" si="72"/>
        <v>798229.57611140434</v>
      </c>
      <c r="F69" s="16">
        <f t="shared" si="72"/>
        <v>0</v>
      </c>
      <c r="G69" s="16">
        <f t="shared" si="72"/>
        <v>0</v>
      </c>
      <c r="H69" s="17">
        <v>4261079.6921323007</v>
      </c>
      <c r="I69" s="17">
        <v>15893275.783732867</v>
      </c>
      <c r="J69" s="16">
        <f t="shared" si="53"/>
        <v>12736514.671104213</v>
      </c>
      <c r="K69" s="16">
        <f t="shared" si="53"/>
        <v>51260785.437494561</v>
      </c>
      <c r="L69" s="16">
        <f t="shared" si="53"/>
        <v>5110812.472685162</v>
      </c>
      <c r="M69" s="17">
        <f t="shared" si="54"/>
        <v>12076451.190587828</v>
      </c>
      <c r="N69" s="17"/>
      <c r="O69" s="17">
        <f t="shared" si="55"/>
        <v>35269079.680061489</v>
      </c>
      <c r="P69" s="17">
        <f t="shared" si="59"/>
        <v>185189478.01373377</v>
      </c>
      <c r="Q69" s="175">
        <f t="shared" ref="Q69:Y69" si="74">$B$56*Q15</f>
        <v>84989294.457166255</v>
      </c>
      <c r="R69" s="175">
        <f t="shared" si="74"/>
        <v>67022868.004696622</v>
      </c>
      <c r="S69" s="175">
        <f t="shared" si="74"/>
        <v>59578599.800950103</v>
      </c>
      <c r="T69" s="175">
        <f t="shared" si="74"/>
        <v>51120977.01801239</v>
      </c>
      <c r="U69" s="175">
        <f t="shared" si="74"/>
        <v>23505118.147604108</v>
      </c>
      <c r="V69" s="175">
        <f t="shared" si="74"/>
        <v>74469853.338551775</v>
      </c>
      <c r="W69" s="175">
        <f t="shared" si="74"/>
        <v>-5477021.2402688712</v>
      </c>
      <c r="X69" s="175">
        <f t="shared" si="74"/>
        <v>37562314.678271189</v>
      </c>
      <c r="Y69" s="175">
        <f t="shared" si="74"/>
        <v>7127064.1928351689</v>
      </c>
      <c r="Z69" s="196">
        <f t="shared" si="61"/>
        <v>399899068.39781868</v>
      </c>
      <c r="AA69" s="176">
        <f t="shared" si="62"/>
        <v>-384959600.96560717</v>
      </c>
      <c r="AB69" s="176">
        <f>'Collections and ACP'!K83</f>
        <v>418582949.03196639</v>
      </c>
      <c r="AC69" s="176">
        <f t="shared" si="57"/>
        <v>33623348.066359222</v>
      </c>
      <c r="AD69" s="176">
        <f t="shared" si="63"/>
        <v>585088546.41155243</v>
      </c>
      <c r="AE69" s="18">
        <f t="shared" si="58"/>
        <v>-551465198.34519315</v>
      </c>
      <c r="AF69" s="19"/>
    </row>
    <row r="70" spans="1:32" x14ac:dyDescent="0.35">
      <c r="A70" s="174" t="s">
        <v>30</v>
      </c>
      <c r="B70" s="16">
        <f t="shared" si="72"/>
        <v>0</v>
      </c>
      <c r="C70" s="16">
        <f t="shared" si="72"/>
        <v>0</v>
      </c>
      <c r="D70" s="16">
        <f t="shared" si="72"/>
        <v>47544148.836307049</v>
      </c>
      <c r="E70" s="16">
        <f t="shared" si="72"/>
        <v>794234.09725840075</v>
      </c>
      <c r="F70" s="16">
        <f t="shared" si="72"/>
        <v>0</v>
      </c>
      <c r="G70" s="16">
        <f t="shared" si="72"/>
        <v>0</v>
      </c>
      <c r="H70" s="17">
        <v>4261079.6921323007</v>
      </c>
      <c r="I70" s="17">
        <v>15893275.783732867</v>
      </c>
      <c r="J70" s="16">
        <f t="shared" si="53"/>
        <v>13356837.362943178</v>
      </c>
      <c r="K70" s="16">
        <f t="shared" si="53"/>
        <v>52925715.180427253</v>
      </c>
      <c r="L70" s="16">
        <f t="shared" si="53"/>
        <v>5161178.9030381683</v>
      </c>
      <c r="M70" s="17">
        <f t="shared" si="54"/>
        <v>12156830.373009583</v>
      </c>
      <c r="N70" s="17"/>
      <c r="O70" s="17">
        <f t="shared" si="55"/>
        <v>35269079.680061489</v>
      </c>
      <c r="P70" s="17">
        <f t="shared" si="59"/>
        <v>187362379.9089103</v>
      </c>
      <c r="Q70" s="175">
        <f t="shared" ref="Q70:Y70" si="75">$B$56*Q16</f>
        <v>81589722.678879604</v>
      </c>
      <c r="R70" s="175">
        <f t="shared" si="75"/>
        <v>64341953.28450875</v>
      </c>
      <c r="S70" s="175">
        <f t="shared" si="75"/>
        <v>66600431.218803957</v>
      </c>
      <c r="T70" s="175">
        <f t="shared" si="75"/>
        <v>55242457.724648632</v>
      </c>
      <c r="U70" s="175">
        <f t="shared" si="75"/>
        <v>22564913.421699941</v>
      </c>
      <c r="V70" s="175">
        <f t="shared" si="75"/>
        <v>71491059.205009699</v>
      </c>
      <c r="W70" s="175">
        <f t="shared" si="75"/>
        <v>35089067.71871838</v>
      </c>
      <c r="X70" s="175">
        <f t="shared" si="75"/>
        <v>58303178.856995292</v>
      </c>
      <c r="Y70" s="175">
        <f t="shared" si="75"/>
        <v>10224978.81818367</v>
      </c>
      <c r="Z70" s="196">
        <f t="shared" si="61"/>
        <v>465447762.92744797</v>
      </c>
      <c r="AA70" s="176">
        <f t="shared" si="62"/>
        <v>-551465198.34519315</v>
      </c>
      <c r="AB70" s="176">
        <f>'Collections and ACP'!K84</f>
        <v>422379359.92819607</v>
      </c>
      <c r="AC70" s="176">
        <f t="shared" si="57"/>
        <v>-129085838.41699708</v>
      </c>
      <c r="AD70" s="176">
        <f>P70+Z70</f>
        <v>652810142.83635831</v>
      </c>
      <c r="AE70" s="18">
        <f t="shared" si="58"/>
        <v>-781895981.25335538</v>
      </c>
      <c r="AF70" s="19"/>
    </row>
    <row r="71" spans="1:32" x14ac:dyDescent="0.35">
      <c r="A71" s="174" t="s">
        <v>31</v>
      </c>
      <c r="B71" s="16">
        <f t="shared" si="72"/>
        <v>0</v>
      </c>
      <c r="C71" s="16">
        <f t="shared" si="72"/>
        <v>0</v>
      </c>
      <c r="D71" s="16">
        <f t="shared" si="72"/>
        <v>47306297.66869124</v>
      </c>
      <c r="E71" s="16">
        <f t="shared" si="72"/>
        <v>790352.45288697223</v>
      </c>
      <c r="F71" s="16">
        <f t="shared" si="72"/>
        <v>0</v>
      </c>
      <c r="G71" s="16">
        <f t="shared" si="72"/>
        <v>0</v>
      </c>
      <c r="H71" s="17">
        <v>4261079.6921323007</v>
      </c>
      <c r="I71" s="17">
        <v>14729978.877595581</v>
      </c>
      <c r="J71" s="16">
        <f t="shared" si="53"/>
        <v>12310794.003392935</v>
      </c>
      <c r="K71" s="16">
        <f t="shared" si="53"/>
        <v>49437530.090363637</v>
      </c>
      <c r="L71" s="16">
        <f t="shared" si="53"/>
        <v>5007989.2328476859</v>
      </c>
      <c r="M71" s="17">
        <f t="shared" si="54"/>
        <v>12195621.735584125</v>
      </c>
      <c r="N71" s="17"/>
      <c r="O71" s="17">
        <f t="shared" si="55"/>
        <v>35269079.680061489</v>
      </c>
      <c r="P71" s="17">
        <f t="shared" si="59"/>
        <v>181308723.43355596</v>
      </c>
      <c r="Q71" s="175">
        <f t="shared" ref="Q71:Y71" si="76">$B$56*Q17</f>
        <v>39163066.885862209</v>
      </c>
      <c r="R71" s="175">
        <f t="shared" si="76"/>
        <v>57679229.072104566</v>
      </c>
      <c r="S71" s="175">
        <f t="shared" si="76"/>
        <v>73294364.502894178</v>
      </c>
      <c r="T71" s="175">
        <f t="shared" si="76"/>
        <v>57067246.52005402</v>
      </c>
      <c r="U71" s="175">
        <f t="shared" si="76"/>
        <v>21662316.884831943</v>
      </c>
      <c r="V71" s="175">
        <f t="shared" si="76"/>
        <v>64088032.302338399</v>
      </c>
      <c r="W71" s="175">
        <f t="shared" si="76"/>
        <v>42930853.734440766</v>
      </c>
      <c r="X71" s="175">
        <f t="shared" si="76"/>
        <v>68083936.915909618</v>
      </c>
      <c r="Y71" s="175">
        <f t="shared" si="76"/>
        <v>11874579.138766484</v>
      </c>
      <c r="Z71" s="196">
        <f t="shared" si="61"/>
        <v>435843625.95720214</v>
      </c>
      <c r="AA71" s="176">
        <f t="shared" si="62"/>
        <v>-781895981.25335538</v>
      </c>
      <c r="AB71" s="176">
        <f>'Collections and ACP'!K85</f>
        <v>424212020.72689438</v>
      </c>
      <c r="AC71" s="176">
        <f t="shared" si="57"/>
        <v>-357683960.52646101</v>
      </c>
      <c r="AD71" s="176">
        <f t="shared" si="63"/>
        <v>617152349.39075804</v>
      </c>
      <c r="AE71" s="18">
        <f t="shared" si="58"/>
        <v>-974836309.91721904</v>
      </c>
      <c r="AF71" s="19"/>
    </row>
    <row r="72" spans="1:32" x14ac:dyDescent="0.35">
      <c r="A72" s="174" t="s">
        <v>32</v>
      </c>
      <c r="B72" s="16">
        <f t="shared" si="72"/>
        <v>0</v>
      </c>
      <c r="C72" s="16">
        <f t="shared" si="72"/>
        <v>0</v>
      </c>
      <c r="D72" s="16">
        <f t="shared" si="72"/>
        <v>47069646.884202339</v>
      </c>
      <c r="E72" s="16">
        <f t="shared" si="72"/>
        <v>786319.75810109056</v>
      </c>
      <c r="F72" s="16">
        <f t="shared" si="72"/>
        <v>0</v>
      </c>
      <c r="G72" s="16">
        <f t="shared" si="72"/>
        <v>0</v>
      </c>
      <c r="H72" s="17">
        <v>4261079.6921323007</v>
      </c>
      <c r="I72" s="17">
        <v>14729978.877595581</v>
      </c>
      <c r="J72" s="16">
        <f t="shared" si="53"/>
        <v>10107877.0901314</v>
      </c>
      <c r="K72" s="16">
        <f t="shared" si="53"/>
        <v>42435631.016563937</v>
      </c>
      <c r="L72" s="16">
        <f t="shared" si="53"/>
        <v>4716026.5133667542</v>
      </c>
      <c r="M72" s="17">
        <f t="shared" si="54"/>
        <v>12258610.726656701</v>
      </c>
      <c r="N72" s="17"/>
      <c r="O72" s="17">
        <f t="shared" si="55"/>
        <v>35269079.680061489</v>
      </c>
      <c r="P72" s="17">
        <f t="shared" si="59"/>
        <v>171634250.23881158</v>
      </c>
      <c r="Q72" s="175">
        <f t="shared" ref="Q72:Y72" si="77">$B$56*Q18</f>
        <v>37596544.210427716</v>
      </c>
      <c r="R72" s="175">
        <f t="shared" si="77"/>
        <v>51510183.054920107</v>
      </c>
      <c r="S72" s="175">
        <f t="shared" si="77"/>
        <v>76300821.691668183</v>
      </c>
      <c r="T72" s="175">
        <f t="shared" si="77"/>
        <v>58798871.328121215</v>
      </c>
      <c r="U72" s="175">
        <f t="shared" si="77"/>
        <v>19419145.270704225</v>
      </c>
      <c r="V72" s="175">
        <f t="shared" si="77"/>
        <v>57233536.727689005</v>
      </c>
      <c r="W72" s="175">
        <f t="shared" si="77"/>
        <v>29670729.36589421</v>
      </c>
      <c r="X72" s="175">
        <f t="shared" si="77"/>
        <v>68283753.53986454</v>
      </c>
      <c r="Y72" s="175">
        <f t="shared" si="77"/>
        <v>13002059.974780934</v>
      </c>
      <c r="Z72" s="196">
        <f t="shared" si="61"/>
        <v>411815645.16407013</v>
      </c>
      <c r="AA72" s="176">
        <f t="shared" si="62"/>
        <v>-974836309.91721904</v>
      </c>
      <c r="AB72" s="176">
        <f>'Collections and ACP'!K86</f>
        <v>427187635.13579118</v>
      </c>
      <c r="AC72" s="176">
        <f t="shared" si="57"/>
        <v>-547648674.78142786</v>
      </c>
      <c r="AD72" s="176">
        <f t="shared" si="63"/>
        <v>583449895.40288174</v>
      </c>
      <c r="AE72" s="18">
        <f t="shared" si="58"/>
        <v>-1131098570.1843095</v>
      </c>
      <c r="AF72" s="19"/>
    </row>
    <row r="73" spans="1:32" x14ac:dyDescent="0.35">
      <c r="A73" s="174" t="s">
        <v>33</v>
      </c>
      <c r="B73" s="16">
        <f t="shared" si="72"/>
        <v>0</v>
      </c>
      <c r="C73" s="16">
        <f t="shared" si="72"/>
        <v>0</v>
      </c>
      <c r="D73" s="16">
        <f t="shared" si="72"/>
        <v>46834461.685158089</v>
      </c>
      <c r="E73" s="16">
        <f t="shared" si="72"/>
        <v>782369.98092153645</v>
      </c>
      <c r="F73" s="16">
        <f t="shared" si="72"/>
        <v>0</v>
      </c>
      <c r="G73" s="16">
        <f t="shared" si="72"/>
        <v>0</v>
      </c>
      <c r="H73" s="17">
        <v>4261079.6921323007</v>
      </c>
      <c r="I73" s="17">
        <v>12304968.635004908</v>
      </c>
      <c r="J73" s="16">
        <f t="shared" si="53"/>
        <v>8656327.9420847185</v>
      </c>
      <c r="K73" s="16">
        <f t="shared" si="53"/>
        <v>37794882.91629941</v>
      </c>
      <c r="L73" s="16">
        <f t="shared" si="53"/>
        <v>4517444.6527454937</v>
      </c>
      <c r="M73" s="17">
        <f t="shared" si="54"/>
        <v>12304825.240757391</v>
      </c>
      <c r="N73" s="17"/>
      <c r="O73" s="17">
        <f t="shared" si="55"/>
        <v>35269079.680061489</v>
      </c>
      <c r="P73" s="17">
        <f t="shared" si="59"/>
        <v>162725440.42516536</v>
      </c>
      <c r="Q73" s="175">
        <f t="shared" ref="Q73:Y73" si="78">$B$56*Q19</f>
        <v>36092682.442010604</v>
      </c>
      <c r="R73" s="175">
        <f t="shared" si="78"/>
        <v>45587898.878423028</v>
      </c>
      <c r="S73" s="175">
        <f t="shared" si="78"/>
        <v>79157329.43404673</v>
      </c>
      <c r="T73" s="175">
        <f t="shared" si="78"/>
        <v>60441159.570521399</v>
      </c>
      <c r="U73" s="175">
        <f t="shared" si="78"/>
        <v>17342182.684404649</v>
      </c>
      <c r="V73" s="175">
        <f t="shared" si="78"/>
        <v>50653220.976025574</v>
      </c>
      <c r="W73" s="175">
        <f t="shared" si="78"/>
        <v>-3630602.5717068817</v>
      </c>
      <c r="X73" s="175">
        <f t="shared" si="78"/>
        <v>59552113.272925384</v>
      </c>
      <c r="Y73" s="175">
        <f t="shared" si="78"/>
        <v>13611998.795302816</v>
      </c>
      <c r="Z73" s="196">
        <f t="shared" si="61"/>
        <v>358807983.48195326</v>
      </c>
      <c r="AA73" s="176">
        <f t="shared" si="62"/>
        <v>-1131098570.1843095</v>
      </c>
      <c r="AB73" s="176">
        <f>'Collections and ACP'!K87</f>
        <v>429370630.38209999</v>
      </c>
      <c r="AC73" s="176">
        <f t="shared" si="57"/>
        <v>-701727939.8022095</v>
      </c>
      <c r="AD73" s="176">
        <f t="shared" si="63"/>
        <v>521533423.90711862</v>
      </c>
      <c r="AE73" s="18">
        <f t="shared" si="58"/>
        <v>-1223261363.7093282</v>
      </c>
      <c r="AF73" s="19"/>
    </row>
    <row r="74" spans="1:32" x14ac:dyDescent="0.35">
      <c r="A74" s="174" t="s">
        <v>34</v>
      </c>
      <c r="B74" s="16">
        <f t="shared" si="72"/>
        <v>0</v>
      </c>
      <c r="C74" s="16">
        <f t="shared" si="72"/>
        <v>0</v>
      </c>
      <c r="D74" s="16">
        <f t="shared" si="72"/>
        <v>46600397.640780181</v>
      </c>
      <c r="E74" s="16">
        <f t="shared" si="72"/>
        <v>778467.62654652004</v>
      </c>
      <c r="F74" s="16">
        <f t="shared" si="72"/>
        <v>0</v>
      </c>
      <c r="G74" s="16">
        <f t="shared" si="72"/>
        <v>0</v>
      </c>
      <c r="H74" s="17">
        <v>4261079.6921323007</v>
      </c>
      <c r="I74" s="17">
        <v>4136282.6555589437</v>
      </c>
      <c r="J74" s="16">
        <f t="shared" si="53"/>
        <v>7512825.7826087875</v>
      </c>
      <c r="K74" s="16">
        <f t="shared" si="53"/>
        <v>34134611.022051103</v>
      </c>
      <c r="L74" s="16">
        <f t="shared" si="53"/>
        <v>4357683.7898978163</v>
      </c>
      <c r="M74" s="17">
        <f t="shared" si="54"/>
        <v>12359815.959409403</v>
      </c>
      <c r="N74" s="17"/>
      <c r="O74" s="17">
        <f t="shared" si="55"/>
        <v>35269079.680061489</v>
      </c>
      <c r="P74" s="17">
        <f t="shared" si="59"/>
        <v>149410243.84904653</v>
      </c>
      <c r="Q74" s="175">
        <f t="shared" ref="Q74:Y74" si="79">$B$56*Q20</f>
        <v>34648975.144330181</v>
      </c>
      <c r="R74" s="175">
        <f t="shared" si="79"/>
        <v>39902506.068985827</v>
      </c>
      <c r="S74" s="175">
        <f t="shared" si="79"/>
        <v>81870034.163679913</v>
      </c>
      <c r="T74" s="175">
        <f t="shared" si="79"/>
        <v>61997785.067747928</v>
      </c>
      <c r="U74" s="175">
        <f t="shared" si="79"/>
        <v>15348298.601557044</v>
      </c>
      <c r="V74" s="175">
        <f t="shared" si="79"/>
        <v>44336117.854428686</v>
      </c>
      <c r="W74" s="175">
        <f t="shared" si="79"/>
        <v>-27468000.02632042</v>
      </c>
      <c r="X74" s="175">
        <f t="shared" si="79"/>
        <v>53815602.826267913</v>
      </c>
      <c r="Y74" s="175">
        <f t="shared" si="79"/>
        <v>14360674.081446255</v>
      </c>
      <c r="Z74" s="196">
        <f t="shared" si="61"/>
        <v>318811993.78212333</v>
      </c>
      <c r="AA74" s="176">
        <f t="shared" si="62"/>
        <v>-1223261363.7093282</v>
      </c>
      <c r="AB74" s="176">
        <f>'Collections and ACP'!K88</f>
        <v>431968420.40625679</v>
      </c>
      <c r="AC74" s="176">
        <f t="shared" si="57"/>
        <v>-791292943.30307138</v>
      </c>
      <c r="AD74" s="176">
        <f t="shared" si="63"/>
        <v>468222237.63116986</v>
      </c>
      <c r="AE74" s="18">
        <f t="shared" si="58"/>
        <v>-1259515180.9342413</v>
      </c>
      <c r="AF74" s="19"/>
    </row>
    <row r="75" spans="1:32" x14ac:dyDescent="0.35">
      <c r="A75" s="174" t="s">
        <v>35</v>
      </c>
      <c r="B75" s="16">
        <f t="shared" si="72"/>
        <v>0</v>
      </c>
      <c r="C75" s="16">
        <f t="shared" si="72"/>
        <v>0</v>
      </c>
      <c r="D75" s="16">
        <f t="shared" si="72"/>
        <v>46367282.257053651</v>
      </c>
      <c r="E75" s="16">
        <f t="shared" si="72"/>
        <v>774478.55255838623</v>
      </c>
      <c r="F75" s="16">
        <f t="shared" si="72"/>
        <v>0</v>
      </c>
      <c r="G75" s="16">
        <f t="shared" si="72"/>
        <v>0</v>
      </c>
      <c r="H75" s="17">
        <v>4261079.6921323007</v>
      </c>
      <c r="I75" s="17"/>
      <c r="J75" s="16">
        <f t="shared" si="53"/>
        <v>6313989.6740955729</v>
      </c>
      <c r="K75" s="16">
        <f t="shared" si="53"/>
        <v>30342861.133904416</v>
      </c>
      <c r="L75" s="16">
        <f t="shared" si="53"/>
        <v>4192802.9706829344</v>
      </c>
      <c r="M75" s="17">
        <f t="shared" si="54"/>
        <v>12386288.295960709</v>
      </c>
      <c r="N75" s="17"/>
      <c r="O75" s="17">
        <f t="shared" si="55"/>
        <v>35269079.680061489</v>
      </c>
      <c r="P75" s="17">
        <f t="shared" si="59"/>
        <v>139907862.25644946</v>
      </c>
      <c r="Q75" s="175">
        <f t="shared" ref="Q75:Y75" si="80">$B$56*Q21</f>
        <v>33263016.138556972</v>
      </c>
      <c r="R75" s="175">
        <f t="shared" si="80"/>
        <v>34444528.971926115</v>
      </c>
      <c r="S75" s="175">
        <f t="shared" si="80"/>
        <v>84444835.714592814</v>
      </c>
      <c r="T75" s="175">
        <f t="shared" si="80"/>
        <v>63472274.18568518</v>
      </c>
      <c r="U75" s="175">
        <f t="shared" si="80"/>
        <v>13434169.882023351</v>
      </c>
      <c r="V75" s="175">
        <f t="shared" si="80"/>
        <v>38271698.857695676</v>
      </c>
      <c r="W75" s="175">
        <f t="shared" si="80"/>
        <v>-48493557.5928545</v>
      </c>
      <c r="X75" s="175">
        <f t="shared" si="80"/>
        <v>48869888.965116724</v>
      </c>
      <c r="Y75" s="175">
        <f t="shared" si="80"/>
        <v>15133788.351231162</v>
      </c>
      <c r="Z75" s="196">
        <f t="shared" si="61"/>
        <v>282840643.47397351</v>
      </c>
      <c r="AA75" s="176">
        <f t="shared" si="62"/>
        <v>-1259515180.9342413</v>
      </c>
      <c r="AB75" s="176">
        <f>'Collections and ACP'!K89</f>
        <v>433218617.73495358</v>
      </c>
      <c r="AC75" s="176">
        <f t="shared" si="57"/>
        <v>-826296563.19928765</v>
      </c>
      <c r="AD75" s="176">
        <f t="shared" si="63"/>
        <v>422748505.73042297</v>
      </c>
      <c r="AE75" s="18">
        <f t="shared" si="58"/>
        <v>-1249045068.9297106</v>
      </c>
      <c r="AF75" s="19"/>
    </row>
    <row r="76" spans="1:32" x14ac:dyDescent="0.35">
      <c r="A76" s="174" t="s">
        <v>36</v>
      </c>
      <c r="B76" s="16">
        <f t="shared" si="72"/>
        <v>0</v>
      </c>
      <c r="C76" s="16">
        <f t="shared" si="72"/>
        <v>0</v>
      </c>
      <c r="D76" s="16">
        <f t="shared" si="72"/>
        <v>46135291.004703805</v>
      </c>
      <c r="E76" s="16">
        <f t="shared" si="72"/>
        <v>770649.29687791481</v>
      </c>
      <c r="F76" s="16">
        <f t="shared" si="72"/>
        <v>0</v>
      </c>
      <c r="G76" s="16">
        <f t="shared" si="72"/>
        <v>0</v>
      </c>
      <c r="H76" s="17">
        <v>4261079.6921323007</v>
      </c>
      <c r="I76" s="17"/>
      <c r="J76" s="16">
        <f t="shared" si="53"/>
        <v>5318249.0849019969</v>
      </c>
      <c r="K76" s="16">
        <f t="shared" si="53"/>
        <v>27198556.858788591</v>
      </c>
      <c r="L76" s="16">
        <f t="shared" si="53"/>
        <v>4053582.177118992</v>
      </c>
      <c r="M76" s="17">
        <f t="shared" si="54"/>
        <v>12444872.21556136</v>
      </c>
      <c r="N76" s="17"/>
      <c r="O76" s="17">
        <f t="shared" si="55"/>
        <v>35269079.680061489</v>
      </c>
      <c r="P76" s="17">
        <f t="shared" si="59"/>
        <v>135451360.01014644</v>
      </c>
      <c r="Q76" s="175">
        <f t="shared" ref="Q76:Y76" si="81">$B$56*Q22</f>
        <v>31932495.493014693</v>
      </c>
      <c r="R76" s="175">
        <f t="shared" si="81"/>
        <v>29204870.958748795</v>
      </c>
      <c r="S76" s="175">
        <f t="shared" si="81"/>
        <v>86887397.188881889</v>
      </c>
      <c r="T76" s="175">
        <f t="shared" si="81"/>
        <v>64868011.736301683</v>
      </c>
      <c r="U76" s="175">
        <f t="shared" si="81"/>
        <v>11596606.311271003</v>
      </c>
      <c r="V76" s="175">
        <f t="shared" si="81"/>
        <v>32449856.620831981</v>
      </c>
      <c r="W76" s="175">
        <f t="shared" si="81"/>
        <v>-72291873.343213946</v>
      </c>
      <c r="X76" s="175">
        <f t="shared" si="81"/>
        <v>42201142.664353989</v>
      </c>
      <c r="Y76" s="175">
        <f t="shared" si="81"/>
        <v>15790059.700897546</v>
      </c>
      <c r="Z76" s="196">
        <f t="shared" si="61"/>
        <v>242638567.33108768</v>
      </c>
      <c r="AA76" s="176">
        <f t="shared" si="62"/>
        <v>-1249045068.9297106</v>
      </c>
      <c r="AB76" s="176">
        <f>'Collections and ACP'!K90</f>
        <v>435986334.71697921</v>
      </c>
      <c r="AC76" s="176">
        <f t="shared" si="57"/>
        <v>-813058734.21273136</v>
      </c>
      <c r="AD76" s="176">
        <f t="shared" si="63"/>
        <v>378089927.34123409</v>
      </c>
      <c r="AE76" s="18">
        <f t="shared" si="58"/>
        <v>-1191148661.5539656</v>
      </c>
      <c r="AF76" s="19"/>
    </row>
    <row r="77" spans="1:32" x14ac:dyDescent="0.35">
      <c r="A77" s="174" t="s">
        <v>37</v>
      </c>
      <c r="B77" s="16">
        <f t="shared" si="72"/>
        <v>0</v>
      </c>
      <c r="C77" s="16">
        <f t="shared" si="72"/>
        <v>0</v>
      </c>
      <c r="D77" s="16">
        <f t="shared" si="72"/>
        <v>45904758.982310414</v>
      </c>
      <c r="E77" s="16">
        <f t="shared" si="72"/>
        <v>766819.45573072077</v>
      </c>
      <c r="F77" s="16">
        <f t="shared" si="72"/>
        <v>0</v>
      </c>
      <c r="G77" s="16">
        <f t="shared" si="72"/>
        <v>0</v>
      </c>
      <c r="H77" s="17">
        <v>4261079.6921323007</v>
      </c>
      <c r="I77" s="17"/>
      <c r="J77" s="16">
        <f t="shared" si="53"/>
        <v>4399833.5644625081</v>
      </c>
      <c r="K77" s="16">
        <f t="shared" si="53"/>
        <v>24316167.172973819</v>
      </c>
      <c r="L77" s="16">
        <f t="shared" si="53"/>
        <v>3924786.1838865462</v>
      </c>
      <c r="M77" s="17">
        <f t="shared" si="54"/>
        <v>12492476.413627123</v>
      </c>
      <c r="N77" s="17"/>
      <c r="O77" s="17">
        <f t="shared" si="55"/>
        <v>35269079.680061489</v>
      </c>
      <c r="P77" s="17">
        <f t="shared" si="59"/>
        <v>131335001.14518492</v>
      </c>
      <c r="Q77" s="175">
        <f t="shared" ref="Q77:Y77" si="82">$B$56*Q23</f>
        <v>30655195.673294105</v>
      </c>
      <c r="R77" s="175">
        <f t="shared" si="82"/>
        <v>24174799.266098566</v>
      </c>
      <c r="S77" s="175">
        <f t="shared" si="82"/>
        <v>89203154.429685056</v>
      </c>
      <c r="T77" s="175">
        <f t="shared" si="82"/>
        <v>66188246.642303318</v>
      </c>
      <c r="U77" s="175">
        <f t="shared" si="82"/>
        <v>9832545.2833487485</v>
      </c>
      <c r="V77" s="175">
        <f t="shared" si="82"/>
        <v>26860888.073442843</v>
      </c>
      <c r="W77" s="175">
        <f t="shared" si="82"/>
        <v>-94131259.011484295</v>
      </c>
      <c r="X77" s="175">
        <f t="shared" si="82"/>
        <v>36022024.472892858</v>
      </c>
      <c r="Y77" s="175">
        <f t="shared" si="82"/>
        <v>16458614.294786716</v>
      </c>
      <c r="Z77" s="196">
        <f t="shared" si="61"/>
        <v>205264209.12436792</v>
      </c>
      <c r="AA77" s="176">
        <f t="shared" si="62"/>
        <v>-1191148661.5539656</v>
      </c>
      <c r="AB77" s="176">
        <f>'Collections and ACP'!K91</f>
        <v>438235256.99747199</v>
      </c>
      <c r="AC77" s="176">
        <f t="shared" si="57"/>
        <v>-752913404.55649352</v>
      </c>
      <c r="AD77" s="176">
        <f t="shared" si="63"/>
        <v>336599210.26955283</v>
      </c>
      <c r="AE77" s="18">
        <f t="shared" si="58"/>
        <v>-1089512614.8260465</v>
      </c>
      <c r="AF77" s="19"/>
    </row>
    <row r="78" spans="1:32" x14ac:dyDescent="0.35">
      <c r="A78" s="174" t="s">
        <v>38</v>
      </c>
      <c r="B78" s="16">
        <f t="shared" ref="B78:G81" si="83">B24*$B$56</f>
        <v>0</v>
      </c>
      <c r="C78" s="16">
        <f t="shared" si="83"/>
        <v>0</v>
      </c>
      <c r="D78" s="16">
        <f t="shared" si="83"/>
        <v>45674981.35847757</v>
      </c>
      <c r="E78" s="16">
        <f t="shared" si="83"/>
        <v>762969.62406916404</v>
      </c>
      <c r="F78" s="16">
        <f t="shared" si="83"/>
        <v>0</v>
      </c>
      <c r="G78" s="16">
        <f t="shared" si="83"/>
        <v>0</v>
      </c>
      <c r="H78" s="17">
        <v>4261079.6921323007</v>
      </c>
      <c r="I78" s="17"/>
      <c r="J78" s="16">
        <f t="shared" si="53"/>
        <v>3207381.1020171396</v>
      </c>
      <c r="K78" s="16">
        <f t="shared" si="53"/>
        <v>20646548.508032225</v>
      </c>
      <c r="L78" s="16">
        <f t="shared" si="53"/>
        <v>3764956.1008736007</v>
      </c>
      <c r="M78" s="17">
        <f t="shared" si="54"/>
        <v>12549321.69718389</v>
      </c>
      <c r="N78" s="17"/>
      <c r="O78" s="17">
        <f t="shared" si="55"/>
        <v>35269079.680061489</v>
      </c>
      <c r="P78" s="17">
        <f t="shared" si="59"/>
        <v>126136317.76284739</v>
      </c>
      <c r="Q78" s="175">
        <f t="shared" ref="Q78:Y78" si="84">$B$56*Q24</f>
        <v>29428987.846362341</v>
      </c>
      <c r="R78" s="175">
        <f t="shared" si="84"/>
        <v>23207807.295454625</v>
      </c>
      <c r="S78" s="175">
        <f t="shared" si="84"/>
        <v>91397325.115214258</v>
      </c>
      <c r="T78" s="175">
        <f t="shared" si="84"/>
        <v>67436097.375187621</v>
      </c>
      <c r="U78" s="175">
        <f t="shared" si="84"/>
        <v>8139046.6965433871</v>
      </c>
      <c r="V78" s="175">
        <f t="shared" si="84"/>
        <v>25786452.550505128</v>
      </c>
      <c r="W78" s="175">
        <f t="shared" si="84"/>
        <v>-116001931.60579938</v>
      </c>
      <c r="X78" s="175">
        <f t="shared" si="84"/>
        <v>29486415.987173025</v>
      </c>
      <c r="Y78" s="175">
        <f t="shared" si="84"/>
        <v>17092181.589237571</v>
      </c>
      <c r="Z78" s="196">
        <f t="shared" si="61"/>
        <v>175972382.84987858</v>
      </c>
      <c r="AA78" s="176">
        <f t="shared" si="62"/>
        <v>-1089512614.8260465</v>
      </c>
      <c r="AB78" s="176">
        <f>'Collections and ACP'!K92</f>
        <v>440920931.13038957</v>
      </c>
      <c r="AC78" s="176">
        <f t="shared" si="57"/>
        <v>-648591683.6956569</v>
      </c>
      <c r="AD78" s="176">
        <f t="shared" si="63"/>
        <v>302108700.61272597</v>
      </c>
      <c r="AE78" s="18">
        <f t="shared" si="58"/>
        <v>-950700384.30838287</v>
      </c>
      <c r="AF78" s="19"/>
    </row>
    <row r="79" spans="1:32" x14ac:dyDescent="0.35">
      <c r="A79" s="174" t="s">
        <v>39</v>
      </c>
      <c r="B79" s="16">
        <f t="shared" si="83"/>
        <v>0</v>
      </c>
      <c r="C79" s="16">
        <f t="shared" si="83"/>
        <v>0</v>
      </c>
      <c r="D79" s="16">
        <f t="shared" si="83"/>
        <v>45446944.997323811</v>
      </c>
      <c r="E79" s="16">
        <f t="shared" si="83"/>
        <v>759227.3560468154</v>
      </c>
      <c r="F79" s="16">
        <f t="shared" si="83"/>
        <v>0</v>
      </c>
      <c r="G79" s="16">
        <f t="shared" si="83"/>
        <v>0</v>
      </c>
      <c r="H79" s="17">
        <v>4261079.6921323007</v>
      </c>
      <c r="I79" s="20"/>
      <c r="J79" s="16">
        <f t="shared" si="53"/>
        <v>2229357.835596629</v>
      </c>
      <c r="K79" s="16">
        <f t="shared" si="53"/>
        <v>17647843.335369546</v>
      </c>
      <c r="L79" s="16">
        <f t="shared" si="53"/>
        <v>3631712.2900552377</v>
      </c>
      <c r="M79" s="17">
        <f t="shared" si="54"/>
        <v>12588447.345144667</v>
      </c>
      <c r="N79" s="17"/>
      <c r="O79" s="17">
        <f t="shared" si="55"/>
        <v>35269079.680061489</v>
      </c>
      <c r="P79" s="17">
        <f t="shared" si="59"/>
        <v>121833692.5317305</v>
      </c>
      <c r="Q79" s="175">
        <f t="shared" ref="Q79:Y79" si="85">$B$56*Q25</f>
        <v>0</v>
      </c>
      <c r="R79" s="175">
        <f t="shared" si="85"/>
        <v>19329699.772801165</v>
      </c>
      <c r="S79" s="175">
        <f t="shared" si="85"/>
        <v>93474917.489008754</v>
      </c>
      <c r="T79" s="175">
        <f t="shared" si="85"/>
        <v>67098916.888311692</v>
      </c>
      <c r="U79" s="175">
        <f t="shared" si="85"/>
        <v>7813484.8286816506</v>
      </c>
      <c r="V79" s="175">
        <f t="shared" si="85"/>
        <v>21477444.192001291</v>
      </c>
      <c r="W79" s="175">
        <f t="shared" si="85"/>
        <v>-153161625.39640895</v>
      </c>
      <c r="X79" s="175">
        <f t="shared" si="85"/>
        <v>19232086.19282645</v>
      </c>
      <c r="Y79" s="175">
        <f t="shared" si="85"/>
        <v>17491434.630427442</v>
      </c>
      <c r="Z79" s="196">
        <f t="shared" si="61"/>
        <v>92756358.597649485</v>
      </c>
      <c r="AA79" s="176">
        <f t="shared" si="62"/>
        <v>-950700384.30838287</v>
      </c>
      <c r="AB79" s="176">
        <f>'Collections and ACP'!K93</f>
        <v>442769305.46354878</v>
      </c>
      <c r="AC79" s="176">
        <f t="shared" si="57"/>
        <v>-507931078.84483409</v>
      </c>
      <c r="AD79" s="176">
        <f t="shared" si="63"/>
        <v>214590051.12937999</v>
      </c>
      <c r="AE79" s="18">
        <f t="shared" si="58"/>
        <v>-722521129.97421408</v>
      </c>
      <c r="AF79" s="19"/>
    </row>
    <row r="80" spans="1:32" x14ac:dyDescent="0.35">
      <c r="A80" s="174" t="s">
        <v>40</v>
      </c>
      <c r="B80" s="16">
        <f t="shared" si="83"/>
        <v>0</v>
      </c>
      <c r="C80" s="16">
        <f t="shared" si="83"/>
        <v>0</v>
      </c>
      <c r="D80" s="16">
        <f t="shared" si="83"/>
        <v>45219688.08283101</v>
      </c>
      <c r="E80" s="16">
        <f t="shared" si="83"/>
        <v>755444.77546639263</v>
      </c>
      <c r="F80" s="16">
        <f t="shared" si="83"/>
        <v>0</v>
      </c>
      <c r="G80" s="16">
        <f t="shared" si="83"/>
        <v>0</v>
      </c>
      <c r="H80" s="17">
        <v>4261079.6921323007</v>
      </c>
      <c r="I80" s="20"/>
      <c r="J80" s="16">
        <f t="shared" si="53"/>
        <v>-9050432.2455923352</v>
      </c>
      <c r="K80" s="16">
        <f t="shared" si="53"/>
        <v>-26721166.553260282</v>
      </c>
      <c r="L80" s="16">
        <f t="shared" si="53"/>
        <v>-1055390.2925416115</v>
      </c>
      <c r="M80" s="17">
        <f t="shared" si="54"/>
        <v>12628300.273648368</v>
      </c>
      <c r="N80" s="17"/>
      <c r="O80" s="17">
        <f t="shared" si="55"/>
        <v>35269079.680061489</v>
      </c>
      <c r="P80" s="17">
        <f t="shared" si="59"/>
        <v>61306603.412745334</v>
      </c>
      <c r="Q80" s="175">
        <f t="shared" ref="Q80:Y80" si="86">$B$56*Q26</f>
        <v>0</v>
      </c>
      <c r="R80" s="175">
        <f t="shared" si="86"/>
        <v>15770594.063878033</v>
      </c>
      <c r="S80" s="175">
        <f t="shared" si="86"/>
        <v>93007542.901563704</v>
      </c>
      <c r="T80" s="175">
        <f t="shared" si="86"/>
        <v>66763422.303870127</v>
      </c>
      <c r="U80" s="175">
        <f t="shared" si="86"/>
        <v>6507823.5955248373</v>
      </c>
      <c r="V80" s="175">
        <f t="shared" si="86"/>
        <v>17522882.293197807</v>
      </c>
      <c r="W80" s="175">
        <f t="shared" si="86"/>
        <v>-171072084.59148744</v>
      </c>
      <c r="X80" s="175">
        <f t="shared" si="86"/>
        <v>9946841.8316701259</v>
      </c>
      <c r="Y80" s="175">
        <f t="shared" si="86"/>
        <v>17934455.535591818</v>
      </c>
      <c r="Z80" s="196">
        <f t="shared" si="61"/>
        <v>56381477.933809012</v>
      </c>
      <c r="AA80" s="176">
        <f t="shared" si="62"/>
        <v>-722521129.97421408</v>
      </c>
      <c r="AB80" s="176">
        <f>'Collections and ACP'!K94</f>
        <v>444652102.27955437</v>
      </c>
      <c r="AC80" s="176">
        <f t="shared" si="57"/>
        <v>-277869027.69465971</v>
      </c>
      <c r="AD80" s="176">
        <f t="shared" si="63"/>
        <v>117688081.34655434</v>
      </c>
      <c r="AE80" s="18">
        <f t="shared" si="58"/>
        <v>-395557109.04121405</v>
      </c>
      <c r="AF80" s="19"/>
    </row>
    <row r="81" spans="1:34" x14ac:dyDescent="0.35">
      <c r="A81" s="174" t="s">
        <v>163</v>
      </c>
      <c r="B81" s="16">
        <f t="shared" si="83"/>
        <v>0</v>
      </c>
      <c r="C81" s="16">
        <f t="shared" si="83"/>
        <v>0</v>
      </c>
      <c r="D81" s="16">
        <f t="shared" si="83"/>
        <v>36525136.241342247</v>
      </c>
      <c r="E81" s="16">
        <f t="shared" si="83"/>
        <v>751621.20516156557</v>
      </c>
      <c r="F81" s="16">
        <f t="shared" si="83"/>
        <v>0</v>
      </c>
      <c r="G81" s="16">
        <f t="shared" si="83"/>
        <v>0</v>
      </c>
      <c r="H81" s="17">
        <v>4261079.6921323007</v>
      </c>
      <c r="I81" s="20"/>
      <c r="J81" s="16">
        <f t="shared" si="53"/>
        <v>0</v>
      </c>
      <c r="K81" s="16">
        <f t="shared" si="53"/>
        <v>0</v>
      </c>
      <c r="L81" s="16">
        <f t="shared" si="53"/>
        <v>0</v>
      </c>
      <c r="M81" s="17">
        <f t="shared" si="54"/>
        <v>12628300.273648368</v>
      </c>
      <c r="N81" s="17"/>
      <c r="O81" s="17">
        <f t="shared" si="55"/>
        <v>35269079.680061489</v>
      </c>
      <c r="P81" s="17">
        <f t="shared" si="59"/>
        <v>89435217.092345968</v>
      </c>
      <c r="Q81" s="175">
        <f t="shared" ref="Q81:Y81" si="87">$B$56*Q27</f>
        <v>0</v>
      </c>
      <c r="R81" s="175">
        <f t="shared" si="87"/>
        <v>0</v>
      </c>
      <c r="S81" s="175">
        <f t="shared" si="87"/>
        <v>0</v>
      </c>
      <c r="T81" s="175">
        <f t="shared" si="87"/>
        <v>0</v>
      </c>
      <c r="U81" s="175">
        <f t="shared" si="87"/>
        <v>0</v>
      </c>
      <c r="V81" s="175">
        <f t="shared" si="87"/>
        <v>0</v>
      </c>
      <c r="W81" s="175">
        <f t="shared" si="87"/>
        <v>-198316799.421725</v>
      </c>
      <c r="X81" s="175">
        <f t="shared" si="87"/>
        <v>-99650726.881132737</v>
      </c>
      <c r="Y81" s="175">
        <f t="shared" si="87"/>
        <v>-6011384.648534338</v>
      </c>
      <c r="Z81" s="196">
        <f t="shared" si="61"/>
        <v>-303978910.95139211</v>
      </c>
      <c r="AA81" s="176">
        <f t="shared" si="62"/>
        <v>-395557109.04121405</v>
      </c>
      <c r="AB81" s="176">
        <f>AB80</f>
        <v>444652102.27955437</v>
      </c>
      <c r="AC81" s="176">
        <f t="shared" si="57"/>
        <v>49094993.238340318</v>
      </c>
      <c r="AD81" s="176">
        <f t="shared" si="63"/>
        <v>-214543693.85904616</v>
      </c>
      <c r="AE81" s="18">
        <f t="shared" si="58"/>
        <v>263638687.09738648</v>
      </c>
      <c r="AF81" s="45"/>
      <c r="AG81" s="75">
        <f>AE81-AF81</f>
        <v>263638687.09738648</v>
      </c>
      <c r="AH81" s="181">
        <v>2556726061.8057499</v>
      </c>
    </row>
    <row r="83" spans="1:34" x14ac:dyDescent="0.35">
      <c r="A83" s="177" t="s">
        <v>213</v>
      </c>
      <c r="B83" s="22">
        <v>5.0041044571267233E-3</v>
      </c>
    </row>
    <row r="84" spans="1:34" ht="58" x14ac:dyDescent="0.35">
      <c r="A84" s="173" t="s">
        <v>1</v>
      </c>
      <c r="B84" s="173" t="s">
        <v>187</v>
      </c>
      <c r="C84" s="173" t="s">
        <v>188</v>
      </c>
      <c r="D84" s="173" t="s">
        <v>214</v>
      </c>
      <c r="E84" s="173" t="s">
        <v>149</v>
      </c>
      <c r="F84" s="173" t="s">
        <v>215</v>
      </c>
      <c r="G84" s="173" t="s">
        <v>216</v>
      </c>
      <c r="H84" s="173" t="s">
        <v>340</v>
      </c>
      <c r="I84" s="15" t="s">
        <v>218</v>
      </c>
      <c r="J84" s="15" t="s">
        <v>219</v>
      </c>
      <c r="K84" s="15" t="s">
        <v>220</v>
      </c>
      <c r="L84" s="15" t="s">
        <v>221</v>
      </c>
      <c r="M84" s="173" t="s">
        <v>222</v>
      </c>
      <c r="N84" s="173" t="s">
        <v>223</v>
      </c>
      <c r="O84" s="173" t="s">
        <v>203</v>
      </c>
      <c r="P84" s="15" t="s">
        <v>201</v>
      </c>
      <c r="Q84" s="198" t="s">
        <v>187</v>
      </c>
      <c r="R84" s="198" t="s">
        <v>188</v>
      </c>
      <c r="S84" s="198" t="s">
        <v>144</v>
      </c>
      <c r="T84" s="198" t="s">
        <v>149</v>
      </c>
      <c r="U84" s="198" t="s">
        <v>153</v>
      </c>
      <c r="V84" s="198" t="s">
        <v>156</v>
      </c>
      <c r="W84" s="198" t="s">
        <v>86</v>
      </c>
      <c r="X84" s="198" t="s">
        <v>87</v>
      </c>
      <c r="Y84" s="198" t="s">
        <v>82</v>
      </c>
      <c r="Z84" s="198" t="s">
        <v>224</v>
      </c>
      <c r="AA84" s="15" t="s">
        <v>225</v>
      </c>
      <c r="AB84" s="15" t="s">
        <v>226</v>
      </c>
      <c r="AC84" s="15" t="s">
        <v>227</v>
      </c>
      <c r="AD84" s="173" t="s">
        <v>170</v>
      </c>
      <c r="AE84" s="173" t="s">
        <v>228</v>
      </c>
    </row>
    <row r="85" spans="1:34" x14ac:dyDescent="0.35">
      <c r="A85" s="174" t="s">
        <v>17</v>
      </c>
      <c r="B85" s="17">
        <f t="shared" ref="B85:G94" si="88">B4*$B$83</f>
        <v>690348.71432138153</v>
      </c>
      <c r="C85" s="17">
        <f t="shared" si="88"/>
        <v>243307.53698943392</v>
      </c>
      <c r="D85" s="17">
        <f t="shared" si="88"/>
        <v>150068.37669109975</v>
      </c>
      <c r="E85" s="17">
        <f t="shared" si="88"/>
        <v>0</v>
      </c>
      <c r="F85" s="17">
        <f t="shared" si="88"/>
        <v>0</v>
      </c>
      <c r="G85" s="17">
        <f t="shared" si="88"/>
        <v>0</v>
      </c>
      <c r="H85" s="17"/>
      <c r="I85" s="17">
        <v>9408.9599999999991</v>
      </c>
      <c r="J85" s="17">
        <f t="shared" ref="J85:L108" si="89">J4*$B$83</f>
        <v>0</v>
      </c>
      <c r="K85" s="17">
        <f t="shared" si="89"/>
        <v>0</v>
      </c>
      <c r="L85" s="17">
        <f t="shared" si="89"/>
        <v>0</v>
      </c>
      <c r="M85" s="17">
        <f t="shared" ref="M85:M108" si="90">$B$83*M4</f>
        <v>33813.134254762168</v>
      </c>
      <c r="N85" s="17"/>
      <c r="O85" s="17">
        <f t="shared" ref="O85:O108" si="91">$B$83*O4</f>
        <v>56355.223757936954</v>
      </c>
      <c r="P85" s="17">
        <f t="shared" ref="P85:P108" si="92">SUM(B85:O85)</f>
        <v>1183301.9460146143</v>
      </c>
      <c r="Q85" s="175">
        <f t="shared" ref="Q85:Y85" si="93">$B$83*Q4</f>
        <v>0</v>
      </c>
      <c r="R85" s="175">
        <f t="shared" si="93"/>
        <v>0</v>
      </c>
      <c r="S85" s="175">
        <f t="shared" si="93"/>
        <v>0</v>
      </c>
      <c r="T85" s="175">
        <f t="shared" si="93"/>
        <v>0</v>
      </c>
      <c r="U85" s="175">
        <f t="shared" si="93"/>
        <v>0</v>
      </c>
      <c r="V85" s="175">
        <f t="shared" si="93"/>
        <v>0</v>
      </c>
      <c r="W85" s="175">
        <f t="shared" si="93"/>
        <v>0</v>
      </c>
      <c r="X85" s="175">
        <f t="shared" si="93"/>
        <v>0</v>
      </c>
      <c r="Y85" s="175">
        <f t="shared" si="93"/>
        <v>0</v>
      </c>
      <c r="Z85" s="196">
        <f t="shared" ref="Z85:Z108" si="94">SUM(Q85:Y85)</f>
        <v>0</v>
      </c>
      <c r="AA85" s="176">
        <f>'Collections and ACP'!D149++'Collections and ACP'!D141</f>
        <v>1406204.2258068149</v>
      </c>
      <c r="AB85" s="176">
        <f>'Collections and ACP'!K105</f>
        <v>585306.97492689674</v>
      </c>
      <c r="AC85" s="176">
        <f t="shared" ref="AC85:AC105" si="95">AA85+AB85</f>
        <v>1991511.2007337115</v>
      </c>
      <c r="AD85" s="176">
        <f t="shared" ref="AD85:AD104" si="96">P85+Z85</f>
        <v>1183301.9460146143</v>
      </c>
      <c r="AE85" s="18">
        <f t="shared" ref="AE85:AE104" si="97">AC85-AD85</f>
        <v>808209.25471909717</v>
      </c>
    </row>
    <row r="86" spans="1:34" x14ac:dyDescent="0.35">
      <c r="A86" s="174" t="s">
        <v>18</v>
      </c>
      <c r="B86" s="17">
        <f t="shared" si="88"/>
        <v>310135.61259766045</v>
      </c>
      <c r="C86" s="17">
        <f t="shared" si="88"/>
        <v>303739.73292128654</v>
      </c>
      <c r="D86" s="17">
        <f t="shared" si="88"/>
        <v>421307.12338471657</v>
      </c>
      <c r="E86" s="17">
        <f t="shared" si="88"/>
        <v>0</v>
      </c>
      <c r="F86" s="17">
        <f t="shared" si="88"/>
        <v>0</v>
      </c>
      <c r="G86" s="17">
        <f t="shared" si="88"/>
        <v>0</v>
      </c>
      <c r="H86" s="17"/>
      <c r="I86" s="17">
        <v>55160.941677111034</v>
      </c>
      <c r="J86" s="17">
        <f t="shared" si="89"/>
        <v>0</v>
      </c>
      <c r="K86" s="17">
        <f t="shared" si="89"/>
        <v>0</v>
      </c>
      <c r="L86" s="17">
        <f t="shared" si="89"/>
        <v>0</v>
      </c>
      <c r="M86" s="17">
        <f t="shared" si="90"/>
        <v>69767.900357761828</v>
      </c>
      <c r="N86" s="17"/>
      <c r="O86" s="17">
        <f t="shared" si="91"/>
        <v>250205.22285633616</v>
      </c>
      <c r="P86" s="17">
        <f t="shared" si="92"/>
        <v>1410316.5337948725</v>
      </c>
      <c r="Q86" s="175">
        <f t="shared" ref="Q86:Y86" si="98">$B$83*Q5</f>
        <v>0</v>
      </c>
      <c r="R86" s="175">
        <f t="shared" si="98"/>
        <v>0</v>
      </c>
      <c r="S86" s="175">
        <f t="shared" si="98"/>
        <v>0</v>
      </c>
      <c r="T86" s="175">
        <f t="shared" si="98"/>
        <v>0</v>
      </c>
      <c r="U86" s="175">
        <f t="shared" si="98"/>
        <v>0</v>
      </c>
      <c r="V86" s="175">
        <f t="shared" si="98"/>
        <v>0</v>
      </c>
      <c r="W86" s="175">
        <f t="shared" si="98"/>
        <v>0</v>
      </c>
      <c r="X86" s="175">
        <f t="shared" si="98"/>
        <v>0</v>
      </c>
      <c r="Y86" s="175">
        <f t="shared" si="98"/>
        <v>0</v>
      </c>
      <c r="Z86" s="196">
        <f t="shared" si="94"/>
        <v>0</v>
      </c>
      <c r="AA86" s="176">
        <f t="shared" ref="AA86:AA106" si="99">AE85</f>
        <v>808209.25471909717</v>
      </c>
      <c r="AB86" s="176">
        <f>'Collections and ACP'!K106</f>
        <v>1153433.5221666666</v>
      </c>
      <c r="AC86" s="176">
        <f t="shared" si="95"/>
        <v>1961642.7768857637</v>
      </c>
      <c r="AD86" s="176">
        <f t="shared" si="96"/>
        <v>1410316.5337948725</v>
      </c>
      <c r="AE86" s="18">
        <f t="shared" si="97"/>
        <v>551326.24309089128</v>
      </c>
      <c r="AF86" s="19"/>
    </row>
    <row r="87" spans="1:34" x14ac:dyDescent="0.35">
      <c r="A87" s="174" t="s">
        <v>19</v>
      </c>
      <c r="B87" s="17">
        <f t="shared" si="88"/>
        <v>444222.28771761694</v>
      </c>
      <c r="C87" s="17">
        <f t="shared" si="88"/>
        <v>327108.90481941728</v>
      </c>
      <c r="D87" s="17">
        <f t="shared" si="88"/>
        <v>511105.07697296899</v>
      </c>
      <c r="E87" s="17">
        <f t="shared" si="88"/>
        <v>0</v>
      </c>
      <c r="F87" s="17">
        <f t="shared" si="88"/>
        <v>0</v>
      </c>
      <c r="G87" s="17">
        <f t="shared" si="88"/>
        <v>0</v>
      </c>
      <c r="H87" s="17"/>
      <c r="I87" s="17">
        <v>74567.941677111041</v>
      </c>
      <c r="J87" s="17">
        <f t="shared" si="89"/>
        <v>0</v>
      </c>
      <c r="K87" s="17">
        <f t="shared" si="89"/>
        <v>0</v>
      </c>
      <c r="L87" s="17">
        <f t="shared" si="89"/>
        <v>0</v>
      </c>
      <c r="M87" s="17">
        <f t="shared" si="90"/>
        <v>88191.78550485264</v>
      </c>
      <c r="N87" s="17"/>
      <c r="O87" s="17">
        <f t="shared" si="91"/>
        <v>250205.22285633616</v>
      </c>
      <c r="P87" s="17">
        <f t="shared" si="92"/>
        <v>1695401.2195483032</v>
      </c>
      <c r="Q87" s="175">
        <f t="shared" ref="Q87:Y87" si="100">$B$83*Q6</f>
        <v>0</v>
      </c>
      <c r="R87" s="175">
        <f t="shared" si="100"/>
        <v>0</v>
      </c>
      <c r="S87" s="175">
        <f t="shared" si="100"/>
        <v>0</v>
      </c>
      <c r="T87" s="175">
        <f t="shared" si="100"/>
        <v>0</v>
      </c>
      <c r="U87" s="175">
        <f t="shared" si="100"/>
        <v>0</v>
      </c>
      <c r="V87" s="175">
        <f t="shared" si="100"/>
        <v>0</v>
      </c>
      <c r="W87" s="175">
        <f t="shared" si="100"/>
        <v>0</v>
      </c>
      <c r="X87" s="175">
        <f t="shared" si="100"/>
        <v>0</v>
      </c>
      <c r="Y87" s="175">
        <f t="shared" si="100"/>
        <v>0</v>
      </c>
      <c r="Z87" s="196">
        <f t="shared" si="94"/>
        <v>0</v>
      </c>
      <c r="AA87" s="176">
        <f t="shared" si="99"/>
        <v>551326.24309089128</v>
      </c>
      <c r="AB87" s="176">
        <f>'Collections and ACP'!K107</f>
        <v>1392648.2258068149</v>
      </c>
      <c r="AC87" s="176">
        <f t="shared" si="95"/>
        <v>1943974.4688977061</v>
      </c>
      <c r="AD87" s="176">
        <f t="shared" si="96"/>
        <v>1695401.2195483032</v>
      </c>
      <c r="AE87" s="18">
        <f t="shared" si="97"/>
        <v>248573.24934940296</v>
      </c>
      <c r="AF87" s="19"/>
    </row>
    <row r="88" spans="1:34" x14ac:dyDescent="0.35">
      <c r="A88" s="174" t="s">
        <v>20</v>
      </c>
      <c r="B88" s="17">
        <f t="shared" si="88"/>
        <v>1352291.8819988193</v>
      </c>
      <c r="C88" s="17">
        <f t="shared" si="88"/>
        <v>420193.41842289816</v>
      </c>
      <c r="D88" s="17">
        <f t="shared" si="88"/>
        <v>591314.94382879208</v>
      </c>
      <c r="E88" s="17">
        <f t="shared" si="88"/>
        <v>0</v>
      </c>
      <c r="F88" s="17">
        <f t="shared" si="88"/>
        <v>0</v>
      </c>
      <c r="G88" s="17">
        <f t="shared" si="88"/>
        <v>0</v>
      </c>
      <c r="H88" s="17"/>
      <c r="I88" s="17">
        <v>74566.48252909616</v>
      </c>
      <c r="J88" s="17">
        <f t="shared" si="89"/>
        <v>0</v>
      </c>
      <c r="K88" s="17">
        <f t="shared" si="89"/>
        <v>0</v>
      </c>
      <c r="L88" s="17">
        <f t="shared" si="89"/>
        <v>0</v>
      </c>
      <c r="M88" s="17">
        <f t="shared" si="90"/>
        <v>86684.335504653951</v>
      </c>
      <c r="N88" s="17"/>
      <c r="O88" s="17">
        <f t="shared" si="91"/>
        <v>250205.22285633616</v>
      </c>
      <c r="P88" s="17">
        <f t="shared" si="92"/>
        <v>2775256.2851405963</v>
      </c>
      <c r="Q88" s="175">
        <f t="shared" ref="Q88:Y88" si="101">$B$83*Q7</f>
        <v>0</v>
      </c>
      <c r="R88" s="175">
        <f t="shared" si="101"/>
        <v>0</v>
      </c>
      <c r="S88" s="175">
        <f t="shared" si="101"/>
        <v>0</v>
      </c>
      <c r="T88" s="175">
        <f t="shared" si="101"/>
        <v>0</v>
      </c>
      <c r="U88" s="175">
        <f t="shared" si="101"/>
        <v>0</v>
      </c>
      <c r="V88" s="175">
        <f t="shared" si="101"/>
        <v>0</v>
      </c>
      <c r="W88" s="175">
        <f t="shared" si="101"/>
        <v>0</v>
      </c>
      <c r="X88" s="175">
        <f t="shared" si="101"/>
        <v>0</v>
      </c>
      <c r="Y88" s="175">
        <f t="shared" si="101"/>
        <v>0</v>
      </c>
      <c r="Z88" s="196">
        <f t="shared" si="94"/>
        <v>0</v>
      </c>
      <c r="AA88" s="176">
        <f t="shared" si="99"/>
        <v>248573.24934940296</v>
      </c>
      <c r="AB88" s="176">
        <f>'Collections and ACP'!K108</f>
        <v>1383224.4391287609</v>
      </c>
      <c r="AC88" s="176">
        <f t="shared" si="95"/>
        <v>1631797.6884781639</v>
      </c>
      <c r="AD88" s="176">
        <f t="shared" si="96"/>
        <v>2775256.2851405963</v>
      </c>
      <c r="AE88" s="18">
        <f t="shared" si="97"/>
        <v>-1143458.5966624324</v>
      </c>
      <c r="AF88" s="19"/>
    </row>
    <row r="89" spans="1:34" x14ac:dyDescent="0.35">
      <c r="A89" s="174" t="s">
        <v>22</v>
      </c>
      <c r="B89" s="17">
        <f t="shared" si="88"/>
        <v>470421.4172682825</v>
      </c>
      <c r="C89" s="17">
        <f t="shared" si="88"/>
        <v>475385.05020785227</v>
      </c>
      <c r="D89" s="17">
        <f t="shared" si="88"/>
        <v>696148.75528004253</v>
      </c>
      <c r="E89" s="17">
        <f t="shared" si="88"/>
        <v>550.12772472556344</v>
      </c>
      <c r="F89" s="17">
        <f t="shared" si="88"/>
        <v>4391.3361384512473</v>
      </c>
      <c r="G89" s="17">
        <f t="shared" si="88"/>
        <v>0</v>
      </c>
      <c r="H89" s="17"/>
      <c r="I89" s="17">
        <v>74566.48252909616</v>
      </c>
      <c r="J89" s="17">
        <f t="shared" si="89"/>
        <v>16894.37393662929</v>
      </c>
      <c r="K89" s="17">
        <f t="shared" si="89"/>
        <v>162514.27634944316</v>
      </c>
      <c r="L89" s="17">
        <f t="shared" si="89"/>
        <v>13795.762949864804</v>
      </c>
      <c r="M89" s="17">
        <f t="shared" si="90"/>
        <v>86114.780690070693</v>
      </c>
      <c r="N89" s="17"/>
      <c r="O89" s="17">
        <f t="shared" si="91"/>
        <v>250205.22285633616</v>
      </c>
      <c r="P89" s="17">
        <f t="shared" si="92"/>
        <v>2250987.5859307945</v>
      </c>
      <c r="Q89" s="175">
        <f t="shared" ref="Q89:Y89" si="102">$B$83*Q8</f>
        <v>802357.35211685312</v>
      </c>
      <c r="R89" s="175">
        <f t="shared" si="102"/>
        <v>115128.45920248804</v>
      </c>
      <c r="S89" s="175">
        <f t="shared" si="102"/>
        <v>0</v>
      </c>
      <c r="T89" s="175">
        <f t="shared" si="102"/>
        <v>113841.46821358467</v>
      </c>
      <c r="U89" s="175">
        <f t="shared" si="102"/>
        <v>0</v>
      </c>
      <c r="V89" s="175">
        <f t="shared" si="102"/>
        <v>93083.056936042238</v>
      </c>
      <c r="W89" s="175">
        <f t="shared" si="102"/>
        <v>0</v>
      </c>
      <c r="X89" s="175">
        <f t="shared" si="102"/>
        <v>0</v>
      </c>
      <c r="Y89" s="175">
        <f t="shared" si="102"/>
        <v>0</v>
      </c>
      <c r="Z89" s="196">
        <f t="shared" si="94"/>
        <v>1124410.3364689681</v>
      </c>
      <c r="AA89" s="176">
        <f t="shared" si="99"/>
        <v>-1143458.5966624324</v>
      </c>
      <c r="AB89" s="176">
        <f>'Collections and ACP'!K109</f>
        <v>1387044.2350979969</v>
      </c>
      <c r="AC89" s="176">
        <f t="shared" si="95"/>
        <v>243585.63843556447</v>
      </c>
      <c r="AD89" s="176">
        <f t="shared" si="96"/>
        <v>3375397.9223997626</v>
      </c>
      <c r="AE89" s="18">
        <f t="shared" si="97"/>
        <v>-3131812.2839641981</v>
      </c>
      <c r="AF89" s="19"/>
    </row>
    <row r="90" spans="1:34" x14ac:dyDescent="0.35">
      <c r="A90" s="174" t="s">
        <v>23</v>
      </c>
      <c r="B90" s="17">
        <f t="shared" si="88"/>
        <v>0</v>
      </c>
      <c r="C90" s="17">
        <f t="shared" si="88"/>
        <v>317240.07474579738</v>
      </c>
      <c r="D90" s="17">
        <f t="shared" si="88"/>
        <v>724167.32692006836</v>
      </c>
      <c r="E90" s="17">
        <f t="shared" si="88"/>
        <v>5835.8991101693819</v>
      </c>
      <c r="F90" s="17">
        <f t="shared" si="88"/>
        <v>113206.05549915179</v>
      </c>
      <c r="G90" s="17">
        <f t="shared" si="88"/>
        <v>0</v>
      </c>
      <c r="H90" s="17"/>
      <c r="I90" s="17">
        <v>74566.48252909616</v>
      </c>
      <c r="J90" s="17">
        <f t="shared" si="89"/>
        <v>8485.7458767759235</v>
      </c>
      <c r="K90" s="17">
        <f t="shared" si="89"/>
        <v>396080.08231429523</v>
      </c>
      <c r="L90" s="17">
        <f t="shared" si="89"/>
        <v>38206.668857816338</v>
      </c>
      <c r="M90" s="17">
        <f t="shared" si="90"/>
        <v>85057.232435870174</v>
      </c>
      <c r="N90" s="17"/>
      <c r="O90" s="17">
        <f t="shared" si="91"/>
        <v>250205.22285633616</v>
      </c>
      <c r="P90" s="17">
        <f t="shared" si="92"/>
        <v>2013050.7911453769</v>
      </c>
      <c r="Q90" s="175">
        <f t="shared" ref="Q90:Y90" si="103">$B$83*Q9</f>
        <v>770263.0580321789</v>
      </c>
      <c r="R90" s="175">
        <f t="shared" si="103"/>
        <v>190898.06754842645</v>
      </c>
      <c r="S90" s="175">
        <f t="shared" si="103"/>
        <v>69103.229281373729</v>
      </c>
      <c r="T90" s="175">
        <f t="shared" si="103"/>
        <v>154594.95719324396</v>
      </c>
      <c r="U90" s="175">
        <f t="shared" si="103"/>
        <v>28204.851045431198</v>
      </c>
      <c r="V90" s="175">
        <f t="shared" si="103"/>
        <v>177271.51065375155</v>
      </c>
      <c r="W90" s="175">
        <f t="shared" si="103"/>
        <v>0</v>
      </c>
      <c r="X90" s="175">
        <f t="shared" si="103"/>
        <v>13795.762949864804</v>
      </c>
      <c r="Y90" s="175">
        <f t="shared" si="103"/>
        <v>0</v>
      </c>
      <c r="Z90" s="196">
        <f t="shared" si="94"/>
        <v>1404131.4367042705</v>
      </c>
      <c r="AA90" s="176">
        <f t="shared" si="99"/>
        <v>-3131812.2839641981</v>
      </c>
      <c r="AB90" s="176">
        <f>'Collections and ACP'!K110</f>
        <v>1386156.5915539409</v>
      </c>
      <c r="AC90" s="176">
        <f t="shared" si="95"/>
        <v>-1745655.6924102572</v>
      </c>
      <c r="AD90" s="176">
        <f t="shared" si="96"/>
        <v>3417182.2278496474</v>
      </c>
      <c r="AE90" s="18">
        <f t="shared" si="97"/>
        <v>-5162837.9202599041</v>
      </c>
      <c r="AF90" s="19"/>
    </row>
    <row r="91" spans="1:34" x14ac:dyDescent="0.35">
      <c r="A91" s="174" t="s">
        <v>24</v>
      </c>
      <c r="B91" s="17">
        <f t="shared" si="88"/>
        <v>0</v>
      </c>
      <c r="C91" s="17">
        <f t="shared" si="88"/>
        <v>255657.94847399957</v>
      </c>
      <c r="D91" s="17">
        <f t="shared" si="88"/>
        <v>451182.70362683659</v>
      </c>
      <c r="E91" s="17">
        <f t="shared" si="88"/>
        <v>5806.3351612829438</v>
      </c>
      <c r="F91" s="17">
        <f t="shared" si="88"/>
        <v>107147.23980584601</v>
      </c>
      <c r="G91" s="17">
        <f t="shared" si="88"/>
        <v>0</v>
      </c>
      <c r="H91" s="17"/>
      <c r="I91" s="17">
        <v>74566.48252909616</v>
      </c>
      <c r="J91" s="17">
        <f t="shared" si="89"/>
        <v>90513.511673245899</v>
      </c>
      <c r="K91" s="17">
        <f t="shared" si="89"/>
        <v>373388.07121773402</v>
      </c>
      <c r="L91" s="17">
        <f t="shared" si="89"/>
        <v>37197.18447729438</v>
      </c>
      <c r="M91" s="17">
        <f t="shared" si="90"/>
        <v>84513.376400307563</v>
      </c>
      <c r="N91" s="17"/>
      <c r="O91" s="17">
        <f t="shared" si="91"/>
        <v>250205.22285633616</v>
      </c>
      <c r="P91" s="17">
        <f t="shared" si="92"/>
        <v>1730178.0762219792</v>
      </c>
      <c r="Q91" s="175">
        <f t="shared" ref="Q91:Y91" si="104">$B$83*Q10</f>
        <v>739452.53571089171</v>
      </c>
      <c r="R91" s="175">
        <f t="shared" si="104"/>
        <v>263636.89156052732</v>
      </c>
      <c r="S91" s="175">
        <f t="shared" si="104"/>
        <v>135096.81324508565</v>
      </c>
      <c r="T91" s="175">
        <f t="shared" si="104"/>
        <v>193491.7708751758</v>
      </c>
      <c r="U91" s="175">
        <f t="shared" si="104"/>
        <v>53714.57187985452</v>
      </c>
      <c r="V91" s="175">
        <f t="shared" si="104"/>
        <v>258092.42622275255</v>
      </c>
      <c r="W91" s="175">
        <f t="shared" si="104"/>
        <v>0</v>
      </c>
      <c r="X91" s="175">
        <f t="shared" si="104"/>
        <v>12674.2313757794</v>
      </c>
      <c r="Y91" s="175">
        <f t="shared" si="104"/>
        <v>0</v>
      </c>
      <c r="Z91" s="196">
        <f t="shared" si="94"/>
        <v>1656159.2408700669</v>
      </c>
      <c r="AA91" s="176">
        <f t="shared" si="99"/>
        <v>-5162837.9202599041</v>
      </c>
      <c r="AB91" s="176">
        <f>'Collections and ACP'!K111</f>
        <v>1390856.9158026592</v>
      </c>
      <c r="AC91" s="176">
        <f t="shared" si="95"/>
        <v>-3771981.0044572446</v>
      </c>
      <c r="AD91" s="176">
        <f t="shared" si="96"/>
        <v>3386337.3170920461</v>
      </c>
      <c r="AE91" s="18">
        <f t="shared" si="97"/>
        <v>-7158318.3215492908</v>
      </c>
      <c r="AF91" s="19"/>
    </row>
    <row r="92" spans="1:34" x14ac:dyDescent="0.35">
      <c r="A92" s="174" t="s">
        <v>25</v>
      </c>
      <c r="B92" s="17">
        <f t="shared" si="88"/>
        <v>0</v>
      </c>
      <c r="C92" s="17">
        <f t="shared" si="88"/>
        <v>232645.77599325762</v>
      </c>
      <c r="D92" s="17">
        <f t="shared" si="88"/>
        <v>359646.34526749956</v>
      </c>
      <c r="E92" s="17">
        <f t="shared" si="88"/>
        <v>5777.5401931284332</v>
      </c>
      <c r="F92" s="17">
        <f t="shared" si="88"/>
        <v>107147.23980584601</v>
      </c>
      <c r="G92" s="17">
        <f t="shared" si="88"/>
        <v>0</v>
      </c>
      <c r="H92" s="17"/>
      <c r="I92" s="17">
        <v>74566.48252909616</v>
      </c>
      <c r="J92" s="17">
        <f t="shared" si="89"/>
        <v>82536.585308746959</v>
      </c>
      <c r="K92" s="17">
        <f t="shared" si="89"/>
        <v>346188.35968737403</v>
      </c>
      <c r="L92" s="17">
        <f t="shared" si="89"/>
        <v>36010.135280130402</v>
      </c>
      <c r="M92" s="17">
        <f t="shared" si="90"/>
        <v>84381.234313329071</v>
      </c>
      <c r="N92" s="17"/>
      <c r="O92" s="17">
        <f t="shared" si="91"/>
        <v>250205.22285633616</v>
      </c>
      <c r="P92" s="17">
        <f t="shared" si="92"/>
        <v>1579104.9212347441</v>
      </c>
      <c r="Q92" s="175">
        <f t="shared" ref="Q92:Y92" si="105">$B$83*Q11</f>
        <v>709874.43428245594</v>
      </c>
      <c r="R92" s="175">
        <f t="shared" si="105"/>
        <v>333466.16261214414</v>
      </c>
      <c r="S92" s="175">
        <f t="shared" si="105"/>
        <v>198106.86528457425</v>
      </c>
      <c r="T92" s="175">
        <f t="shared" si="105"/>
        <v>230607.30894998211</v>
      </c>
      <c r="U92" s="175">
        <f t="shared" si="105"/>
        <v>78203.903880900922</v>
      </c>
      <c r="V92" s="175">
        <f t="shared" si="105"/>
        <v>335680.50516899343</v>
      </c>
      <c r="W92" s="175">
        <f t="shared" si="105"/>
        <v>83594.596216048769</v>
      </c>
      <c r="X92" s="175">
        <f t="shared" si="105"/>
        <v>12322.312576768943</v>
      </c>
      <c r="Y92" s="175">
        <f t="shared" si="105"/>
        <v>0</v>
      </c>
      <c r="Z92" s="196">
        <f t="shared" si="94"/>
        <v>1981856.0889718686</v>
      </c>
      <c r="AA92" s="176">
        <f t="shared" si="99"/>
        <v>-7158318.3215492908</v>
      </c>
      <c r="AB92" s="176">
        <f>'Collections and ACP'!K112</f>
        <v>1392376.6614621279</v>
      </c>
      <c r="AC92" s="176">
        <f t="shared" si="95"/>
        <v>-5765941.6600871626</v>
      </c>
      <c r="AD92" s="176">
        <f t="shared" si="96"/>
        <v>3560961.0102066128</v>
      </c>
      <c r="AE92" s="18">
        <f t="shared" si="97"/>
        <v>-9326902.6702937745</v>
      </c>
      <c r="AF92" s="19"/>
    </row>
    <row r="93" spans="1:34" x14ac:dyDescent="0.35">
      <c r="A93" s="174" t="s">
        <v>26</v>
      </c>
      <c r="B93" s="17">
        <f t="shared" si="88"/>
        <v>0</v>
      </c>
      <c r="C93" s="17">
        <f t="shared" si="88"/>
        <v>154788.67230640643</v>
      </c>
      <c r="D93" s="17">
        <f t="shared" si="88"/>
        <v>344119.57245716813</v>
      </c>
      <c r="E93" s="17">
        <f t="shared" si="88"/>
        <v>5748.4948195868874</v>
      </c>
      <c r="F93" s="17">
        <f t="shared" si="88"/>
        <v>107147.23980584601</v>
      </c>
      <c r="G93" s="17">
        <f t="shared" si="88"/>
        <v>0</v>
      </c>
      <c r="H93" s="17"/>
      <c r="I93" s="17">
        <v>74566.48252909616</v>
      </c>
      <c r="J93" s="17">
        <f t="shared" si="89"/>
        <v>81237.661865500035</v>
      </c>
      <c r="K93" s="17">
        <f t="shared" si="89"/>
        <v>340352.97938558343</v>
      </c>
      <c r="L93" s="17">
        <f t="shared" si="89"/>
        <v>35667.891426322327</v>
      </c>
      <c r="M93" s="17">
        <f t="shared" si="90"/>
        <v>84601.52654273402</v>
      </c>
      <c r="N93" s="17"/>
      <c r="O93" s="17">
        <f t="shared" si="91"/>
        <v>250205.22285633616</v>
      </c>
      <c r="P93" s="17">
        <f t="shared" si="92"/>
        <v>1478435.7439945797</v>
      </c>
      <c r="Q93" s="175">
        <f t="shared" ref="Q93:Y93" si="106">$B$83*Q12</f>
        <v>681479.45691115782</v>
      </c>
      <c r="R93" s="175">
        <f t="shared" si="106"/>
        <v>400502.26282169629</v>
      </c>
      <c r="S93" s="175">
        <f t="shared" si="106"/>
        <v>258254.44561963683</v>
      </c>
      <c r="T93" s="175">
        <f t="shared" si="106"/>
        <v>266013.9494572471</v>
      </c>
      <c r="U93" s="175">
        <f t="shared" si="106"/>
        <v>101713.66260190548</v>
      </c>
      <c r="V93" s="175">
        <f t="shared" si="106"/>
        <v>410165.0609573847</v>
      </c>
      <c r="W93" s="175">
        <f t="shared" si="106"/>
        <v>63053.437450399775</v>
      </c>
      <c r="X93" s="175">
        <f t="shared" si="106"/>
        <v>96523.083566898669</v>
      </c>
      <c r="Y93" s="175">
        <f t="shared" si="106"/>
        <v>0</v>
      </c>
      <c r="Z93" s="196">
        <f t="shared" si="94"/>
        <v>2277705.3593863263</v>
      </c>
      <c r="AA93" s="176">
        <f t="shared" si="99"/>
        <v>-9326902.6702937745</v>
      </c>
      <c r="AB93" s="176">
        <f>'Collections and ACP'!K113</f>
        <v>1394834.1963444413</v>
      </c>
      <c r="AC93" s="176">
        <f t="shared" si="95"/>
        <v>-7932068.4739493337</v>
      </c>
      <c r="AD93" s="176">
        <f t="shared" si="96"/>
        <v>3756141.1033809059</v>
      </c>
      <c r="AE93" s="18">
        <f t="shared" si="97"/>
        <v>-11688209.577330239</v>
      </c>
      <c r="AF93" s="19"/>
    </row>
    <row r="94" spans="1:34" x14ac:dyDescent="0.35">
      <c r="A94" s="174" t="s">
        <v>27</v>
      </c>
      <c r="B94" s="17">
        <f t="shared" si="88"/>
        <v>0</v>
      </c>
      <c r="C94" s="17">
        <f t="shared" si="88"/>
        <v>148812.94724178957</v>
      </c>
      <c r="D94" s="17">
        <f t="shared" si="88"/>
        <v>342397.48557030718</v>
      </c>
      <c r="E94" s="17">
        <f t="shared" si="88"/>
        <v>5720.0662519607276</v>
      </c>
      <c r="F94" s="17">
        <f t="shared" si="88"/>
        <v>107147.23980584601</v>
      </c>
      <c r="G94" s="17">
        <f t="shared" si="88"/>
        <v>0</v>
      </c>
      <c r="H94" s="17"/>
      <c r="I94" s="17">
        <v>74566.48252909616</v>
      </c>
      <c r="J94" s="17">
        <f t="shared" si="89"/>
        <v>62776.791584199236</v>
      </c>
      <c r="K94" s="17">
        <f t="shared" si="89"/>
        <v>280608.80279301968</v>
      </c>
      <c r="L94" s="17">
        <f t="shared" si="89"/>
        <v>33195.917122521045</v>
      </c>
      <c r="M94" s="17">
        <f t="shared" si="90"/>
        <v>84671.434674208955</v>
      </c>
      <c r="N94" s="17"/>
      <c r="O94" s="17">
        <f t="shared" si="91"/>
        <v>250205.22285633616</v>
      </c>
      <c r="P94" s="17">
        <f t="shared" si="92"/>
        <v>1390102.3904292849</v>
      </c>
      <c r="Q94" s="175">
        <f t="shared" ref="Q94:Y94" si="107">$B$83*Q13</f>
        <v>654220.2786347114</v>
      </c>
      <c r="R94" s="175">
        <f t="shared" si="107"/>
        <v>464856.91902286629</v>
      </c>
      <c r="S94" s="175">
        <f t="shared" si="107"/>
        <v>315655.76346656471</v>
      </c>
      <c r="T94" s="175">
        <f t="shared" si="107"/>
        <v>299781.16967989516</v>
      </c>
      <c r="U94" s="175">
        <f t="shared" si="107"/>
        <v>124283.03097406981</v>
      </c>
      <c r="V94" s="175">
        <f t="shared" si="107"/>
        <v>481670.23451424029</v>
      </c>
      <c r="W94" s="175">
        <f t="shared" si="107"/>
        <v>69778.558033788548</v>
      </c>
      <c r="X94" s="175">
        <f t="shared" si="107"/>
        <v>177581.80241010737</v>
      </c>
      <c r="Y94" s="175">
        <f t="shared" si="107"/>
        <v>17669.557871614841</v>
      </c>
      <c r="Z94" s="196">
        <f t="shared" si="94"/>
        <v>2605497.3146078591</v>
      </c>
      <c r="AA94" s="176">
        <f t="shared" si="99"/>
        <v>-11688209.577330239</v>
      </c>
      <c r="AB94" s="176">
        <f>'Collections and ACP'!K114</f>
        <v>1395262.2697276347</v>
      </c>
      <c r="AC94" s="176">
        <f t="shared" si="95"/>
        <v>-10292947.307602605</v>
      </c>
      <c r="AD94" s="176">
        <f t="shared" si="96"/>
        <v>3995599.705037144</v>
      </c>
      <c r="AE94" s="18">
        <f t="shared" si="97"/>
        <v>-14288547.01263975</v>
      </c>
      <c r="AF94" s="19"/>
    </row>
    <row r="95" spans="1:34" x14ac:dyDescent="0.35">
      <c r="A95" s="174" t="s">
        <v>28</v>
      </c>
      <c r="B95" s="17">
        <f t="shared" ref="B95:G104" si="108">B14*$B$83</f>
        <v>0</v>
      </c>
      <c r="C95" s="17">
        <f t="shared" si="108"/>
        <v>134412.77309183788</v>
      </c>
      <c r="D95" s="17">
        <f t="shared" si="108"/>
        <v>340686.83971758984</v>
      </c>
      <c r="E95" s="17">
        <f t="shared" si="108"/>
        <v>5691.3934840370612</v>
      </c>
      <c r="F95" s="17">
        <f t="shared" si="108"/>
        <v>107147.23980584601</v>
      </c>
      <c r="G95" s="17">
        <f t="shared" si="108"/>
        <v>0</v>
      </c>
      <c r="H95" s="17"/>
      <c r="I95" s="17">
        <v>74566.48252909616</v>
      </c>
      <c r="J95" s="17">
        <f t="shared" si="89"/>
        <v>70150.086662249174</v>
      </c>
      <c r="K95" s="17">
        <f t="shared" si="89"/>
        <v>302272.06079204974</v>
      </c>
      <c r="L95" s="17">
        <f t="shared" si="89"/>
        <v>33941.4378094719</v>
      </c>
      <c r="M95" s="17">
        <f t="shared" si="90"/>
        <v>85186.806409157274</v>
      </c>
      <c r="N95" s="17"/>
      <c r="O95" s="17">
        <f t="shared" si="91"/>
        <v>250205.22285633616</v>
      </c>
      <c r="P95" s="17">
        <f t="shared" si="92"/>
        <v>1404260.3431576714</v>
      </c>
      <c r="Q95" s="175">
        <f t="shared" ref="Q95:Y95" si="109">$B$83*Q14</f>
        <v>628051.467489323</v>
      </c>
      <c r="R95" s="175">
        <f t="shared" si="109"/>
        <v>495283.68101593951</v>
      </c>
      <c r="S95" s="175">
        <f t="shared" si="109"/>
        <v>370422.37112125685</v>
      </c>
      <c r="T95" s="175">
        <f t="shared" si="109"/>
        <v>331975.66220263258</v>
      </c>
      <c r="U95" s="175">
        <f t="shared" si="109"/>
        <v>145949.62461134756</v>
      </c>
      <c r="V95" s="175">
        <f t="shared" si="109"/>
        <v>550315.2011288217</v>
      </c>
      <c r="W95" s="175">
        <f t="shared" si="109"/>
        <v>-111460.84260662098</v>
      </c>
      <c r="X95" s="175">
        <f t="shared" si="109"/>
        <v>194835.03128998348</v>
      </c>
      <c r="Y95" s="175">
        <f t="shared" si="109"/>
        <v>32821.12730609857</v>
      </c>
      <c r="Z95" s="196">
        <f t="shared" si="94"/>
        <v>2638193.3235587827</v>
      </c>
      <c r="AA95" s="176">
        <f t="shared" si="99"/>
        <v>-14288547.01263975</v>
      </c>
      <c r="AB95" s="176">
        <f>'Collections and ACP'!K115</f>
        <v>1397617.7745758404</v>
      </c>
      <c r="AC95" s="176">
        <f t="shared" si="95"/>
        <v>-12890929.238063909</v>
      </c>
      <c r="AD95" s="176">
        <f t="shared" si="96"/>
        <v>4042453.6667164541</v>
      </c>
      <c r="AE95" s="18">
        <f t="shared" si="97"/>
        <v>-16933382.904780362</v>
      </c>
      <c r="AF95" s="19"/>
    </row>
    <row r="96" spans="1:34" x14ac:dyDescent="0.35">
      <c r="A96" s="174" t="s">
        <v>29</v>
      </c>
      <c r="B96" s="17">
        <f t="shared" si="108"/>
        <v>0</v>
      </c>
      <c r="C96" s="17">
        <f t="shared" si="108"/>
        <v>0</v>
      </c>
      <c r="D96" s="17">
        <f t="shared" si="108"/>
        <v>338983.0044009976</v>
      </c>
      <c r="E96" s="17">
        <f t="shared" si="108"/>
        <v>5662.7848186914889</v>
      </c>
      <c r="F96" s="17">
        <f t="shared" si="108"/>
        <v>0</v>
      </c>
      <c r="G96" s="17">
        <f t="shared" si="108"/>
        <v>0</v>
      </c>
      <c r="H96" s="17"/>
      <c r="I96" s="17">
        <v>74566.48252909616</v>
      </c>
      <c r="J96" s="17">
        <f t="shared" si="89"/>
        <v>90355.136017290861</v>
      </c>
      <c r="K96" s="17">
        <f t="shared" si="89"/>
        <v>363653.27251308638</v>
      </c>
      <c r="L96" s="17">
        <f t="shared" si="89"/>
        <v>36257.026985256001</v>
      </c>
      <c r="M96" s="17">
        <f t="shared" si="90"/>
        <v>85672.526441422189</v>
      </c>
      <c r="N96" s="17"/>
      <c r="O96" s="17">
        <f t="shared" si="91"/>
        <v>250205.22285633616</v>
      </c>
      <c r="P96" s="17">
        <f t="shared" si="92"/>
        <v>1245355.4565621768</v>
      </c>
      <c r="Q96" s="175">
        <f t="shared" ref="Q96:Y96" si="110">$B$83*Q15</f>
        <v>602929.40878975007</v>
      </c>
      <c r="R96" s="175">
        <f t="shared" si="110"/>
        <v>475472.3337753021</v>
      </c>
      <c r="S96" s="175">
        <f t="shared" si="110"/>
        <v>422661.35027879459</v>
      </c>
      <c r="T96" s="175">
        <f t="shared" si="110"/>
        <v>362661.44632791082</v>
      </c>
      <c r="U96" s="175">
        <f t="shared" si="110"/>
        <v>166749.55450313425</v>
      </c>
      <c r="V96" s="175">
        <f t="shared" si="110"/>
        <v>528302.59308366873</v>
      </c>
      <c r="W96" s="175">
        <f t="shared" si="110"/>
        <v>-38854.978140670624</v>
      </c>
      <c r="X96" s="175">
        <f t="shared" si="110"/>
        <v>266473.84622258123</v>
      </c>
      <c r="Y96" s="175">
        <f t="shared" si="110"/>
        <v>50560.680937978708</v>
      </c>
      <c r="Z96" s="196">
        <f t="shared" si="94"/>
        <v>2836956.2357784496</v>
      </c>
      <c r="AA96" s="176">
        <f t="shared" si="99"/>
        <v>-16933382.904780362</v>
      </c>
      <c r="AB96" s="176">
        <f>'Collections and ACP'!K116</f>
        <v>1399139.0166404648</v>
      </c>
      <c r="AC96" s="176">
        <f t="shared" si="95"/>
        <v>-15534243.888139896</v>
      </c>
      <c r="AD96" s="176">
        <f t="shared" si="96"/>
        <v>4082311.6923406264</v>
      </c>
      <c r="AE96" s="18">
        <f t="shared" si="97"/>
        <v>-19616555.580480523</v>
      </c>
      <c r="AF96" s="19"/>
    </row>
    <row r="97" spans="1:34" x14ac:dyDescent="0.35">
      <c r="A97" s="174" t="s">
        <v>30</v>
      </c>
      <c r="B97" s="17">
        <f t="shared" si="108"/>
        <v>0</v>
      </c>
      <c r="C97" s="17">
        <f t="shared" si="108"/>
        <v>0</v>
      </c>
      <c r="D97" s="17">
        <f t="shared" si="108"/>
        <v>337286.78102785931</v>
      </c>
      <c r="E97" s="17">
        <f t="shared" si="108"/>
        <v>5634.4401698970751</v>
      </c>
      <c r="F97" s="17">
        <f t="shared" si="108"/>
        <v>0</v>
      </c>
      <c r="G97" s="17">
        <f t="shared" si="108"/>
        <v>0</v>
      </c>
      <c r="H97" s="17"/>
      <c r="I97" s="17">
        <v>74566.48252909616</v>
      </c>
      <c r="J97" s="17">
        <f t="shared" si="89"/>
        <v>94755.817258830415</v>
      </c>
      <c r="K97" s="17">
        <f t="shared" si="89"/>
        <v>375464.58489065646</v>
      </c>
      <c r="L97" s="17">
        <f t="shared" si="89"/>
        <v>36614.335541228225</v>
      </c>
      <c r="M97" s="17">
        <f t="shared" si="90"/>
        <v>86242.750882583743</v>
      </c>
      <c r="N97" s="17"/>
      <c r="O97" s="17">
        <f t="shared" si="91"/>
        <v>250205.22285633616</v>
      </c>
      <c r="P97" s="17">
        <f t="shared" si="92"/>
        <v>1260770.4151564874</v>
      </c>
      <c r="Q97" s="175">
        <f t="shared" ref="Q97:Y97" si="111">$B$83*Q16</f>
        <v>578812.23243816011</v>
      </c>
      <c r="R97" s="175">
        <f t="shared" si="111"/>
        <v>456453.44042428996</v>
      </c>
      <c r="S97" s="175">
        <f t="shared" si="111"/>
        <v>472475.49090001889</v>
      </c>
      <c r="T97" s="175">
        <f t="shared" si="111"/>
        <v>391899.97503511107</v>
      </c>
      <c r="U97" s="175">
        <f t="shared" si="111"/>
        <v>160079.57232300885</v>
      </c>
      <c r="V97" s="175">
        <f t="shared" si="111"/>
        <v>507170.48936032201</v>
      </c>
      <c r="W97" s="175">
        <f t="shared" si="111"/>
        <v>248928.18548214802</v>
      </c>
      <c r="X97" s="175">
        <f t="shared" si="111"/>
        <v>413613.28368866304</v>
      </c>
      <c r="Y97" s="175">
        <f t="shared" si="111"/>
        <v>72537.846950150473</v>
      </c>
      <c r="Z97" s="196">
        <f t="shared" si="94"/>
        <v>3301970.5166018726</v>
      </c>
      <c r="AA97" s="176">
        <f t="shared" si="99"/>
        <v>-19616555.580480523</v>
      </c>
      <c r="AB97" s="176">
        <f>'Collections and ACP'!K117</f>
        <v>1401106.3387114073</v>
      </c>
      <c r="AC97" s="176">
        <f t="shared" si="95"/>
        <v>-18215449.241769116</v>
      </c>
      <c r="AD97" s="176">
        <f t="shared" si="96"/>
        <v>4562740.93175836</v>
      </c>
      <c r="AE97" s="18">
        <f t="shared" si="97"/>
        <v>-22778190.173527475</v>
      </c>
      <c r="AF97" s="19"/>
    </row>
    <row r="98" spans="1:34" x14ac:dyDescent="0.35">
      <c r="A98" s="174" t="s">
        <v>31</v>
      </c>
      <c r="B98" s="17">
        <f t="shared" si="108"/>
        <v>0</v>
      </c>
      <c r="C98" s="17">
        <f t="shared" si="108"/>
        <v>0</v>
      </c>
      <c r="D98" s="17">
        <f t="shared" si="108"/>
        <v>335599.42187531537</v>
      </c>
      <c r="E98" s="17">
        <f t="shared" si="108"/>
        <v>5606.9030834799505</v>
      </c>
      <c r="F98" s="17">
        <f t="shared" si="108"/>
        <v>0</v>
      </c>
      <c r="G98" s="17">
        <f t="shared" si="108"/>
        <v>0</v>
      </c>
      <c r="H98" s="17"/>
      <c r="I98" s="17">
        <v>69108.876913154963</v>
      </c>
      <c r="J98" s="17">
        <f t="shared" si="89"/>
        <v>87334.99669113016</v>
      </c>
      <c r="K98" s="17">
        <f t="shared" si="89"/>
        <v>350718.76969670597</v>
      </c>
      <c r="L98" s="17">
        <f t="shared" si="89"/>
        <v>35527.580346111332</v>
      </c>
      <c r="M98" s="17">
        <f t="shared" si="90"/>
        <v>86517.943816618557</v>
      </c>
      <c r="N98" s="17"/>
      <c r="O98" s="17">
        <f t="shared" si="91"/>
        <v>250205.22285633616</v>
      </c>
      <c r="P98" s="17">
        <f t="shared" si="92"/>
        <v>1220619.7152788525</v>
      </c>
      <c r="Q98" s="175">
        <f t="shared" ref="Q98:Y98" si="112">$B$83*Q17</f>
        <v>277829.87157031678</v>
      </c>
      <c r="R98" s="175">
        <f t="shared" si="112"/>
        <v>409186.8711937546</v>
      </c>
      <c r="S98" s="175">
        <f t="shared" si="112"/>
        <v>519963.46292323223</v>
      </c>
      <c r="T98" s="175">
        <f t="shared" si="112"/>
        <v>404845.35641057865</v>
      </c>
      <c r="U98" s="175">
        <f t="shared" si="112"/>
        <v>153676.38943008849</v>
      </c>
      <c r="V98" s="175">
        <f t="shared" si="112"/>
        <v>454652.07910417166</v>
      </c>
      <c r="W98" s="175">
        <f t="shared" si="112"/>
        <v>304559.23215118604</v>
      </c>
      <c r="X98" s="175">
        <f t="shared" si="112"/>
        <v>482999.74832096894</v>
      </c>
      <c r="Y98" s="175">
        <f t="shared" si="112"/>
        <v>84240.409636203156</v>
      </c>
      <c r="Z98" s="196">
        <f t="shared" si="94"/>
        <v>3091953.4207405006</v>
      </c>
      <c r="AA98" s="176">
        <f t="shared" si="99"/>
        <v>-22778190.173527475</v>
      </c>
      <c r="AB98" s="176">
        <f>'Collections and ACP'!K118</f>
        <v>1401560.3120471651</v>
      </c>
      <c r="AC98" s="176">
        <f t="shared" si="95"/>
        <v>-21376629.861480311</v>
      </c>
      <c r="AD98" s="176">
        <f t="shared" si="96"/>
        <v>4312573.1360193528</v>
      </c>
      <c r="AE98" s="18">
        <f t="shared" si="97"/>
        <v>-25689202.997499663</v>
      </c>
      <c r="AF98" s="19"/>
    </row>
    <row r="99" spans="1:34" x14ac:dyDescent="0.35">
      <c r="A99" s="174" t="s">
        <v>32</v>
      </c>
      <c r="B99" s="17">
        <f t="shared" si="108"/>
        <v>0</v>
      </c>
      <c r="C99" s="17">
        <f t="shared" si="108"/>
        <v>0</v>
      </c>
      <c r="D99" s="17">
        <f t="shared" si="108"/>
        <v>333920.57845753134</v>
      </c>
      <c r="E99" s="17">
        <f t="shared" si="108"/>
        <v>5578.294418134381</v>
      </c>
      <c r="F99" s="17">
        <f t="shared" si="108"/>
        <v>0</v>
      </c>
      <c r="G99" s="17">
        <f t="shared" si="108"/>
        <v>0</v>
      </c>
      <c r="H99" s="17"/>
      <c r="I99" s="17">
        <v>69108.876913154963</v>
      </c>
      <c r="J99" s="17">
        <f t="shared" si="89"/>
        <v>71707.106136101269</v>
      </c>
      <c r="K99" s="17">
        <f t="shared" si="89"/>
        <v>301046.03272511932</v>
      </c>
      <c r="L99" s="17">
        <f t="shared" si="89"/>
        <v>33456.34406900582</v>
      </c>
      <c r="M99" s="17">
        <f t="shared" si="90"/>
        <v>86964.799098689313</v>
      </c>
      <c r="N99" s="17"/>
      <c r="O99" s="17">
        <f t="shared" si="91"/>
        <v>250205.22285633616</v>
      </c>
      <c r="P99" s="17">
        <f t="shared" si="92"/>
        <v>1151987.2546740726</v>
      </c>
      <c r="Q99" s="175">
        <f t="shared" ref="Q99:Y99" si="113">$B$83*Q18</f>
        <v>266716.67670750414</v>
      </c>
      <c r="R99" s="175">
        <f t="shared" si="113"/>
        <v>365422.54426652758</v>
      </c>
      <c r="S99" s="175">
        <f t="shared" si="113"/>
        <v>541291.81335791864</v>
      </c>
      <c r="T99" s="175">
        <f t="shared" si="113"/>
        <v>417129.81562914304</v>
      </c>
      <c r="U99" s="175">
        <f t="shared" si="113"/>
        <v>137762.92475482158</v>
      </c>
      <c r="V99" s="175">
        <f t="shared" si="113"/>
        <v>406025.04918503057</v>
      </c>
      <c r="W99" s="175">
        <f t="shared" si="113"/>
        <v>210489.51434648424</v>
      </c>
      <c r="X99" s="175">
        <f t="shared" si="113"/>
        <v>484417.28354957612</v>
      </c>
      <c r="Y99" s="175">
        <f t="shared" si="113"/>
        <v>92238.962374190334</v>
      </c>
      <c r="Z99" s="196">
        <f t="shared" si="94"/>
        <v>2921494.584171196</v>
      </c>
      <c r="AA99" s="176">
        <f t="shared" si="99"/>
        <v>-25689202.997499663</v>
      </c>
      <c r="AB99" s="176">
        <f>'Collections and ACP'!K119</f>
        <v>1402537.6583068424</v>
      </c>
      <c r="AC99" s="176">
        <f t="shared" si="95"/>
        <v>-24286665.339192823</v>
      </c>
      <c r="AD99" s="176">
        <f t="shared" si="96"/>
        <v>4073481.8388452688</v>
      </c>
      <c r="AE99" s="18">
        <f t="shared" si="97"/>
        <v>-28360147.17803809</v>
      </c>
      <c r="AF99" s="19"/>
    </row>
    <row r="100" spans="1:34" x14ac:dyDescent="0.35">
      <c r="A100" s="174" t="s">
        <v>33</v>
      </c>
      <c r="B100" s="17">
        <f t="shared" si="108"/>
        <v>0</v>
      </c>
      <c r="C100" s="17">
        <f t="shared" si="108"/>
        <v>0</v>
      </c>
      <c r="D100" s="17">
        <f t="shared" si="108"/>
        <v>332252.13216765987</v>
      </c>
      <c r="E100" s="17">
        <f t="shared" si="108"/>
        <v>5550.2739852677441</v>
      </c>
      <c r="F100" s="17">
        <f t="shared" si="108"/>
        <v>0</v>
      </c>
      <c r="G100" s="17">
        <f t="shared" si="108"/>
        <v>0</v>
      </c>
      <c r="H100" s="17"/>
      <c r="I100" s="17">
        <v>57733.748208491743</v>
      </c>
      <c r="J100" s="17">
        <f t="shared" si="89"/>
        <v>61409.554247349755</v>
      </c>
      <c r="K100" s="17">
        <f t="shared" si="89"/>
        <v>268123.72731823265</v>
      </c>
      <c r="L100" s="17">
        <f t="shared" si="89"/>
        <v>32047.568474556232</v>
      </c>
      <c r="M100" s="17">
        <f t="shared" si="90"/>
        <v>87292.653210694887</v>
      </c>
      <c r="N100" s="17"/>
      <c r="O100" s="17">
        <f t="shared" si="91"/>
        <v>250205.22285633616</v>
      </c>
      <c r="P100" s="17">
        <f t="shared" si="92"/>
        <v>1094614.880468589</v>
      </c>
      <c r="Q100" s="175">
        <f t="shared" ref="Q100:Y100" si="114">$B$83*Q19</f>
        <v>256048.00963920393</v>
      </c>
      <c r="R100" s="175">
        <f t="shared" si="114"/>
        <v>323408.79041638965</v>
      </c>
      <c r="S100" s="175">
        <f t="shared" si="114"/>
        <v>561556.39533045946</v>
      </c>
      <c r="T100" s="175">
        <f t="shared" si="114"/>
        <v>428780.50511159003</v>
      </c>
      <c r="U100" s="175">
        <f t="shared" si="114"/>
        <v>123028.57694979111</v>
      </c>
      <c r="V100" s="175">
        <f t="shared" si="114"/>
        <v>359343.10046265501</v>
      </c>
      <c r="W100" s="175">
        <f t="shared" si="114"/>
        <v>-25756.150537442205</v>
      </c>
      <c r="X100" s="175">
        <f t="shared" si="114"/>
        <v>422473.45006401069</v>
      </c>
      <c r="Y100" s="175">
        <f t="shared" si="114"/>
        <v>96565.978556687493</v>
      </c>
      <c r="Z100" s="196">
        <f t="shared" si="94"/>
        <v>2545448.6559933452</v>
      </c>
      <c r="AA100" s="176">
        <f t="shared" si="99"/>
        <v>-28360147.17803809</v>
      </c>
      <c r="AB100" s="176">
        <f>'Collections and ACP'!K120</f>
        <v>1403443.746156201</v>
      </c>
      <c r="AC100" s="176">
        <f t="shared" si="95"/>
        <v>-26956703.43188189</v>
      </c>
      <c r="AD100" s="176">
        <f t="shared" si="96"/>
        <v>3640063.5364619344</v>
      </c>
      <c r="AE100" s="18">
        <f t="shared" si="97"/>
        <v>-30596766.968343824</v>
      </c>
      <c r="AF100" s="19"/>
    </row>
    <row r="101" spans="1:34" x14ac:dyDescent="0.35">
      <c r="A101" s="174" t="s">
        <v>34</v>
      </c>
      <c r="B101" s="17">
        <f t="shared" si="108"/>
        <v>0</v>
      </c>
      <c r="C101" s="17">
        <f t="shared" si="108"/>
        <v>0</v>
      </c>
      <c r="D101" s="17">
        <f t="shared" si="108"/>
        <v>330591.63955153589</v>
      </c>
      <c r="E101" s="17">
        <f t="shared" si="108"/>
        <v>5522.5899783437608</v>
      </c>
      <c r="F101" s="17">
        <f t="shared" si="108"/>
        <v>0</v>
      </c>
      <c r="G101" s="17">
        <f t="shared" si="108"/>
        <v>0</v>
      </c>
      <c r="H101" s="17"/>
      <c r="I101" s="17">
        <v>19405.540851985119</v>
      </c>
      <c r="J101" s="17">
        <f t="shared" si="89"/>
        <v>53297.343346362664</v>
      </c>
      <c r="K101" s="17">
        <f t="shared" si="89"/>
        <v>242157.09724671088</v>
      </c>
      <c r="L101" s="17">
        <f t="shared" si="89"/>
        <v>30914.196051597275</v>
      </c>
      <c r="M101" s="17">
        <f t="shared" si="90"/>
        <v>87682.767303270288</v>
      </c>
      <c r="N101" s="17"/>
      <c r="O101" s="17">
        <f t="shared" si="91"/>
        <v>250205.22285633616</v>
      </c>
      <c r="P101" s="17">
        <f t="shared" si="92"/>
        <v>1019776.3971861419</v>
      </c>
      <c r="Q101" s="175">
        <f t="shared" ref="Q101:Y101" si="115">$B$83*Q20</f>
        <v>245806.08925363576</v>
      </c>
      <c r="R101" s="175">
        <f t="shared" si="115"/>
        <v>283075.58672025712</v>
      </c>
      <c r="S101" s="175">
        <f t="shared" si="115"/>
        <v>580800.81275156408</v>
      </c>
      <c r="T101" s="175">
        <f t="shared" si="115"/>
        <v>439823.48760420101</v>
      </c>
      <c r="U101" s="175">
        <f t="shared" si="115"/>
        <v>108883.60305696182</v>
      </c>
      <c r="V101" s="175">
        <f t="shared" si="115"/>
        <v>314528.42968917458</v>
      </c>
      <c r="W101" s="175">
        <f t="shared" si="115"/>
        <v>-194862.95447308273</v>
      </c>
      <c r="X101" s="175">
        <f t="shared" si="115"/>
        <v>381777.60861467884</v>
      </c>
      <c r="Y101" s="175">
        <f t="shared" si="115"/>
        <v>101877.21629001708</v>
      </c>
      <c r="Z101" s="196">
        <f t="shared" si="94"/>
        <v>2261709.8795074075</v>
      </c>
      <c r="AA101" s="176">
        <f t="shared" si="99"/>
        <v>-30596766.968343824</v>
      </c>
      <c r="AB101" s="176">
        <f>'Collections and ACP'!K121</f>
        <v>1404281.1481969259</v>
      </c>
      <c r="AC101" s="176">
        <f t="shared" si="95"/>
        <v>-29192485.8201469</v>
      </c>
      <c r="AD101" s="176">
        <f t="shared" si="96"/>
        <v>3281486.2766935495</v>
      </c>
      <c r="AE101" s="18">
        <f t="shared" si="97"/>
        <v>-32473972.096840449</v>
      </c>
      <c r="AF101" s="19"/>
    </row>
    <row r="102" spans="1:34" x14ac:dyDescent="0.35">
      <c r="A102" s="174" t="s">
        <v>35</v>
      </c>
      <c r="B102" s="17">
        <f t="shared" si="108"/>
        <v>0</v>
      </c>
      <c r="C102" s="17">
        <f t="shared" si="108"/>
        <v>0</v>
      </c>
      <c r="D102" s="17">
        <f t="shared" si="108"/>
        <v>328937.87690545502</v>
      </c>
      <c r="E102" s="17">
        <f t="shared" si="108"/>
        <v>5494.2907668178168</v>
      </c>
      <c r="F102" s="17">
        <f t="shared" si="108"/>
        <v>0</v>
      </c>
      <c r="G102" s="17">
        <f t="shared" si="108"/>
        <v>0</v>
      </c>
      <c r="H102" s="17"/>
      <c r="I102" s="17"/>
      <c r="J102" s="17">
        <f t="shared" si="89"/>
        <v>44792.583414440087</v>
      </c>
      <c r="K102" s="17">
        <f t="shared" si="89"/>
        <v>215257.73853405463</v>
      </c>
      <c r="L102" s="17">
        <f t="shared" si="89"/>
        <v>29744.501733213441</v>
      </c>
      <c r="M102" s="17">
        <f t="shared" si="90"/>
        <v>87870.56684117805</v>
      </c>
      <c r="N102" s="17"/>
      <c r="O102" s="17">
        <f t="shared" si="91"/>
        <v>250205.22285633616</v>
      </c>
      <c r="P102" s="17">
        <f t="shared" si="92"/>
        <v>962302.78105149523</v>
      </c>
      <c r="Q102" s="175">
        <f t="shared" ref="Q102:Y102" si="116">$B$83*Q21</f>
        <v>235973.8456834903</v>
      </c>
      <c r="R102" s="175">
        <f t="shared" si="116"/>
        <v>244355.71117197003</v>
      </c>
      <c r="S102" s="175">
        <f t="shared" si="116"/>
        <v>599066.92010965326</v>
      </c>
      <c r="T102" s="175">
        <f t="shared" si="116"/>
        <v>450283.77978362225</v>
      </c>
      <c r="U102" s="175">
        <f t="shared" si="116"/>
        <v>95304.428119845732</v>
      </c>
      <c r="V102" s="175">
        <f t="shared" si="116"/>
        <v>271506.34574663331</v>
      </c>
      <c r="W102" s="175">
        <f t="shared" si="116"/>
        <v>-344022.05826414068</v>
      </c>
      <c r="X102" s="175">
        <f t="shared" si="116"/>
        <v>346691.82100586401</v>
      </c>
      <c r="Y102" s="175">
        <f t="shared" si="116"/>
        <v>107361.82858837262</v>
      </c>
      <c r="Z102" s="196">
        <f t="shared" si="94"/>
        <v>2006522.6219453108</v>
      </c>
      <c r="AA102" s="176">
        <f t="shared" si="99"/>
        <v>-32473972.096840449</v>
      </c>
      <c r="AB102" s="176">
        <f>'Collections and ACP'!K122</f>
        <v>1405053.8283316598</v>
      </c>
      <c r="AC102" s="176">
        <f t="shared" si="95"/>
        <v>-31068918.268508788</v>
      </c>
      <c r="AD102" s="176">
        <f t="shared" si="96"/>
        <v>2968825.402996806</v>
      </c>
      <c r="AE102" s="18">
        <f t="shared" si="97"/>
        <v>-34037743.671505593</v>
      </c>
      <c r="AF102" s="19"/>
    </row>
    <row r="103" spans="1:34" x14ac:dyDescent="0.35">
      <c r="A103" s="174" t="s">
        <v>36</v>
      </c>
      <c r="B103" s="17">
        <f t="shared" si="108"/>
        <v>0</v>
      </c>
      <c r="C103" s="17">
        <f t="shared" si="108"/>
        <v>0</v>
      </c>
      <c r="D103" s="17">
        <f t="shared" si="108"/>
        <v>327292.0890504425</v>
      </c>
      <c r="E103" s="17">
        <f t="shared" si="108"/>
        <v>5467.1253352387239</v>
      </c>
      <c r="F103" s="17">
        <f t="shared" si="108"/>
        <v>0</v>
      </c>
      <c r="G103" s="17">
        <f t="shared" si="108"/>
        <v>0</v>
      </c>
      <c r="H103" s="17"/>
      <c r="I103" s="17"/>
      <c r="J103" s="17">
        <f t="shared" si="89"/>
        <v>37728.619787197407</v>
      </c>
      <c r="K103" s="17">
        <f t="shared" si="89"/>
        <v>192951.47596581874</v>
      </c>
      <c r="L103" s="17">
        <f t="shared" si="89"/>
        <v>28756.844272460516</v>
      </c>
      <c r="M103" s="17">
        <f t="shared" si="90"/>
        <v>88286.171750419977</v>
      </c>
      <c r="N103" s="17"/>
      <c r="O103" s="17">
        <f t="shared" si="91"/>
        <v>250205.22285633616</v>
      </c>
      <c r="P103" s="17">
        <f t="shared" si="92"/>
        <v>930687.54901791399</v>
      </c>
      <c r="Q103" s="175">
        <f t="shared" ref="Q103:Y103" si="117">$B$83*Q22</f>
        <v>226534.8918561507</v>
      </c>
      <c r="R103" s="175">
        <f t="shared" si="117"/>
        <v>207184.63064561438</v>
      </c>
      <c r="S103" s="175">
        <f t="shared" si="117"/>
        <v>616394.89247407799</v>
      </c>
      <c r="T103" s="175">
        <f t="shared" si="117"/>
        <v>460185.3941174486</v>
      </c>
      <c r="U103" s="175">
        <f t="shared" si="117"/>
        <v>82268.420180214263</v>
      </c>
      <c r="V103" s="175">
        <f t="shared" si="117"/>
        <v>230205.14516179365</v>
      </c>
      <c r="W103" s="175">
        <f t="shared" si="117"/>
        <v>-512851.60952941939</v>
      </c>
      <c r="X103" s="175">
        <f t="shared" si="117"/>
        <v>299382.5299925807</v>
      </c>
      <c r="Y103" s="175">
        <f t="shared" si="117"/>
        <v>112017.53610291641</v>
      </c>
      <c r="Z103" s="196">
        <f t="shared" si="94"/>
        <v>1721321.831001377</v>
      </c>
      <c r="AA103" s="176">
        <f t="shared" si="99"/>
        <v>-34037743.671505593</v>
      </c>
      <c r="AB103" s="176">
        <f>'Collections and ACP'!K123</f>
        <v>1405763.6634163791</v>
      </c>
      <c r="AC103" s="176">
        <f t="shared" si="95"/>
        <v>-32631980.008089215</v>
      </c>
      <c r="AD103" s="176">
        <f t="shared" si="96"/>
        <v>2652009.3800192908</v>
      </c>
      <c r="AE103" s="18">
        <f t="shared" si="97"/>
        <v>-35283989.388108507</v>
      </c>
      <c r="AF103" s="19"/>
    </row>
    <row r="104" spans="1:34" x14ac:dyDescent="0.35">
      <c r="A104" s="174" t="s">
        <v>37</v>
      </c>
      <c r="B104" s="17">
        <f t="shared" si="108"/>
        <v>0</v>
      </c>
      <c r="C104" s="17">
        <f t="shared" si="108"/>
        <v>0</v>
      </c>
      <c r="D104" s="17">
        <f t="shared" si="108"/>
        <v>325656.65323636116</v>
      </c>
      <c r="E104" s="17">
        <f t="shared" si="108"/>
        <v>5439.9557502529342</v>
      </c>
      <c r="F104" s="17">
        <f t="shared" si="108"/>
        <v>0</v>
      </c>
      <c r="G104" s="17">
        <f t="shared" si="108"/>
        <v>0</v>
      </c>
      <c r="H104" s="17"/>
      <c r="I104" s="17"/>
      <c r="J104" s="17">
        <f t="shared" si="89"/>
        <v>31213.21416701085</v>
      </c>
      <c r="K104" s="17">
        <f t="shared" si="89"/>
        <v>172503.28281078735</v>
      </c>
      <c r="L104" s="17">
        <f t="shared" si="89"/>
        <v>27843.142228572335</v>
      </c>
      <c r="M104" s="17">
        <f t="shared" si="90"/>
        <v>88623.884531529911</v>
      </c>
      <c r="N104" s="17"/>
      <c r="O104" s="17">
        <f t="shared" si="91"/>
        <v>250205.22285633616</v>
      </c>
      <c r="P104" s="17">
        <f t="shared" si="92"/>
        <v>901485.35558085062</v>
      </c>
      <c r="Q104" s="175">
        <f t="shared" ref="Q104:Y104" si="118">$B$83*Q23</f>
        <v>217473.49618190469</v>
      </c>
      <c r="R104" s="175">
        <f t="shared" si="118"/>
        <v>171500.39334031293</v>
      </c>
      <c r="S104" s="175">
        <f t="shared" si="118"/>
        <v>632823.2926980817</v>
      </c>
      <c r="T104" s="175">
        <f t="shared" si="118"/>
        <v>469551.37905029603</v>
      </c>
      <c r="U104" s="175">
        <f t="shared" si="118"/>
        <v>69753.852558168073</v>
      </c>
      <c r="V104" s="175">
        <f t="shared" si="118"/>
        <v>190555.99260034764</v>
      </c>
      <c r="W104" s="175">
        <f t="shared" si="118"/>
        <v>-667784.15689793439</v>
      </c>
      <c r="X104" s="175">
        <f t="shared" si="118"/>
        <v>255546.74924142618</v>
      </c>
      <c r="Y104" s="175">
        <f t="shared" si="118"/>
        <v>116760.38317103065</v>
      </c>
      <c r="Z104" s="196">
        <f t="shared" si="94"/>
        <v>1456181.3819436333</v>
      </c>
      <c r="AA104" s="176">
        <f t="shared" si="99"/>
        <v>-35283989.388108507</v>
      </c>
      <c r="AB104" s="176">
        <f>'Collections and ACP'!K124</f>
        <v>1406413.2693841213</v>
      </c>
      <c r="AC104" s="176">
        <f t="shared" si="95"/>
        <v>-33877576.118724383</v>
      </c>
      <c r="AD104" s="176">
        <f t="shared" si="96"/>
        <v>2357666.7375244838</v>
      </c>
      <c r="AE104" s="18">
        <f t="shared" si="97"/>
        <v>-36235242.85624887</v>
      </c>
      <c r="AF104" s="19"/>
    </row>
    <row r="105" spans="1:34" x14ac:dyDescent="0.35">
      <c r="A105" s="174" t="s">
        <v>38</v>
      </c>
      <c r="B105" s="17">
        <f t="shared" ref="B105:G108" si="119">B24*$B$83</f>
        <v>0</v>
      </c>
      <c r="C105" s="17">
        <f t="shared" si="119"/>
        <v>0</v>
      </c>
      <c r="D105" s="17">
        <f t="shared" si="119"/>
        <v>324026.56926195574</v>
      </c>
      <c r="E105" s="17">
        <f t="shared" si="119"/>
        <v>5412.6443489468274</v>
      </c>
      <c r="F105" s="17">
        <f t="shared" si="119"/>
        <v>0</v>
      </c>
      <c r="G105" s="17">
        <f t="shared" si="119"/>
        <v>0</v>
      </c>
      <c r="H105" s="17"/>
      <c r="I105" s="20"/>
      <c r="J105" s="17">
        <f t="shared" si="89"/>
        <v>22753.740973543896</v>
      </c>
      <c r="K105" s="17">
        <f t="shared" si="89"/>
        <v>146470.3450594079</v>
      </c>
      <c r="L105" s="17">
        <f t="shared" si="89"/>
        <v>26709.278745255862</v>
      </c>
      <c r="M105" s="17">
        <f t="shared" si="90"/>
        <v>89027.155242579771</v>
      </c>
      <c r="N105" s="17"/>
      <c r="O105" s="17">
        <f t="shared" si="91"/>
        <v>250205.22285633616</v>
      </c>
      <c r="P105" s="17">
        <f t="shared" si="92"/>
        <v>864604.95648802619</v>
      </c>
      <c r="Q105" s="175">
        <f t="shared" ref="Q105:Y105" si="120">$B$83*Q24</f>
        <v>208774.55633462849</v>
      </c>
      <c r="R105" s="175">
        <f t="shared" si="120"/>
        <v>164640.37760670044</v>
      </c>
      <c r="S105" s="175">
        <f t="shared" si="120"/>
        <v>648389.13593351026</v>
      </c>
      <c r="T105" s="175">
        <f t="shared" si="120"/>
        <v>478403.85758234194</v>
      </c>
      <c r="U105" s="175">
        <f t="shared" si="120"/>
        <v>57739.867641003737</v>
      </c>
      <c r="V105" s="175">
        <f t="shared" si="120"/>
        <v>182933.75289633375</v>
      </c>
      <c r="W105" s="175">
        <f t="shared" si="120"/>
        <v>-822938.65937201271</v>
      </c>
      <c r="X105" s="175">
        <f t="shared" si="120"/>
        <v>209181.96194033485</v>
      </c>
      <c r="Y105" s="175">
        <f t="shared" si="120"/>
        <v>121255.02401622906</v>
      </c>
      <c r="Z105" s="196">
        <f t="shared" si="94"/>
        <v>1248379.8745790697</v>
      </c>
      <c r="AA105" s="176">
        <f t="shared" si="99"/>
        <v>-36235242.85624887</v>
      </c>
      <c r="AB105" s="176">
        <f>'Collections and ACP'!K125</f>
        <v>1407005.4105150374</v>
      </c>
      <c r="AC105" s="176">
        <f t="shared" si="95"/>
        <v>-34828237.44573383</v>
      </c>
      <c r="AD105" s="176">
        <f>P105+Z105</f>
        <v>2112984.831067096</v>
      </c>
      <c r="AE105" s="18">
        <f>AC105-AD105</f>
        <v>-36941222.276800923</v>
      </c>
      <c r="AF105" s="19"/>
    </row>
    <row r="106" spans="1:34" x14ac:dyDescent="0.35">
      <c r="A106" s="174" t="s">
        <v>39</v>
      </c>
      <c r="B106" s="17">
        <f t="shared" si="119"/>
        <v>0</v>
      </c>
      <c r="C106" s="17">
        <f t="shared" si="119"/>
        <v>0</v>
      </c>
      <c r="D106" s="17">
        <f t="shared" si="119"/>
        <v>322408.83811956702</v>
      </c>
      <c r="E106" s="17">
        <f t="shared" si="119"/>
        <v>5386.0960235293887</v>
      </c>
      <c r="F106" s="17">
        <f t="shared" si="119"/>
        <v>0</v>
      </c>
      <c r="G106" s="17">
        <f t="shared" si="119"/>
        <v>0</v>
      </c>
      <c r="H106" s="17"/>
      <c r="I106" s="20"/>
      <c r="J106" s="17">
        <f t="shared" si="89"/>
        <v>15815.467234811647</v>
      </c>
      <c r="K106" s="17">
        <f t="shared" si="89"/>
        <v>125196.98882747104</v>
      </c>
      <c r="L106" s="17">
        <f t="shared" si="89"/>
        <v>25764.023079883824</v>
      </c>
      <c r="M106" s="17">
        <f t="shared" si="90"/>
        <v>89304.719657535548</v>
      </c>
      <c r="N106" s="17"/>
      <c r="O106" s="17">
        <f t="shared" si="91"/>
        <v>250205.22285633616</v>
      </c>
      <c r="P106" s="17">
        <f t="shared" si="92"/>
        <v>834081.35579913459</v>
      </c>
      <c r="Q106" s="175">
        <f t="shared" ref="Q106:Y106" si="121">$B$83*Q25</f>
        <v>0</v>
      </c>
      <c r="R106" s="175">
        <f t="shared" si="121"/>
        <v>137128.38223374233</v>
      </c>
      <c r="S106" s="175">
        <f t="shared" si="121"/>
        <v>663127.95156480523</v>
      </c>
      <c r="T106" s="175">
        <f t="shared" si="121"/>
        <v>476011.83829443023</v>
      </c>
      <c r="U106" s="175">
        <f t="shared" si="121"/>
        <v>55430.27293536358</v>
      </c>
      <c r="V106" s="175">
        <f t="shared" si="121"/>
        <v>152364.86914860253</v>
      </c>
      <c r="W106" s="175">
        <f t="shared" si="121"/>
        <v>-1086556.2402812426</v>
      </c>
      <c r="X106" s="175">
        <f t="shared" si="121"/>
        <v>136435.89386282559</v>
      </c>
      <c r="Y106" s="175">
        <f t="shared" si="121"/>
        <v>124087.39721828503</v>
      </c>
      <c r="Z106" s="196">
        <f t="shared" si="94"/>
        <v>658030.3649768118</v>
      </c>
      <c r="AA106" s="176">
        <f t="shared" si="99"/>
        <v>-36941222.276800923</v>
      </c>
      <c r="AB106" s="176">
        <f>'Collections and ACP'!K126</f>
        <v>1407542.7546521276</v>
      </c>
      <c r="AC106" s="176">
        <f>AA106+AB106</f>
        <v>-35533679.522148795</v>
      </c>
      <c r="AD106" s="176">
        <f>P106+Z106</f>
        <v>1492111.7207759465</v>
      </c>
      <c r="AE106" s="18">
        <f>AC106-AD106</f>
        <v>-37025791.242924742</v>
      </c>
      <c r="AF106" s="19"/>
    </row>
    <row r="107" spans="1:34" x14ac:dyDescent="0.35">
      <c r="A107" s="174" t="s">
        <v>40</v>
      </c>
      <c r="B107" s="17">
        <f t="shared" si="119"/>
        <v>0</v>
      </c>
      <c r="C107" s="17">
        <f t="shared" si="119"/>
        <v>0</v>
      </c>
      <c r="D107" s="17">
        <f t="shared" si="119"/>
        <v>320796.63651260367</v>
      </c>
      <c r="E107" s="17">
        <f t="shared" si="119"/>
        <v>5359.2617135422252</v>
      </c>
      <c r="F107" s="17">
        <f t="shared" si="119"/>
        <v>0</v>
      </c>
      <c r="G107" s="17">
        <f t="shared" si="119"/>
        <v>0</v>
      </c>
      <c r="H107" s="17"/>
      <c r="I107" s="20"/>
      <c r="J107" s="17">
        <f t="shared" si="89"/>
        <v>-64205.401374132292</v>
      </c>
      <c r="K107" s="17">
        <f t="shared" si="89"/>
        <v>-189564.78289450245</v>
      </c>
      <c r="L107" s="17">
        <f t="shared" si="89"/>
        <v>-7487.1293989298483</v>
      </c>
      <c r="M107" s="17">
        <f t="shared" si="90"/>
        <v>89587.44353205114</v>
      </c>
      <c r="N107" s="17"/>
      <c r="O107" s="17">
        <f t="shared" si="91"/>
        <v>250205.22285633616</v>
      </c>
      <c r="P107" s="17">
        <f t="shared" si="92"/>
        <v>404691.25094696856</v>
      </c>
      <c r="Q107" s="175">
        <f t="shared" ref="Q107:Y107" si="122">$B$83*Q26</f>
        <v>0</v>
      </c>
      <c r="R107" s="175">
        <f t="shared" si="122"/>
        <v>111879.44335729649</v>
      </c>
      <c r="S107" s="175">
        <f t="shared" si="122"/>
        <v>659812.31180698122</v>
      </c>
      <c r="T107" s="175">
        <f t="shared" si="122"/>
        <v>473631.7791029581</v>
      </c>
      <c r="U107" s="175">
        <f t="shared" si="122"/>
        <v>46167.676270513221</v>
      </c>
      <c r="V107" s="175">
        <f t="shared" si="122"/>
        <v>124310.49261921825</v>
      </c>
      <c r="W107" s="175">
        <f t="shared" si="122"/>
        <v>-1213616.2734608811</v>
      </c>
      <c r="X107" s="175">
        <f t="shared" si="122"/>
        <v>70564.692920430971</v>
      </c>
      <c r="Y107" s="175">
        <f t="shared" si="122"/>
        <v>127230.26755434689</v>
      </c>
      <c r="Z107" s="196">
        <f t="shared" si="94"/>
        <v>399980.39017086418</v>
      </c>
      <c r="AA107" s="176">
        <f t="shared" ref="AA107:AA108" si="123">AE106</f>
        <v>-37025791.242924742</v>
      </c>
      <c r="AB107" s="176">
        <f>'Collections and ACP'!K127</f>
        <v>1408025.8004604876</v>
      </c>
      <c r="AC107" s="176">
        <f>AA107+AB107</f>
        <v>-35617765.442464255</v>
      </c>
      <c r="AD107" s="176">
        <f>P107+Z107</f>
        <v>804671.64111783274</v>
      </c>
      <c r="AE107" s="18">
        <f>AC107-AD107</f>
        <v>-36422437.083582088</v>
      </c>
      <c r="AF107" s="175"/>
      <c r="AG107" s="175"/>
      <c r="AH107" s="181"/>
    </row>
    <row r="108" spans="1:34" x14ac:dyDescent="0.35">
      <c r="A108" s="174" t="s">
        <v>163</v>
      </c>
      <c r="B108" s="17">
        <f t="shared" si="119"/>
        <v>0</v>
      </c>
      <c r="C108" s="17">
        <f t="shared" si="119"/>
        <v>0</v>
      </c>
      <c r="D108" s="17">
        <f t="shared" si="119"/>
        <v>259115.91501746682</v>
      </c>
      <c r="E108" s="17">
        <f t="shared" si="119"/>
        <v>5332.1366150450567</v>
      </c>
      <c r="F108" s="17">
        <f t="shared" si="119"/>
        <v>0</v>
      </c>
      <c r="G108" s="17">
        <f t="shared" si="119"/>
        <v>0</v>
      </c>
      <c r="H108" s="17"/>
      <c r="I108" s="20"/>
      <c r="J108" s="17">
        <f t="shared" si="89"/>
        <v>0</v>
      </c>
      <c r="K108" s="17">
        <f t="shared" si="89"/>
        <v>0</v>
      </c>
      <c r="L108" s="17">
        <f t="shared" si="89"/>
        <v>0</v>
      </c>
      <c r="M108" s="17">
        <f t="shared" si="90"/>
        <v>89587.44353205114</v>
      </c>
      <c r="N108" s="17"/>
      <c r="O108" s="17">
        <f t="shared" si="91"/>
        <v>250205.22285633616</v>
      </c>
      <c r="P108" s="17">
        <f t="shared" si="92"/>
        <v>604240.71802089922</v>
      </c>
      <c r="Q108" s="175">
        <f t="shared" ref="Q108:Y108" si="124">$B$83*Q27</f>
        <v>0</v>
      </c>
      <c r="R108" s="175">
        <f t="shared" si="124"/>
        <v>0</v>
      </c>
      <c r="S108" s="175">
        <f t="shared" si="124"/>
        <v>0</v>
      </c>
      <c r="T108" s="175">
        <f t="shared" si="124"/>
        <v>0</v>
      </c>
      <c r="U108" s="175">
        <f t="shared" si="124"/>
        <v>0</v>
      </c>
      <c r="V108" s="175">
        <f t="shared" si="124"/>
        <v>0</v>
      </c>
      <c r="W108" s="175">
        <f t="shared" si="124"/>
        <v>-1406895.2024149194</v>
      </c>
      <c r="X108" s="175">
        <f t="shared" si="124"/>
        <v>-706940.2590957043</v>
      </c>
      <c r="Y108" s="175">
        <f t="shared" si="124"/>
        <v>-42645.848695393855</v>
      </c>
      <c r="Z108" s="196">
        <f t="shared" si="94"/>
        <v>-2156481.3102060175</v>
      </c>
      <c r="AA108" s="176">
        <f t="shared" si="123"/>
        <v>-36422437.083582088</v>
      </c>
      <c r="AB108" s="176">
        <f>'Collections and ACP'!K127</f>
        <v>1408025.8004604876</v>
      </c>
      <c r="AC108" s="176">
        <f>AA108+AB108</f>
        <v>-35014411.283121601</v>
      </c>
      <c r="AD108" s="176">
        <f>P108+Z108</f>
        <v>-1552240.5921851182</v>
      </c>
      <c r="AE108" s="18">
        <f>AC108-AD108</f>
        <v>-33462170.690936483</v>
      </c>
      <c r="AF108" s="175"/>
      <c r="AG108" s="175">
        <f>AE108-AF108</f>
        <v>-33462170.690936483</v>
      </c>
      <c r="AH108" s="181">
        <v>2556726062.8057499</v>
      </c>
    </row>
  </sheetData>
  <printOptions horizontalCentered="1" verticalCentered="1"/>
  <pageMargins left="0.25" right="0.25" top="0.75" bottom="0.75" header="0.3" footer="0.3"/>
  <pageSetup scale="21" orientation="landscape" r:id="rId1"/>
  <headerFooter>
    <oddHeader>&amp;C&amp;A</oddHeader>
  </headerFooter>
  <customProperties>
    <customPr name="GU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22A5F-F494-4B41-82DB-AFED39B65ED8}">
  <dimension ref="B2:AL245"/>
  <sheetViews>
    <sheetView tabSelected="1" topLeftCell="A42" zoomScale="90" zoomScaleNormal="90" workbookViewId="0">
      <selection activeCell="G63" sqref="G63:G82"/>
    </sheetView>
  </sheetViews>
  <sheetFormatPr defaultRowHeight="14.5" x14ac:dyDescent="0.35"/>
  <cols>
    <col min="1" max="1" width="8.54296875" customWidth="1"/>
    <col min="2" max="2" width="10.54296875" bestFit="1" customWidth="1"/>
    <col min="3" max="3" width="31.453125" bestFit="1" customWidth="1"/>
    <col min="4" max="4" width="21.54296875" bestFit="1" customWidth="1"/>
    <col min="5" max="5" width="22.54296875" bestFit="1" customWidth="1"/>
    <col min="6" max="6" width="22.453125" bestFit="1" customWidth="1"/>
    <col min="7" max="7" width="22.54296875" bestFit="1" customWidth="1"/>
    <col min="8" max="8" width="21.54296875" bestFit="1" customWidth="1"/>
    <col min="9" max="9" width="22.54296875" bestFit="1" customWidth="1"/>
    <col min="10" max="10" width="15.54296875" bestFit="1" customWidth="1"/>
    <col min="11" max="15" width="13.81640625" bestFit="1" customWidth="1"/>
    <col min="16" max="22" width="15.1796875" bestFit="1" customWidth="1"/>
    <col min="23" max="23" width="14.81640625" bestFit="1" customWidth="1"/>
    <col min="24" max="24" width="14.453125" bestFit="1" customWidth="1"/>
    <col min="25" max="25" width="14.81640625" bestFit="1" customWidth="1"/>
    <col min="26" max="26" width="14.453125" bestFit="1" customWidth="1"/>
    <col min="27" max="31" width="13.81640625" bestFit="1" customWidth="1"/>
    <col min="32" max="32" width="9.453125" customWidth="1"/>
  </cols>
  <sheetData>
    <row r="2" spans="3:38" x14ac:dyDescent="0.35">
      <c r="C2" t="s">
        <v>255</v>
      </c>
    </row>
    <row r="4" spans="3:38" x14ac:dyDescent="0.35">
      <c r="C4" s="179" t="s">
        <v>1</v>
      </c>
      <c r="D4" s="179" t="s">
        <v>256</v>
      </c>
      <c r="E4" s="179" t="s">
        <v>257</v>
      </c>
      <c r="F4" s="179" t="s">
        <v>258</v>
      </c>
      <c r="G4" s="172"/>
      <c r="AJ4" t="s">
        <v>259</v>
      </c>
      <c r="AK4" t="s">
        <v>260</v>
      </c>
      <c r="AL4" t="s">
        <v>261</v>
      </c>
    </row>
    <row r="5" spans="3:38" x14ac:dyDescent="0.35">
      <c r="C5" s="180" t="s">
        <v>262</v>
      </c>
      <c r="D5" s="13">
        <f>'Total REC Deliveries'!T4</f>
        <v>2560409</v>
      </c>
      <c r="E5" s="13">
        <f>'Total REC Deliveries'!S4</f>
        <v>778217.89229999995</v>
      </c>
      <c r="F5" s="13">
        <f>D5+E5</f>
        <v>3338626.8922999999</v>
      </c>
      <c r="G5" s="172"/>
    </row>
    <row r="6" spans="3:38" x14ac:dyDescent="0.35">
      <c r="C6" s="180" t="s">
        <v>263</v>
      </c>
      <c r="D6" s="13">
        <f>'Total REC Deliveries'!T5</f>
        <v>3895928</v>
      </c>
      <c r="E6" s="13">
        <f>'Total REC Deliveries'!S5</f>
        <v>2090131.1079333334</v>
      </c>
      <c r="F6" s="13">
        <f t="shared" ref="F6:F27" si="0">D6+E6</f>
        <v>5986059.1079333331</v>
      </c>
      <c r="G6" s="172"/>
    </row>
    <row r="7" spans="3:38" x14ac:dyDescent="0.35">
      <c r="C7" s="180" t="s">
        <v>264</v>
      </c>
      <c r="D7" s="13">
        <f>'Total REC Deliveries'!T6</f>
        <v>3895928</v>
      </c>
      <c r="E7" s="13">
        <f>'Total REC Deliveries'!S6</f>
        <v>3341140.2002666667</v>
      </c>
      <c r="F7" s="13">
        <f t="shared" si="0"/>
        <v>7237068.2002666667</v>
      </c>
      <c r="G7" s="172"/>
      <c r="H7" s="172"/>
    </row>
    <row r="8" spans="3:38" x14ac:dyDescent="0.35">
      <c r="C8" s="180" t="s">
        <v>265</v>
      </c>
      <c r="D8" s="13">
        <f>'Total REC Deliveries'!T7</f>
        <v>3895928</v>
      </c>
      <c r="E8" s="13">
        <f>'Total REC Deliveries'!S7</f>
        <v>3954904.9221383333</v>
      </c>
      <c r="F8" s="13">
        <f t="shared" si="0"/>
        <v>7850832.9221383333</v>
      </c>
      <c r="G8" s="172"/>
      <c r="H8" s="172"/>
      <c r="I8" s="31"/>
      <c r="J8" s="31"/>
    </row>
    <row r="9" spans="3:38" x14ac:dyDescent="0.35">
      <c r="C9" s="180" t="s">
        <v>266</v>
      </c>
      <c r="D9" s="13">
        <f>'Total REC Deliveries'!T8</f>
        <v>3895928</v>
      </c>
      <c r="E9" s="13">
        <f>'Total REC Deliveries'!S8</f>
        <v>4647179.2654006416</v>
      </c>
      <c r="F9" s="13">
        <f t="shared" si="0"/>
        <v>8543107.2654006407</v>
      </c>
      <c r="G9" s="172"/>
      <c r="H9" s="172"/>
      <c r="I9" s="31"/>
      <c r="J9" s="31"/>
    </row>
    <row r="10" spans="3:38" x14ac:dyDescent="0.35">
      <c r="C10" s="180" t="s">
        <v>267</v>
      </c>
      <c r="D10" s="13">
        <f>'Total REC Deliveries'!T9</f>
        <v>4355928</v>
      </c>
      <c r="E10" s="13">
        <f>'Total REC Deliveries'!S9</f>
        <v>8242776.2219466381</v>
      </c>
      <c r="F10" s="13">
        <f t="shared" si="0"/>
        <v>12598704.221946638</v>
      </c>
      <c r="G10" s="172"/>
      <c r="H10" s="172"/>
      <c r="I10" s="31"/>
      <c r="J10" s="31"/>
    </row>
    <row r="11" spans="3:38" x14ac:dyDescent="0.35">
      <c r="C11" s="180" t="s">
        <v>268</v>
      </c>
      <c r="D11" s="13">
        <f>'Total REC Deliveries'!T10</f>
        <v>4355928</v>
      </c>
      <c r="E11" s="13">
        <f>'Total REC Deliveries'!S10</f>
        <v>10568146.828709906</v>
      </c>
      <c r="F11" s="13">
        <f t="shared" si="0"/>
        <v>14924074.828709906</v>
      </c>
      <c r="G11" s="172"/>
    </row>
    <row r="12" spans="3:38" x14ac:dyDescent="0.35">
      <c r="C12" s="180" t="s">
        <v>269</v>
      </c>
      <c r="D12" s="13">
        <f>'Total REC Deliveries'!T11</f>
        <v>5184391</v>
      </c>
      <c r="E12" s="13">
        <f>'Total REC Deliveries'!S11</f>
        <v>10525251.007439354</v>
      </c>
      <c r="F12" s="13">
        <f t="shared" si="0"/>
        <v>15709642.007439354</v>
      </c>
      <c r="G12" s="172"/>
    </row>
    <row r="13" spans="3:38" x14ac:dyDescent="0.35">
      <c r="C13" s="180" t="s">
        <v>270</v>
      </c>
      <c r="D13" s="13">
        <f>'Total REC Deliveries'!T12</f>
        <v>5184391</v>
      </c>
      <c r="E13" s="13">
        <f>'Total REC Deliveries'!S12</f>
        <v>10482691.185275158</v>
      </c>
      <c r="F13" s="13">
        <f t="shared" si="0"/>
        <v>15667082.185275158</v>
      </c>
      <c r="G13" s="172"/>
    </row>
    <row r="14" spans="3:38" x14ac:dyDescent="0.35">
      <c r="C14" s="180" t="s">
        <v>271</v>
      </c>
      <c r="D14" s="13">
        <f>'Total REC Deliveries'!T13</f>
        <v>5184391</v>
      </c>
      <c r="E14" s="13">
        <f>'Total REC Deliveries'!S13</f>
        <v>10440363.817221783</v>
      </c>
      <c r="F14" s="13">
        <f t="shared" si="0"/>
        <v>15624754.817221783</v>
      </c>
      <c r="G14" s="172"/>
    </row>
    <row r="15" spans="3:38" x14ac:dyDescent="0.35">
      <c r="C15" s="180" t="s">
        <v>272</v>
      </c>
      <c r="D15" s="13">
        <f>'Total REC Deliveries'!T14</f>
        <v>5184391</v>
      </c>
      <c r="E15" s="13">
        <f>'Total REC Deliveries'!S14</f>
        <v>10398251.361008674</v>
      </c>
      <c r="F15" s="13">
        <f t="shared" si="0"/>
        <v>15582642.361008674</v>
      </c>
      <c r="G15" s="172"/>
    </row>
    <row r="16" spans="3:38" x14ac:dyDescent="0.35">
      <c r="C16" s="32" t="s">
        <v>273</v>
      </c>
      <c r="D16" s="13">
        <f>'Total REC Deliveries'!T15</f>
        <v>5184391</v>
      </c>
      <c r="E16" s="13">
        <f>'Total REC Deliveries'!S15</f>
        <v>10356420.27707663</v>
      </c>
      <c r="F16" s="13">
        <f t="shared" si="0"/>
        <v>15540811.27707663</v>
      </c>
      <c r="G16" s="172"/>
    </row>
    <row r="17" spans="2:10" x14ac:dyDescent="0.35">
      <c r="C17" s="180" t="s">
        <v>274</v>
      </c>
      <c r="D17" s="13">
        <f>'Total REC Deliveries'!T16</f>
        <v>3353982</v>
      </c>
      <c r="E17" s="13">
        <f>'Total REC Deliveries'!S16</f>
        <v>10283086.028564248</v>
      </c>
      <c r="F17" s="13">
        <f t="shared" si="0"/>
        <v>13637068.028564248</v>
      </c>
      <c r="G17" s="172"/>
    </row>
    <row r="18" spans="2:10" x14ac:dyDescent="0.35">
      <c r="C18" s="180" t="s">
        <v>275</v>
      </c>
      <c r="D18" s="13">
        <f>'Total REC Deliveries'!T17</f>
        <v>2923982</v>
      </c>
      <c r="E18" s="13">
        <f>'Total REC Deliveries'!S17</f>
        <v>10241357.081294425</v>
      </c>
      <c r="F18" s="13">
        <f t="shared" si="0"/>
        <v>13165339.081294425</v>
      </c>
      <c r="G18" s="172"/>
    </row>
    <row r="19" spans="2:10" x14ac:dyDescent="0.35">
      <c r="C19" s="180" t="s">
        <v>276</v>
      </c>
      <c r="D19" s="13">
        <f>'Total REC Deliveries'!T18</f>
        <v>2923982</v>
      </c>
      <c r="E19" s="13">
        <f>'Total REC Deliveries'!S18</f>
        <v>9656289.9037609547</v>
      </c>
      <c r="F19" s="13">
        <f t="shared" si="0"/>
        <v>12580271.903760955</v>
      </c>
      <c r="G19" s="172"/>
    </row>
    <row r="20" spans="2:10" x14ac:dyDescent="0.35">
      <c r="C20" s="180" t="s">
        <v>277</v>
      </c>
      <c r="D20" s="13">
        <f>'Total REC Deliveries'!T19</f>
        <v>2623982</v>
      </c>
      <c r="E20" s="13">
        <f>'Total REC Deliveries'!S19</f>
        <v>9539379.6748151481</v>
      </c>
      <c r="F20" s="13">
        <f t="shared" si="0"/>
        <v>12163361.674815148</v>
      </c>
      <c r="G20" s="172"/>
    </row>
    <row r="21" spans="2:10" x14ac:dyDescent="0.35">
      <c r="C21" s="180" t="s">
        <v>278</v>
      </c>
      <c r="D21" s="13">
        <f>'Total REC Deliveries'!T20</f>
        <v>1288463</v>
      </c>
      <c r="E21" s="13">
        <f>'Total REC Deliveries'!S20</f>
        <v>7153874.1705525732</v>
      </c>
      <c r="F21" s="13">
        <f t="shared" si="0"/>
        <v>8442337.1705525741</v>
      </c>
      <c r="G21" s="172"/>
    </row>
    <row r="22" spans="2:10" x14ac:dyDescent="0.35">
      <c r="C22" s="180" t="s">
        <v>279</v>
      </c>
      <c r="D22" s="13">
        <f>'Total REC Deliveries'!T21</f>
        <v>1288463</v>
      </c>
      <c r="E22" s="13">
        <f>'Total REC Deliveries'!S21</f>
        <v>6928863.1396998111</v>
      </c>
      <c r="F22" s="13">
        <f t="shared" si="0"/>
        <v>8217326.1396998111</v>
      </c>
      <c r="G22" s="172"/>
    </row>
    <row r="23" spans="2:10" x14ac:dyDescent="0.35">
      <c r="C23" s="180" t="s">
        <v>280</v>
      </c>
      <c r="D23" s="13">
        <f>'Total REC Deliveries'!T22</f>
        <v>1288463</v>
      </c>
      <c r="E23" s="13">
        <f>'Total REC Deliveries'!S22</f>
        <v>6511832.7790013114</v>
      </c>
      <c r="F23" s="13">
        <f t="shared" si="0"/>
        <v>7800295.7790013114</v>
      </c>
      <c r="G23" s="172"/>
    </row>
    <row r="24" spans="2:10" x14ac:dyDescent="0.35">
      <c r="C24" s="180" t="s">
        <v>281</v>
      </c>
      <c r="D24" s="13">
        <f>'Total REC Deliveries'!T23</f>
        <v>1288463</v>
      </c>
      <c r="E24" s="13">
        <f>'Total REC Deliveries'!S23</f>
        <v>6164456.5701063052</v>
      </c>
      <c r="F24" s="13">
        <f t="shared" si="0"/>
        <v>7452919.5701063052</v>
      </c>
      <c r="G24" s="172"/>
    </row>
    <row r="25" spans="2:10" x14ac:dyDescent="0.35">
      <c r="C25" s="180" t="s">
        <v>282</v>
      </c>
      <c r="D25" s="13">
        <f>'Total REC Deliveries'!T24</f>
        <v>1288463</v>
      </c>
      <c r="E25" s="13">
        <f>'Total REC Deliveries'!S24</f>
        <v>5903649.9972557733</v>
      </c>
      <c r="F25" s="13">
        <f t="shared" si="0"/>
        <v>7192112.9972557733</v>
      </c>
      <c r="G25" s="172"/>
    </row>
    <row r="26" spans="2:10" x14ac:dyDescent="0.35">
      <c r="C26" s="180" t="s">
        <v>283</v>
      </c>
      <c r="D26" s="13">
        <f>'Total REC Deliveries'!T25</f>
        <v>1288463</v>
      </c>
      <c r="E26" s="13">
        <f>'Total REC Deliveries'!S25</f>
        <v>5874119.5472694943</v>
      </c>
      <c r="F26" s="13">
        <f t="shared" si="0"/>
        <v>7162582.5472694943</v>
      </c>
      <c r="G26" s="172"/>
    </row>
    <row r="27" spans="2:10" x14ac:dyDescent="0.35">
      <c r="C27" s="180" t="s">
        <v>284</v>
      </c>
      <c r="D27" s="13">
        <f>'Total REC Deliveries'!T26</f>
        <v>1288463</v>
      </c>
      <c r="E27" s="13">
        <f>'Total REC Deliveries'!S26</f>
        <v>5844690.7095331466</v>
      </c>
      <c r="F27" s="13">
        <f t="shared" si="0"/>
        <v>7133153.7095331466</v>
      </c>
      <c r="G27" s="172"/>
    </row>
    <row r="28" spans="2:10" x14ac:dyDescent="0.35">
      <c r="G28" s="172"/>
    </row>
    <row r="29" spans="2:10" x14ac:dyDescent="0.35">
      <c r="B29" s="33" t="s">
        <v>285</v>
      </c>
      <c r="C29" t="s">
        <v>286</v>
      </c>
    </row>
    <row r="30" spans="2:10" x14ac:dyDescent="0.35">
      <c r="C30" s="179" t="s">
        <v>1</v>
      </c>
      <c r="D30" s="179" t="s">
        <v>287</v>
      </c>
      <c r="E30" s="179" t="s">
        <v>288</v>
      </c>
      <c r="F30" s="179" t="s">
        <v>289</v>
      </c>
      <c r="G30" s="179" t="s">
        <v>290</v>
      </c>
      <c r="H30" s="179" t="s">
        <v>256</v>
      </c>
      <c r="I30" s="179" t="s">
        <v>257</v>
      </c>
      <c r="J30" s="179" t="s">
        <v>258</v>
      </c>
    </row>
    <row r="31" spans="2:10" x14ac:dyDescent="0.35">
      <c r="C31" s="180" t="s">
        <v>262</v>
      </c>
      <c r="D31" s="13">
        <f t="shared" ref="D31:E46" si="1">D5</f>
        <v>2560409</v>
      </c>
      <c r="E31" s="13">
        <f>E5</f>
        <v>778217.89229999995</v>
      </c>
      <c r="F31" s="13">
        <f>'Total REC Deliveries'!AB3</f>
        <v>0</v>
      </c>
      <c r="G31" s="28">
        <f>'Total REC Deliveries'!V3+'Total REC Deliveries'!W3+'Total REC Deliveries'!X3+'Total REC Deliveries'!Y3+'Total REC Deliveries'!Z3+'Total REC Deliveries'!AA3+'Total REC Deliveries'!AC3+'Total REC Deliveries'!AD3+'Total REC Deliveries'!AE3+'Total REC Deliveries'!AF3</f>
        <v>0</v>
      </c>
      <c r="H31" s="28">
        <f>D31+G31</f>
        <v>2560409</v>
      </c>
      <c r="I31" s="28">
        <f>E31+G31</f>
        <v>778217.89229999995</v>
      </c>
      <c r="J31" s="28">
        <f t="shared" ref="J31:J53" si="2">H31+I31</f>
        <v>3338626.8922999999</v>
      </c>
    </row>
    <row r="32" spans="2:10" x14ac:dyDescent="0.35">
      <c r="C32" s="180" t="s">
        <v>263</v>
      </c>
      <c r="D32" s="13">
        <f t="shared" si="1"/>
        <v>3895928</v>
      </c>
      <c r="E32" s="13">
        <f t="shared" si="1"/>
        <v>2090131.1079333334</v>
      </c>
      <c r="F32" s="13">
        <f>'Total REC Deliveries'!AB4</f>
        <v>0</v>
      </c>
      <c r="G32" s="28">
        <f>'Total REC Deliveries'!V4+'Total REC Deliveries'!W4+'Total REC Deliveries'!X4+'Total REC Deliveries'!Y4+'Total REC Deliveries'!Z4+'Total REC Deliveries'!AA4+'Total REC Deliveries'!AC4+'Total REC Deliveries'!AD4+'Total REC Deliveries'!AE4+'Total REC Deliveries'!AF4</f>
        <v>0</v>
      </c>
      <c r="H32" s="28">
        <f t="shared" ref="H32:H53" si="3">D32+F32</f>
        <v>3895928</v>
      </c>
      <c r="I32" s="28">
        <f t="shared" ref="I32:I53" si="4">E32+G32</f>
        <v>2090131.1079333334</v>
      </c>
      <c r="J32" s="28">
        <f t="shared" si="2"/>
        <v>5986059.1079333331</v>
      </c>
    </row>
    <row r="33" spans="3:10" x14ac:dyDescent="0.35">
      <c r="C33" s="180" t="s">
        <v>264</v>
      </c>
      <c r="D33" s="13">
        <f t="shared" si="1"/>
        <v>3895928</v>
      </c>
      <c r="E33" s="13">
        <f t="shared" si="1"/>
        <v>3341140.2002666667</v>
      </c>
      <c r="F33" s="13">
        <f>'Total REC Deliveries'!AB5</f>
        <v>0</v>
      </c>
      <c r="G33" s="28">
        <f>'Total REC Deliveries'!V5+'Total REC Deliveries'!W5+'Total REC Deliveries'!X5+'Total REC Deliveries'!Y5+'Total REC Deliveries'!Z5+'Total REC Deliveries'!AA5+'Total REC Deliveries'!AC5+'Total REC Deliveries'!AD5+'Total REC Deliveries'!AE5+'Total REC Deliveries'!AF5</f>
        <v>0</v>
      </c>
      <c r="H33" s="28">
        <f t="shared" si="3"/>
        <v>3895928</v>
      </c>
      <c r="I33" s="28">
        <f t="shared" si="4"/>
        <v>3341140.2002666667</v>
      </c>
      <c r="J33" s="28">
        <f t="shared" si="2"/>
        <v>7237068.2002666667</v>
      </c>
    </row>
    <row r="34" spans="3:10" x14ac:dyDescent="0.35">
      <c r="C34" s="180" t="s">
        <v>265</v>
      </c>
      <c r="D34" s="13">
        <f t="shared" si="1"/>
        <v>3895928</v>
      </c>
      <c r="E34" s="13">
        <f t="shared" si="1"/>
        <v>3954904.9221383333</v>
      </c>
      <c r="F34" s="13">
        <f>'Total REC Deliveries'!AB6</f>
        <v>0</v>
      </c>
      <c r="G34" s="28">
        <f>'Total REC Deliveries'!V6+'Total REC Deliveries'!W6+'Total REC Deliveries'!X6+'Total REC Deliveries'!Y6+'Total REC Deliveries'!Z6+'Total REC Deliveries'!AA6+'Total REC Deliveries'!AC6+'Total REC Deliveries'!AD6+'Total REC Deliveries'!AE6+'Total REC Deliveries'!AF6</f>
        <v>0</v>
      </c>
      <c r="H34" s="28">
        <f t="shared" si="3"/>
        <v>3895928</v>
      </c>
      <c r="I34" s="28">
        <f t="shared" si="4"/>
        <v>3954904.9221383333</v>
      </c>
      <c r="J34" s="28">
        <f t="shared" si="2"/>
        <v>7850832.9221383333</v>
      </c>
    </row>
    <row r="35" spans="3:10" x14ac:dyDescent="0.35">
      <c r="C35" s="180" t="s">
        <v>266</v>
      </c>
      <c r="D35" s="13">
        <f t="shared" si="1"/>
        <v>3895928</v>
      </c>
      <c r="E35" s="13">
        <f t="shared" si="1"/>
        <v>4647179.2654006416</v>
      </c>
      <c r="F35" s="13">
        <f>'Total REC Deliveries'!AB7</f>
        <v>0</v>
      </c>
      <c r="G35" s="28">
        <f>'Total REC Deliveries'!V7+'Total REC Deliveries'!W7+'Total REC Deliveries'!X7+'Total REC Deliveries'!Y7+'Total REC Deliveries'!Z7+'Total REC Deliveries'!AA7+'Total REC Deliveries'!AC7+'Total REC Deliveries'!AD7+'Total REC Deliveries'!AE7+'Total REC Deliveries'!AF7</f>
        <v>47000</v>
      </c>
      <c r="H35" s="28">
        <f t="shared" si="3"/>
        <v>3895928</v>
      </c>
      <c r="I35" s="28">
        <f t="shared" si="4"/>
        <v>4694179.2654006416</v>
      </c>
      <c r="J35" s="28">
        <f t="shared" si="2"/>
        <v>8590107.2654006407</v>
      </c>
    </row>
    <row r="36" spans="3:10" x14ac:dyDescent="0.35">
      <c r="C36" s="180" t="s">
        <v>267</v>
      </c>
      <c r="D36" s="13">
        <f t="shared" si="1"/>
        <v>4355928</v>
      </c>
      <c r="E36" s="13">
        <f t="shared" si="1"/>
        <v>8242776.2219466381</v>
      </c>
      <c r="F36" s="13">
        <f>'Total REC Deliveries'!AB8</f>
        <v>0</v>
      </c>
      <c r="G36" s="28">
        <f>'Total REC Deliveries'!V8+'Total REC Deliveries'!W8+'Total REC Deliveries'!X8+'Total REC Deliveries'!Y8+'Total REC Deliveries'!Z8+'Total REC Deliveries'!AA8+'Total REC Deliveries'!AC8+'Total REC Deliveries'!AD8+'Total REC Deliveries'!AE8+'Total REC Deliveries'!AF8</f>
        <v>931688.1391372768</v>
      </c>
      <c r="H36" s="28">
        <f t="shared" si="3"/>
        <v>4355928</v>
      </c>
      <c r="I36" s="28">
        <f t="shared" si="4"/>
        <v>9174464.3610839155</v>
      </c>
      <c r="J36" s="28">
        <f t="shared" si="2"/>
        <v>13530392.361083915</v>
      </c>
    </row>
    <row r="37" spans="3:10" x14ac:dyDescent="0.35">
      <c r="C37" s="180" t="s">
        <v>268</v>
      </c>
      <c r="D37" s="13">
        <f t="shared" si="1"/>
        <v>4355928</v>
      </c>
      <c r="E37" s="13">
        <f t="shared" si="1"/>
        <v>10568146.828709906</v>
      </c>
      <c r="F37" s="13">
        <f>'Total REC Deliveries'!AB9</f>
        <v>0</v>
      </c>
      <c r="G37" s="28">
        <f>'Total REC Deliveries'!V9+'Total REC Deliveries'!W9+'Total REC Deliveries'!X9+'Total REC Deliveries'!Y9+'Total REC Deliveries'!Z9+'Total REC Deliveries'!AA9+'Total REC Deliveries'!AC9+'Total REC Deliveries'!AD9+'Total REC Deliveries'!AE9+'Total REC Deliveries'!AF9</f>
        <v>1578431.8209217037</v>
      </c>
      <c r="H37" s="28">
        <f t="shared" si="3"/>
        <v>4355928</v>
      </c>
      <c r="I37" s="28">
        <f t="shared" si="4"/>
        <v>12146578.64963161</v>
      </c>
      <c r="J37" s="28">
        <f t="shared" si="2"/>
        <v>16502506.64963161</v>
      </c>
    </row>
    <row r="38" spans="3:10" x14ac:dyDescent="0.35">
      <c r="C38" s="180" t="s">
        <v>269</v>
      </c>
      <c r="D38" s="13">
        <f t="shared" si="1"/>
        <v>5184391</v>
      </c>
      <c r="E38" s="13">
        <f t="shared" si="1"/>
        <v>10525251.007439354</v>
      </c>
      <c r="F38" s="13">
        <f>'Total REC Deliveries'!AB10</f>
        <v>0</v>
      </c>
      <c r="G38" s="28">
        <f>'Total REC Deliveries'!V10+'Total REC Deliveries'!W10+'Total REC Deliveries'!X10+'Total REC Deliveries'!Y10+'Total REC Deliveries'!Z10+'Total REC Deliveries'!AA10+'Total REC Deliveries'!AC10+'Total REC Deliveries'!AD10+'Total REC Deliveries'!AE10+'Total REC Deliveries'!AF10</f>
        <v>2528412.9794612085</v>
      </c>
      <c r="H38" s="28">
        <f t="shared" si="3"/>
        <v>5184391</v>
      </c>
      <c r="I38" s="28">
        <f t="shared" si="4"/>
        <v>13053663.986900562</v>
      </c>
      <c r="J38" s="28">
        <f t="shared" si="2"/>
        <v>18238054.986900561</v>
      </c>
    </row>
    <row r="39" spans="3:10" x14ac:dyDescent="0.35">
      <c r="C39" s="180" t="s">
        <v>270</v>
      </c>
      <c r="D39" s="13">
        <f t="shared" si="1"/>
        <v>5184391</v>
      </c>
      <c r="E39" s="13">
        <f t="shared" si="1"/>
        <v>10482691.185275158</v>
      </c>
      <c r="F39" s="13">
        <f>'Total REC Deliveries'!AB11</f>
        <v>6233332</v>
      </c>
      <c r="G39" s="28">
        <f>'Total REC Deliveries'!V11+'Total REC Deliveries'!W11+'Total REC Deliveries'!X11+'Total REC Deliveries'!Y11+'Total REC Deliveries'!Z11+'Total REC Deliveries'!AA11+'Total REC Deliveries'!AC11+'Total REC Deliveries'!AD11+'Total REC Deliveries'!AE11+'Total REC Deliveries'!AF11</f>
        <v>4893876.0572080156</v>
      </c>
      <c r="H39" s="28">
        <f t="shared" si="3"/>
        <v>11417723</v>
      </c>
      <c r="I39" s="28">
        <f t="shared" si="4"/>
        <v>15376567.242483173</v>
      </c>
      <c r="J39" s="28">
        <f t="shared" si="2"/>
        <v>26794290.242483173</v>
      </c>
    </row>
    <row r="40" spans="3:10" x14ac:dyDescent="0.35">
      <c r="C40" s="180" t="s">
        <v>271</v>
      </c>
      <c r="D40" s="13">
        <f t="shared" si="1"/>
        <v>5184391</v>
      </c>
      <c r="E40" s="13">
        <f t="shared" si="1"/>
        <v>10440363.817221783</v>
      </c>
      <c r="F40" s="13">
        <f>'Total REC Deliveries'!AB12</f>
        <v>8733332</v>
      </c>
      <c r="G40" s="28">
        <f>'Total REC Deliveries'!V12+'Total REC Deliveries'!W12+'Total REC Deliveries'!X12+'Total REC Deliveries'!Y12+'Total REC Deliveries'!Z12+'Total REC Deliveries'!AA12+'Total REC Deliveries'!AC12+'Total REC Deliveries'!AD12+'Total REC Deliveries'!AE12+'Total REC Deliveries'!AF12</f>
        <v>7412747.6445660889</v>
      </c>
      <c r="H40" s="28">
        <f t="shared" si="3"/>
        <v>13917723</v>
      </c>
      <c r="I40" s="28">
        <f t="shared" si="4"/>
        <v>17853111.461787872</v>
      </c>
      <c r="J40" s="28">
        <f t="shared" si="2"/>
        <v>31770834.461787872</v>
      </c>
    </row>
    <row r="41" spans="3:10" x14ac:dyDescent="0.35">
      <c r="C41" s="180" t="s">
        <v>272</v>
      </c>
      <c r="D41" s="13">
        <f t="shared" si="1"/>
        <v>5184391</v>
      </c>
      <c r="E41" s="13">
        <f t="shared" si="1"/>
        <v>10398251.361008674</v>
      </c>
      <c r="F41" s="13">
        <f>'Total REC Deliveries'!AB13</f>
        <v>11233332</v>
      </c>
      <c r="G41" s="28">
        <f>'Total REC Deliveries'!V13+'Total REC Deliveries'!W13+'Total REC Deliveries'!X13+'Total REC Deliveries'!Y13+'Total REC Deliveries'!Z13+'Total REC Deliveries'!AA13+'Total REC Deliveries'!AC13+'Total REC Deliveries'!AD13+'Total REC Deliveries'!AE13+'Total REC Deliveries'!AF13</f>
        <v>9907655.3531227112</v>
      </c>
      <c r="H41" s="28">
        <f t="shared" si="3"/>
        <v>16417723</v>
      </c>
      <c r="I41" s="28">
        <f t="shared" si="4"/>
        <v>20305906.714131385</v>
      </c>
      <c r="J41" s="28">
        <f t="shared" si="2"/>
        <v>36723629.714131385</v>
      </c>
    </row>
    <row r="42" spans="3:10" x14ac:dyDescent="0.35">
      <c r="C42" s="32" t="s">
        <v>273</v>
      </c>
      <c r="D42" s="13">
        <f t="shared" si="1"/>
        <v>5184391</v>
      </c>
      <c r="E42" s="13">
        <f t="shared" si="1"/>
        <v>10356420.27707663</v>
      </c>
      <c r="F42" s="13">
        <f>'Total REC Deliveries'!AB14</f>
        <v>13733332</v>
      </c>
      <c r="G42" s="28">
        <f>'Total REC Deliveries'!V14+'Total REC Deliveries'!W14+'Total REC Deliveries'!X14+'Total REC Deliveries'!Y14+'Total REC Deliveries'!Z14+'Total REC Deliveries'!AA14+'Total REC Deliveries'!AC14+'Total REC Deliveries'!AD14+'Total REC Deliveries'!AE14+'Total REC Deliveries'!AF14</f>
        <v>12390264.331407225</v>
      </c>
      <c r="H42" s="28">
        <f t="shared" si="3"/>
        <v>18917723</v>
      </c>
      <c r="I42" s="28">
        <f t="shared" si="4"/>
        <v>22746684.608483855</v>
      </c>
      <c r="J42" s="28">
        <f t="shared" si="2"/>
        <v>41664407.608483851</v>
      </c>
    </row>
    <row r="43" spans="3:10" x14ac:dyDescent="0.35">
      <c r="C43" s="180" t="s">
        <v>274</v>
      </c>
      <c r="D43" s="13">
        <f t="shared" si="1"/>
        <v>3353982</v>
      </c>
      <c r="E43" s="13">
        <f t="shared" si="1"/>
        <v>10283086.028564248</v>
      </c>
      <c r="F43" s="13">
        <f>'Total REC Deliveries'!AB15</f>
        <v>16233332</v>
      </c>
      <c r="G43" s="28">
        <f>'Total REC Deliveries'!V15+'Total REC Deliveries'!W15+'Total REC Deliveries'!X15+'Total REC Deliveries'!Y15+'Total REC Deliveries'!Z15+'Total REC Deliveries'!AA15+'Total REC Deliveries'!AC15+'Total REC Deliveries'!AD15+'Total REC Deliveries'!AE15+'Total REC Deliveries'!AF15</f>
        <v>14327564.156220183</v>
      </c>
      <c r="H43" s="28">
        <f t="shared" si="3"/>
        <v>19587314</v>
      </c>
      <c r="I43" s="28">
        <f t="shared" si="4"/>
        <v>24610650.184784431</v>
      </c>
      <c r="J43" s="28">
        <f t="shared" si="2"/>
        <v>44197964.184784427</v>
      </c>
    </row>
    <row r="44" spans="3:10" x14ac:dyDescent="0.35">
      <c r="C44" s="180" t="s">
        <v>275</v>
      </c>
      <c r="D44" s="13">
        <f t="shared" si="1"/>
        <v>2923982</v>
      </c>
      <c r="E44" s="13">
        <f t="shared" si="1"/>
        <v>10241357.081294425</v>
      </c>
      <c r="F44" s="13">
        <f>'Total REC Deliveries'!AB16</f>
        <v>18733332</v>
      </c>
      <c r="G44" s="28">
        <f>'Total REC Deliveries'!V16+'Total REC Deliveries'!W16+'Total REC Deliveries'!X16+'Total REC Deliveries'!Y16+'Total REC Deliveries'!Z16+'Total REC Deliveries'!AA16+'Total REC Deliveries'!AC16+'Total REC Deliveries'!AD16+'Total REC Deliveries'!AE16+'Total REC Deliveries'!AF16</f>
        <v>16294867.789555753</v>
      </c>
      <c r="H44" s="28">
        <f t="shared" si="3"/>
        <v>21657314</v>
      </c>
      <c r="I44" s="28">
        <f t="shared" si="4"/>
        <v>26536224.870850176</v>
      </c>
      <c r="J44" s="28">
        <f t="shared" si="2"/>
        <v>48193538.870850176</v>
      </c>
    </row>
    <row r="45" spans="3:10" x14ac:dyDescent="0.35">
      <c r="C45" s="180" t="s">
        <v>276</v>
      </c>
      <c r="D45" s="13">
        <f t="shared" si="1"/>
        <v>2923982</v>
      </c>
      <c r="E45" s="13">
        <f t="shared" si="1"/>
        <v>9656289.9037609547</v>
      </c>
      <c r="F45" s="13">
        <f>'Total REC Deliveries'!AB17</f>
        <v>18233332</v>
      </c>
      <c r="G45" s="28">
        <f>'Total REC Deliveries'!V17+'Total REC Deliveries'!W17+'Total REC Deliveries'!X17+'Total REC Deliveries'!Y17+'Total REC Deliveries'!Z17+'Total REC Deliveries'!AA17+'Total REC Deliveries'!AC17+'Total REC Deliveries'!AD17+'Total REC Deliveries'!AE17+'Total REC Deliveries'!AF17</f>
        <v>17967510.712995321</v>
      </c>
      <c r="H45" s="28">
        <f t="shared" si="3"/>
        <v>21157314</v>
      </c>
      <c r="I45" s="28">
        <f t="shared" si="4"/>
        <v>27623800.616756275</v>
      </c>
      <c r="J45" s="28">
        <f t="shared" si="2"/>
        <v>48781114.616756275</v>
      </c>
    </row>
    <row r="46" spans="3:10" x14ac:dyDescent="0.35">
      <c r="C46" s="180" t="s">
        <v>277</v>
      </c>
      <c r="D46" s="13">
        <f t="shared" si="1"/>
        <v>2623982</v>
      </c>
      <c r="E46" s="13">
        <f t="shared" si="1"/>
        <v>9539379.6748151481</v>
      </c>
      <c r="F46" s="13">
        <f>'Total REC Deliveries'!AB18</f>
        <v>19233332</v>
      </c>
      <c r="G46" s="28">
        <f>'Total REC Deliveries'!V18+'Total REC Deliveries'!W18+'Total REC Deliveries'!X18+'Total REC Deliveries'!Y18+'Total REC Deliveries'!Z18+'Total REC Deliveries'!AA18+'Total REC Deliveries'!AC18+'Total REC Deliveries'!AD18+'Total REC Deliveries'!AE18+'Total REC Deliveries'!AF18</f>
        <v>19347365.227273718</v>
      </c>
      <c r="H46" s="28">
        <f t="shared" si="3"/>
        <v>21857314</v>
      </c>
      <c r="I46" s="28">
        <f t="shared" si="4"/>
        <v>28886744.902088866</v>
      </c>
      <c r="J46" s="28">
        <f t="shared" si="2"/>
        <v>50744058.902088866</v>
      </c>
    </row>
    <row r="47" spans="3:10" x14ac:dyDescent="0.35">
      <c r="C47" s="180" t="s">
        <v>278</v>
      </c>
      <c r="D47" s="13">
        <f t="shared" ref="D47:E53" si="5">D21</f>
        <v>1288463</v>
      </c>
      <c r="E47" s="13">
        <f t="shared" si="5"/>
        <v>7153874.1705525732</v>
      </c>
      <c r="F47" s="13">
        <f>'Total REC Deliveries'!AB19</f>
        <v>21733332</v>
      </c>
      <c r="G47" s="28">
        <f>'Total REC Deliveries'!V19+'Total REC Deliveries'!W19+'Total REC Deliveries'!X19+'Total REC Deliveries'!Y19+'Total REC Deliveries'!Z19+'Total REC Deliveries'!AA19+'Total REC Deliveries'!AC19+'Total REC Deliveries'!AD19+'Total REC Deliveries'!AE19+'Total REC Deliveries'!AF19</f>
        <v>20547620.342481401</v>
      </c>
      <c r="H47" s="28">
        <f t="shared" si="3"/>
        <v>23021795</v>
      </c>
      <c r="I47" s="28">
        <f t="shared" si="4"/>
        <v>27701494.513033975</v>
      </c>
      <c r="J47" s="28">
        <f t="shared" si="2"/>
        <v>50723289.513033971</v>
      </c>
    </row>
    <row r="48" spans="3:10" x14ac:dyDescent="0.35">
      <c r="C48" s="180" t="s">
        <v>279</v>
      </c>
      <c r="D48" s="13">
        <f t="shared" si="5"/>
        <v>1288463</v>
      </c>
      <c r="E48" s="13">
        <f t="shared" si="5"/>
        <v>6928863.1396998111</v>
      </c>
      <c r="F48" s="13">
        <f>'Total REC Deliveries'!AB20</f>
        <v>21233332</v>
      </c>
      <c r="G48" s="28">
        <f>'Total REC Deliveries'!V20+'Total REC Deliveries'!W20+'Total REC Deliveries'!X20+'Total REC Deliveries'!Y20+'Total REC Deliveries'!Z20+'Total REC Deliveries'!AA20+'Total REC Deliveries'!AC20+'Total REC Deliveries'!AD20+'Total REC Deliveries'!AE20+'Total REC Deliveries'!AF20</f>
        <v>21742049.990383718</v>
      </c>
      <c r="H48" s="28">
        <f t="shared" si="3"/>
        <v>22521795</v>
      </c>
      <c r="I48" s="28">
        <f t="shared" si="4"/>
        <v>28670913.130083531</v>
      </c>
      <c r="J48" s="28">
        <f t="shared" si="2"/>
        <v>51192708.130083531</v>
      </c>
    </row>
    <row r="49" spans="2:15" x14ac:dyDescent="0.35">
      <c r="C49" s="180" t="s">
        <v>280</v>
      </c>
      <c r="D49" s="13">
        <f t="shared" si="5"/>
        <v>1288463</v>
      </c>
      <c r="E49" s="13">
        <f t="shared" si="5"/>
        <v>6511832.7790013114</v>
      </c>
      <c r="F49" s="13">
        <f>'Total REC Deliveries'!AB21</f>
        <v>22233332</v>
      </c>
      <c r="G49" s="28">
        <f>'Total REC Deliveries'!V21+'Total REC Deliveries'!W21+'Total REC Deliveries'!X21+'Total REC Deliveries'!Y21+'Total REC Deliveries'!Z21+'Total REC Deliveries'!AA21+'Total REC Deliveries'!AC21+'Total REC Deliveries'!AD21+'Total REC Deliveries'!AE21+'Total REC Deliveries'!AF21</f>
        <v>22930683.298317201</v>
      </c>
      <c r="H49" s="28">
        <f t="shared" si="3"/>
        <v>23521795</v>
      </c>
      <c r="I49" s="28">
        <f t="shared" si="4"/>
        <v>29442516.077318512</v>
      </c>
      <c r="J49" s="28">
        <f t="shared" si="2"/>
        <v>52964311.077318512</v>
      </c>
    </row>
    <row r="50" spans="2:15" x14ac:dyDescent="0.35">
      <c r="C50" s="180" t="s">
        <v>281</v>
      </c>
      <c r="D50" s="13">
        <f t="shared" si="5"/>
        <v>1288463</v>
      </c>
      <c r="E50" s="13">
        <f t="shared" si="5"/>
        <v>6164456.5701063052</v>
      </c>
      <c r="F50" s="13">
        <f>'Total REC Deliveries'!AB22</f>
        <v>23233332</v>
      </c>
      <c r="G50" s="28">
        <f>'Total REC Deliveries'!V22+'Total REC Deliveries'!W22+'Total REC Deliveries'!X22+'Total REC Deliveries'!Y22+'Total REC Deliveries'!Z22+'Total REC Deliveries'!AA22+'Total REC Deliveries'!AC22+'Total REC Deliveries'!AD22+'Total REC Deliveries'!AE22+'Total REC Deliveries'!AF22</f>
        <v>24113549.247981697</v>
      </c>
      <c r="H50" s="28">
        <f t="shared" si="3"/>
        <v>24521795</v>
      </c>
      <c r="I50" s="28">
        <f t="shared" si="4"/>
        <v>30278005.818088003</v>
      </c>
      <c r="J50" s="28">
        <f t="shared" si="2"/>
        <v>54799800.818088003</v>
      </c>
    </row>
    <row r="51" spans="2:15" x14ac:dyDescent="0.35">
      <c r="C51" s="180" t="s">
        <v>282</v>
      </c>
      <c r="D51" s="13">
        <f t="shared" si="5"/>
        <v>1288463</v>
      </c>
      <c r="E51" s="13">
        <f t="shared" si="5"/>
        <v>5903649.9972557733</v>
      </c>
      <c r="F51" s="13">
        <f>'Total REC Deliveries'!AB23</f>
        <v>24233332</v>
      </c>
      <c r="G51" s="28">
        <f>'Total REC Deliveries'!V23+'Total REC Deliveries'!W23+'Total REC Deliveries'!X23+'Total REC Deliveries'!Y23+'Total REC Deliveries'!Z23+'Total REC Deliveries'!AA23+'Total REC Deliveries'!AC23+'Total REC Deliveries'!AD23+'Total REC Deliveries'!AE23+'Total REC Deliveries'!AF23</f>
        <v>24864877.867111009</v>
      </c>
      <c r="H51" s="28">
        <f t="shared" si="3"/>
        <v>25521795</v>
      </c>
      <c r="I51" s="28">
        <f t="shared" si="4"/>
        <v>30768527.864366781</v>
      </c>
      <c r="J51" s="28">
        <f t="shared" si="2"/>
        <v>56290322.864366785</v>
      </c>
    </row>
    <row r="52" spans="2:15" x14ac:dyDescent="0.35">
      <c r="C52" s="180" t="s">
        <v>283</v>
      </c>
      <c r="D52" s="13">
        <f t="shared" si="5"/>
        <v>1288463</v>
      </c>
      <c r="E52" s="13">
        <f t="shared" si="5"/>
        <v>5874119.5472694943</v>
      </c>
      <c r="F52" s="13">
        <f>'Total REC Deliveries'!AB24</f>
        <v>25233332</v>
      </c>
      <c r="G52" s="28">
        <f>'Total REC Deliveries'!V24+'Total REC Deliveries'!W24+'Total REC Deliveries'!X24+'Total REC Deliveries'!Y24+'Total REC Deliveries'!Z24+'Total REC Deliveries'!AA24+'Total REC Deliveries'!AC24+'Total REC Deliveries'!AD24+'Total REC Deliveries'!AE24+'Total REC Deliveries'!AF24</f>
        <v>25598894.235430434</v>
      </c>
      <c r="H52" s="28">
        <f t="shared" si="3"/>
        <v>26521795</v>
      </c>
      <c r="I52" s="28">
        <f t="shared" si="4"/>
        <v>31473013.782699928</v>
      </c>
      <c r="J52" s="28">
        <f t="shared" si="2"/>
        <v>57994808.782699928</v>
      </c>
    </row>
    <row r="53" spans="2:15" x14ac:dyDescent="0.35">
      <c r="C53" s="180" t="s">
        <v>284</v>
      </c>
      <c r="D53" s="13">
        <f t="shared" si="5"/>
        <v>1288463</v>
      </c>
      <c r="E53" s="13">
        <f t="shared" si="5"/>
        <v>5844690.7095331466</v>
      </c>
      <c r="F53" s="13">
        <f>'Total REC Deliveries'!AB25</f>
        <v>27733332</v>
      </c>
      <c r="G53" s="28">
        <f>'Total REC Deliveries'!V25+'Total REC Deliveries'!W25+'Total REC Deliveries'!X25+'Total REC Deliveries'!Y25+'Total REC Deliveries'!Z25+'Total REC Deliveries'!AA25+'Total REC Deliveries'!AC25+'Total REC Deliveries'!AD25+'Total REC Deliveries'!AE25+'Total REC Deliveries'!AF25</f>
        <v>26292763.906739376</v>
      </c>
      <c r="H53" s="28">
        <f t="shared" si="3"/>
        <v>29021795</v>
      </c>
      <c r="I53" s="28">
        <f t="shared" si="4"/>
        <v>32137454.616272524</v>
      </c>
      <c r="J53" s="28">
        <f t="shared" si="2"/>
        <v>61159249.616272524</v>
      </c>
    </row>
    <row r="54" spans="2:15" x14ac:dyDescent="0.35">
      <c r="C54" s="34"/>
    </row>
    <row r="55" spans="2:15" x14ac:dyDescent="0.35">
      <c r="C55" s="34"/>
    </row>
    <row r="56" spans="2:15" x14ac:dyDescent="0.35">
      <c r="B56" s="33" t="s">
        <v>291</v>
      </c>
    </row>
    <row r="57" spans="2:15" x14ac:dyDescent="0.35">
      <c r="C57" s="35" t="s">
        <v>186</v>
      </c>
    </row>
    <row r="58" spans="2:15" x14ac:dyDescent="0.35">
      <c r="C58" s="313" t="s">
        <v>292</v>
      </c>
      <c r="D58" s="315" t="s">
        <v>41</v>
      </c>
      <c r="E58" s="316"/>
      <c r="F58" s="315" t="s">
        <v>293</v>
      </c>
      <c r="G58" s="316"/>
      <c r="H58" s="315" t="s">
        <v>213</v>
      </c>
      <c r="I58" s="316"/>
    </row>
    <row r="59" spans="2:15" x14ac:dyDescent="0.35">
      <c r="C59" s="314"/>
      <c r="D59" s="184" t="s">
        <v>294</v>
      </c>
      <c r="E59" s="184" t="s">
        <v>295</v>
      </c>
      <c r="F59" s="184" t="s">
        <v>294</v>
      </c>
      <c r="G59" s="184" t="s">
        <v>295</v>
      </c>
      <c r="H59" s="184" t="s">
        <v>294</v>
      </c>
      <c r="I59" s="184" t="s">
        <v>295</v>
      </c>
      <c r="J59" s="184" t="s">
        <v>88</v>
      </c>
      <c r="K59" s="184"/>
    </row>
    <row r="60" spans="2:15" x14ac:dyDescent="0.35">
      <c r="C60" s="180" t="s">
        <v>262</v>
      </c>
      <c r="D60" s="13">
        <f>'Total REC Deliveries'!T33</f>
        <v>810680</v>
      </c>
      <c r="E60" s="13">
        <f>'Total REC Deliveries'!S33</f>
        <v>234961.28875702267</v>
      </c>
      <c r="F60" s="13">
        <f>'Total REC Deliveries'!T61</f>
        <v>1747320</v>
      </c>
      <c r="G60" s="13">
        <f>'Total REC Deliveries'!S61</f>
        <v>539637.71406969347</v>
      </c>
      <c r="H60" s="13">
        <f>'Total REC Deliveries'!T89</f>
        <v>2409</v>
      </c>
      <c r="I60" s="13">
        <f>'Total REC Deliveries'!S89</f>
        <v>3618.8894732839058</v>
      </c>
      <c r="J60" s="172">
        <f t="shared" ref="J60:J82" si="6">SUM(D60:I60)</f>
        <v>3338626.8922999999</v>
      </c>
      <c r="K60" s="185">
        <f>F5</f>
        <v>3338626.8922999999</v>
      </c>
      <c r="L60" s="172">
        <f>J60-K60</f>
        <v>0</v>
      </c>
      <c r="N60" s="172"/>
    </row>
    <row r="61" spans="2:15" x14ac:dyDescent="0.35">
      <c r="C61" s="180" t="s">
        <v>263</v>
      </c>
      <c r="D61" s="13">
        <f>'Total REC Deliveries'!T34</f>
        <v>1202387</v>
      </c>
      <c r="E61" s="13">
        <f>'Total REC Deliveries'!S34</f>
        <v>608538.78657581937</v>
      </c>
      <c r="F61" s="13">
        <f>'Total REC Deliveries'!T62</f>
        <v>2686725</v>
      </c>
      <c r="G61" s="13">
        <f>'Total REC Deliveries'!S62</f>
        <v>1471103.8538560383</v>
      </c>
      <c r="H61" s="13">
        <f>'Total REC Deliveries'!T90</f>
        <v>6816</v>
      </c>
      <c r="I61" s="13">
        <f>'Total REC Deliveries'!S90</f>
        <v>10488.467501475689</v>
      </c>
      <c r="J61" s="172">
        <f t="shared" si="6"/>
        <v>5986059.1079333331</v>
      </c>
      <c r="K61" s="185">
        <f t="shared" ref="K61:K82" si="7">F6</f>
        <v>5986059.1079333331</v>
      </c>
      <c r="L61" s="172">
        <f t="shared" ref="L61:L82" si="8">J61-K61</f>
        <v>0</v>
      </c>
      <c r="N61" s="172"/>
    </row>
    <row r="62" spans="2:15" x14ac:dyDescent="0.35">
      <c r="C62" s="180" t="s">
        <v>264</v>
      </c>
      <c r="D62" s="13">
        <f>'Total REC Deliveries'!T35</f>
        <v>1202387</v>
      </c>
      <c r="E62" s="13">
        <f>'Total REC Deliveries'!S35</f>
        <v>968112.3990544402</v>
      </c>
      <c r="F62" s="13">
        <f>'Total REC Deliveries'!T63</f>
        <v>2686725</v>
      </c>
      <c r="G62" s="13">
        <f>'Total REC Deliveries'!S63</f>
        <v>2362191.9645867581</v>
      </c>
      <c r="H62" s="13">
        <f>'Total REC Deliveries'!T91</f>
        <v>6816</v>
      </c>
      <c r="I62" s="13">
        <f>'Total REC Deliveries'!S91</f>
        <v>10835.83662546831</v>
      </c>
      <c r="J62" s="172">
        <f>SUM(D62:I62)</f>
        <v>7237068.2002666658</v>
      </c>
      <c r="K62" s="185">
        <f t="shared" si="7"/>
        <v>7237068.2002666667</v>
      </c>
      <c r="L62" s="172">
        <f t="shared" si="8"/>
        <v>0</v>
      </c>
      <c r="N62" s="172"/>
    </row>
    <row r="63" spans="2:15" x14ac:dyDescent="0.35">
      <c r="C63" s="180" t="s">
        <v>265</v>
      </c>
      <c r="D63" s="13">
        <f>'Total REC Deliveries'!T36</f>
        <v>1202387</v>
      </c>
      <c r="E63" s="13">
        <f>'Total REC Deliveries'!S36</f>
        <v>1109663.4834706681</v>
      </c>
      <c r="F63" s="13">
        <f>'Total REC Deliveries'!T64</f>
        <v>2686725</v>
      </c>
      <c r="G63" s="13">
        <f>'Total REC Deliveries'!S64</f>
        <v>2823715.2247638246</v>
      </c>
      <c r="H63" s="13">
        <f>'Total REC Deliveries'!T92</f>
        <v>6816</v>
      </c>
      <c r="I63" s="13">
        <f>'Total REC Deliveries'!S92</f>
        <v>21526.21390384097</v>
      </c>
      <c r="J63" s="172">
        <f t="shared" si="6"/>
        <v>7850832.9221383333</v>
      </c>
      <c r="K63" s="185">
        <f t="shared" si="7"/>
        <v>7850832.9221383333</v>
      </c>
      <c r="L63" s="172">
        <f t="shared" si="8"/>
        <v>0</v>
      </c>
      <c r="N63" s="172"/>
      <c r="O63" s="172"/>
    </row>
    <row r="64" spans="2:15" x14ac:dyDescent="0.35">
      <c r="C64" s="180" t="s">
        <v>266</v>
      </c>
      <c r="D64" s="13">
        <f>'Total REC Deliveries'!T37</f>
        <v>1202387</v>
      </c>
      <c r="E64" s="13">
        <f>'Total REC Deliveries'!S37</f>
        <v>1236704.0374648147</v>
      </c>
      <c r="F64" s="13">
        <f>'Total REC Deliveries'!T65</f>
        <v>2686725</v>
      </c>
      <c r="G64" s="13">
        <f>'Total REC Deliveries'!S65</f>
        <v>3382451.6286400054</v>
      </c>
      <c r="H64" s="13">
        <f>'Total REC Deliveries'!T93</f>
        <v>6816</v>
      </c>
      <c r="I64" s="13">
        <f>'Total REC Deliveries'!S93</f>
        <v>28023.599295821765</v>
      </c>
      <c r="J64" s="172">
        <f t="shared" si="6"/>
        <v>8543107.2654006407</v>
      </c>
      <c r="K64" s="185">
        <f t="shared" si="7"/>
        <v>8543107.2654006407</v>
      </c>
      <c r="L64" s="172">
        <f t="shared" si="8"/>
        <v>0</v>
      </c>
      <c r="N64" s="172"/>
      <c r="O64" s="172"/>
    </row>
    <row r="65" spans="3:15" x14ac:dyDescent="0.35">
      <c r="C65" s="180" t="s">
        <v>267</v>
      </c>
      <c r="D65" s="13">
        <f>'Total REC Deliveries'!T38</f>
        <v>1335609.578893156</v>
      </c>
      <c r="E65" s="13">
        <f>'Total REC Deliveries'!S38</f>
        <v>2376978.5723653133</v>
      </c>
      <c r="F65" s="13">
        <f>'Total REC Deliveries'!T66</f>
        <v>3011200.5330565656</v>
      </c>
      <c r="G65" s="13">
        <f>'Total REC Deliveries'!S66</f>
        <v>5824509.7006287007</v>
      </c>
      <c r="H65" s="13">
        <f>'Total REC Deliveries'!T94</f>
        <v>9117.8880502782922</v>
      </c>
      <c r="I65" s="13">
        <f>'Total REC Deliveries'!S94</f>
        <v>41287.948952625367</v>
      </c>
      <c r="J65" s="172">
        <f t="shared" si="6"/>
        <v>12598704.221946638</v>
      </c>
      <c r="K65" s="185">
        <f t="shared" si="7"/>
        <v>12598704.221946638</v>
      </c>
      <c r="L65" s="172">
        <f t="shared" si="8"/>
        <v>0</v>
      </c>
      <c r="N65" s="172"/>
      <c r="O65" s="172"/>
    </row>
    <row r="66" spans="3:15" x14ac:dyDescent="0.35">
      <c r="C66" s="180" t="s">
        <v>268</v>
      </c>
      <c r="D66" s="13">
        <f>'Total REC Deliveries'!T39</f>
        <v>1335609.578893156</v>
      </c>
      <c r="E66" s="13">
        <f>'Total REC Deliveries'!S39</f>
        <v>3050560.2862445586</v>
      </c>
      <c r="F66" s="13">
        <f>'Total REC Deliveries'!T67</f>
        <v>3011200.5330565656</v>
      </c>
      <c r="G66" s="13">
        <f>'Total REC Deliveries'!S67</f>
        <v>7464680.5336084422</v>
      </c>
      <c r="H66" s="13">
        <f>'Total REC Deliveries'!T95</f>
        <v>9117.8880502782922</v>
      </c>
      <c r="I66" s="13">
        <f>'Total REC Deliveries'!S95</f>
        <v>52906.008856904569</v>
      </c>
      <c r="J66" s="172">
        <f t="shared" si="6"/>
        <v>14924074.828709906</v>
      </c>
      <c r="K66" s="185">
        <f t="shared" si="7"/>
        <v>14924074.828709906</v>
      </c>
      <c r="L66" s="172">
        <f t="shared" si="8"/>
        <v>0</v>
      </c>
      <c r="N66" s="172"/>
      <c r="O66" s="172"/>
    </row>
    <row r="67" spans="3:15" x14ac:dyDescent="0.35">
      <c r="C67" s="180" t="s">
        <v>269</v>
      </c>
      <c r="D67" s="13">
        <f>'Total REC Deliveries'!T40</f>
        <v>1575544.3123226357</v>
      </c>
      <c r="E67" s="13">
        <f>'Total REC Deliveries'!S40</f>
        <v>3038245.7462248364</v>
      </c>
      <c r="F67" s="13">
        <f>'Total REC Deliveries'!T68</f>
        <v>3595583.0842362214</v>
      </c>
      <c r="G67" s="13">
        <f>'Total REC Deliveries'!S68</f>
        <v>7434329.3409404</v>
      </c>
      <c r="H67" s="13">
        <f>'Total REC Deliveries'!T96</f>
        <v>13263.60344114287</v>
      </c>
      <c r="I67" s="13">
        <f>'Total REC Deliveries'!S96</f>
        <v>52675.920274120042</v>
      </c>
      <c r="J67" s="172">
        <f t="shared" si="6"/>
        <v>15709642.007439358</v>
      </c>
      <c r="K67" s="185">
        <f t="shared" si="7"/>
        <v>15709642.007439354</v>
      </c>
      <c r="L67" s="172">
        <f t="shared" si="8"/>
        <v>0</v>
      </c>
      <c r="N67" s="172"/>
      <c r="O67" s="172"/>
    </row>
    <row r="68" spans="3:15" x14ac:dyDescent="0.35">
      <c r="C68" s="180" t="s">
        <v>270</v>
      </c>
      <c r="D68" s="13">
        <f>'Total REC Deliveries'!T41</f>
        <v>1575544.3123226357</v>
      </c>
      <c r="E68" s="13">
        <f>'Total REC Deliveries'!S41</f>
        <v>3026006.7739052121</v>
      </c>
      <c r="F68" s="13">
        <f>'Total REC Deliveries'!T69</f>
        <v>3595583.0842362214</v>
      </c>
      <c r="G68" s="13">
        <f>'Total REC Deliveries'!S69</f>
        <v>7404234.0342356982</v>
      </c>
      <c r="H68" s="13">
        <f>'Total REC Deliveries'!T97</f>
        <v>13263.60344114287</v>
      </c>
      <c r="I68" s="13">
        <f>'Total REC Deliveries'!S97</f>
        <v>52450.377134249451</v>
      </c>
      <c r="J68" s="172">
        <f t="shared" si="6"/>
        <v>15667082.185275158</v>
      </c>
      <c r="K68" s="185">
        <f t="shared" si="7"/>
        <v>15667082.185275158</v>
      </c>
      <c r="L68" s="172">
        <f t="shared" si="8"/>
        <v>0</v>
      </c>
      <c r="N68" s="172"/>
      <c r="O68" s="172"/>
    </row>
    <row r="69" spans="3:15" x14ac:dyDescent="0.35">
      <c r="C69" s="180" t="s">
        <v>271</v>
      </c>
      <c r="D69" s="13">
        <f>'Total REC Deliveries'!T42</f>
        <v>1575544.3123226357</v>
      </c>
      <c r="E69" s="13">
        <f>'Total REC Deliveries'!S42</f>
        <v>3013817.2114471854</v>
      </c>
      <c r="F69" s="13">
        <f>'Total REC Deliveries'!T70</f>
        <v>3595583.0842362214</v>
      </c>
      <c r="G69" s="13">
        <f>'Total REC Deliveries'!S70</f>
        <v>7374323.2290645186</v>
      </c>
      <c r="H69" s="13">
        <f>'Total REC Deliveries'!T98</f>
        <v>13263.60344114287</v>
      </c>
      <c r="I69" s="13">
        <f>'Total REC Deliveries'!S98</f>
        <v>52223.376710078199</v>
      </c>
      <c r="J69" s="172">
        <f t="shared" si="6"/>
        <v>15624754.817221783</v>
      </c>
      <c r="K69" s="185">
        <f t="shared" si="7"/>
        <v>15624754.817221783</v>
      </c>
      <c r="L69" s="172">
        <f t="shared" si="8"/>
        <v>0</v>
      </c>
      <c r="N69" s="172"/>
      <c r="O69" s="172"/>
    </row>
    <row r="70" spans="3:15" x14ac:dyDescent="0.35">
      <c r="C70" s="180" t="s">
        <v>272</v>
      </c>
      <c r="D70" s="13">
        <f>'Total REC Deliveries'!T43</f>
        <v>1575544.3123226357</v>
      </c>
      <c r="E70" s="13">
        <f>'Total REC Deliveries'!S43</f>
        <v>3001703.9018014497</v>
      </c>
      <c r="F70" s="13">
        <f>'Total REC Deliveries'!T71</f>
        <v>3595583.0842362214</v>
      </c>
      <c r="G70" s="13">
        <f>'Total REC Deliveries'!S71</f>
        <v>7344559.5429191962</v>
      </c>
      <c r="H70" s="13">
        <f>'Total REC Deliveries'!T99</f>
        <v>13263.60344114287</v>
      </c>
      <c r="I70" s="13">
        <f>'Total REC Deliveries'!S99</f>
        <v>51987.916288027809</v>
      </c>
      <c r="J70" s="172">
        <f t="shared" si="6"/>
        <v>15582642.361008674</v>
      </c>
      <c r="K70" s="185">
        <f t="shared" si="7"/>
        <v>15582642.361008674</v>
      </c>
      <c r="L70" s="172">
        <f t="shared" si="8"/>
        <v>0</v>
      </c>
      <c r="N70" s="172"/>
      <c r="O70" s="172"/>
    </row>
    <row r="71" spans="3:15" x14ac:dyDescent="0.35">
      <c r="C71" s="32" t="s">
        <v>273</v>
      </c>
      <c r="D71" s="13">
        <f>'Total REC Deliveries'!T44</f>
        <v>1575544.3123226357</v>
      </c>
      <c r="E71" s="13">
        <f>'Total REC Deliveries'!S44</f>
        <v>2989696.6887039421</v>
      </c>
      <c r="F71" s="13">
        <f>'Total REC Deliveries'!T72</f>
        <v>3595583.0842362214</v>
      </c>
      <c r="G71" s="13">
        <f>'Total REC Deliveries'!S72</f>
        <v>7314952.5952046011</v>
      </c>
      <c r="H71" s="13">
        <f>'Total REC Deliveries'!T100</f>
        <v>13263.60344114287</v>
      </c>
      <c r="I71" s="13">
        <f>'Total REC Deliveries'!S100</f>
        <v>51770.993168087662</v>
      </c>
      <c r="J71" s="172">
        <f t="shared" si="6"/>
        <v>15540811.277076632</v>
      </c>
      <c r="K71" s="185">
        <f t="shared" si="7"/>
        <v>15540811.27707663</v>
      </c>
      <c r="L71" s="172">
        <f t="shared" si="8"/>
        <v>0</v>
      </c>
      <c r="N71" s="172"/>
      <c r="O71" s="172"/>
    </row>
    <row r="72" spans="3:15" x14ac:dyDescent="0.35">
      <c r="C72" s="180" t="s">
        <v>274</v>
      </c>
      <c r="D72" s="13">
        <f>'Total REC Deliveries'!T45</f>
        <v>978973.31232263579</v>
      </c>
      <c r="E72" s="13">
        <f>'Total REC Deliveries'!S45</f>
        <v>2974094.4166719229</v>
      </c>
      <c r="F72" s="13">
        <f>'Total REC Deliveries'!T73</f>
        <v>2361745.0842362214</v>
      </c>
      <c r="G72" s="13">
        <f>'Total REC Deliveries'!S73</f>
        <v>7257451.0072285775</v>
      </c>
      <c r="H72" s="13">
        <f>'Total REC Deliveries'!T101</f>
        <v>13263.60344114287</v>
      </c>
      <c r="I72" s="13">
        <f>'Total REC Deliveries'!S101</f>
        <v>51540.604663747225</v>
      </c>
      <c r="J72" s="172">
        <f t="shared" si="6"/>
        <v>13637068.028564248</v>
      </c>
      <c r="K72" s="185">
        <f t="shared" si="7"/>
        <v>13637068.028564248</v>
      </c>
      <c r="L72" s="172">
        <f t="shared" si="8"/>
        <v>0</v>
      </c>
      <c r="N72" s="172"/>
      <c r="O72" s="172"/>
    </row>
    <row r="73" spans="3:15" x14ac:dyDescent="0.35">
      <c r="C73" s="180" t="s">
        <v>275</v>
      </c>
      <c r="D73" s="13">
        <f>'Total REC Deliveries'!T46</f>
        <v>852854.31232263579</v>
      </c>
      <c r="E73" s="13">
        <f>'Total REC Deliveries'!S46</f>
        <v>2962107.9310000627</v>
      </c>
      <c r="F73" s="13">
        <f>'Total REC Deliveries'!T74</f>
        <v>2059283.0842362214</v>
      </c>
      <c r="G73" s="13">
        <f>'Total REC Deliveries'!S74</f>
        <v>7227933.4021924343</v>
      </c>
      <c r="H73" s="13">
        <f>'Total REC Deliveries'!T102</f>
        <v>11844.60344114287</v>
      </c>
      <c r="I73" s="13">
        <f>'Total REC Deliveries'!S102</f>
        <v>51315.74810192849</v>
      </c>
      <c r="J73" s="172">
        <f t="shared" si="6"/>
        <v>13165339.081294427</v>
      </c>
      <c r="K73" s="185">
        <f t="shared" si="7"/>
        <v>13165339.081294425</v>
      </c>
      <c r="L73" s="172">
        <f t="shared" si="8"/>
        <v>0</v>
      </c>
      <c r="N73" s="172"/>
      <c r="O73" s="172"/>
    </row>
    <row r="74" spans="3:15" x14ac:dyDescent="0.35">
      <c r="C74" s="180" t="s">
        <v>276</v>
      </c>
      <c r="D74" s="13">
        <f>'Total REC Deliveries'!T47</f>
        <v>852854.31232263579</v>
      </c>
      <c r="E74" s="13">
        <f>'Total REC Deliveries'!S47</f>
        <v>2767385.0777565627</v>
      </c>
      <c r="F74" s="13">
        <f>'Total REC Deliveries'!T75</f>
        <v>2059283.0842362214</v>
      </c>
      <c r="G74" s="13">
        <f>'Total REC Deliveries'!S75</f>
        <v>6838089.4051814722</v>
      </c>
      <c r="H74" s="13">
        <f>'Total REC Deliveries'!T103</f>
        <v>11844.60344114287</v>
      </c>
      <c r="I74" s="13">
        <f>'Total REC Deliveries'!S103</f>
        <v>50815.420822918837</v>
      </c>
      <c r="J74" s="172">
        <f t="shared" si="6"/>
        <v>12580271.903760953</v>
      </c>
      <c r="K74" s="185">
        <f t="shared" si="7"/>
        <v>12580271.903760955</v>
      </c>
      <c r="L74" s="172">
        <f t="shared" si="8"/>
        <v>0</v>
      </c>
      <c r="N74" s="172"/>
      <c r="O74" s="172"/>
    </row>
    <row r="75" spans="3:15" x14ac:dyDescent="0.35">
      <c r="C75" s="180" t="s">
        <v>277</v>
      </c>
      <c r="D75" s="13">
        <f>'Total REC Deliveries'!T48</f>
        <v>764864.31232263579</v>
      </c>
      <c r="E75" s="13">
        <f>'Total REC Deliveries'!S48</f>
        <v>2744939.7037792797</v>
      </c>
      <c r="F75" s="13">
        <f>'Total REC Deliveries'!T76</f>
        <v>1848263.0842362214</v>
      </c>
      <c r="G75" s="13">
        <f>'Total REC Deliveries'!S76</f>
        <v>6750437.6431555646</v>
      </c>
      <c r="H75" s="13">
        <f>'Total REC Deliveries'!T104</f>
        <v>10854.60344114287</v>
      </c>
      <c r="I75" s="13">
        <f>'Total REC Deliveries'!S104</f>
        <v>44002.327880304249</v>
      </c>
      <c r="J75" s="172">
        <f t="shared" si="6"/>
        <v>12163361.67481515</v>
      </c>
      <c r="K75" s="185">
        <f t="shared" si="7"/>
        <v>12163361.674815148</v>
      </c>
      <c r="L75" s="172">
        <f t="shared" si="8"/>
        <v>0</v>
      </c>
      <c r="N75" s="172"/>
      <c r="O75" s="172"/>
    </row>
    <row r="76" spans="3:15" x14ac:dyDescent="0.35">
      <c r="C76" s="180" t="s">
        <v>278</v>
      </c>
      <c r="D76" s="13">
        <f>'Total REC Deliveries'!T49</f>
        <v>373157.31232263579</v>
      </c>
      <c r="E76" s="13">
        <f>'Total REC Deliveries'!S49</f>
        <v>2050299.3743718832</v>
      </c>
      <c r="F76" s="13">
        <f>'Total REC Deliveries'!T77</f>
        <v>908858.08423622127</v>
      </c>
      <c r="G76" s="13">
        <f>'Total REC Deliveries'!S77</f>
        <v>5062413.7449397873</v>
      </c>
      <c r="H76" s="13">
        <f>'Total REC Deliveries'!T105</f>
        <v>6447.6034411428691</v>
      </c>
      <c r="I76" s="13">
        <f>'Total REC Deliveries'!S105</f>
        <v>41161.051240902736</v>
      </c>
      <c r="J76" s="172">
        <f t="shared" si="6"/>
        <v>8442337.1705525741</v>
      </c>
      <c r="K76" s="185">
        <f t="shared" si="7"/>
        <v>8442337.1705525741</v>
      </c>
      <c r="L76" s="172">
        <f t="shared" si="8"/>
        <v>0</v>
      </c>
      <c r="N76" s="172"/>
      <c r="O76" s="172"/>
    </row>
    <row r="77" spans="3:15" x14ac:dyDescent="0.35">
      <c r="C77" s="180" t="s">
        <v>279</v>
      </c>
      <c r="D77" s="13">
        <f>'Total REC Deliveries'!T50</f>
        <v>373157.31232263579</v>
      </c>
      <c r="E77" s="13">
        <f>'Total REC Deliveries'!S50</f>
        <v>1995574.5025000239</v>
      </c>
      <c r="F77" s="13">
        <f>'Total REC Deliveries'!T78</f>
        <v>908858.08423622127</v>
      </c>
      <c r="G77" s="13">
        <f>'Total REC Deliveries'!S78</f>
        <v>4893091.341215088</v>
      </c>
      <c r="H77" s="13">
        <f>'Total REC Deliveries'!T106</f>
        <v>6447.6034411428691</v>
      </c>
      <c r="I77" s="13">
        <f>'Total REC Deliveries'!S106</f>
        <v>40197.295984698219</v>
      </c>
      <c r="J77" s="172">
        <f t="shared" si="6"/>
        <v>8217326.1396998102</v>
      </c>
      <c r="K77" s="185">
        <f t="shared" si="7"/>
        <v>8217326.1396998111</v>
      </c>
      <c r="L77" s="172">
        <f t="shared" si="8"/>
        <v>0</v>
      </c>
      <c r="N77" s="172"/>
      <c r="O77" s="172"/>
    </row>
    <row r="78" spans="3:15" x14ac:dyDescent="0.35">
      <c r="C78" s="180" t="s">
        <v>280</v>
      </c>
      <c r="D78" s="13">
        <f>'Total REC Deliveries'!T51</f>
        <v>373157.31232263579</v>
      </c>
      <c r="E78" s="13">
        <f>'Total REC Deliveries'!S51</f>
        <v>1906263.6549875238</v>
      </c>
      <c r="F78" s="13">
        <f>'Total REC Deliveries'!T79</f>
        <v>908858.08423622127</v>
      </c>
      <c r="G78" s="13">
        <f>'Total REC Deliveries'!S79</f>
        <v>4575504.0645090137</v>
      </c>
      <c r="H78" s="13">
        <f>'Total REC Deliveries'!T107</f>
        <v>6447.6034411428691</v>
      </c>
      <c r="I78" s="13">
        <f>'Total REC Deliveries'!S107</f>
        <v>30065.059504774727</v>
      </c>
      <c r="J78" s="172">
        <f t="shared" si="6"/>
        <v>7800295.7790013114</v>
      </c>
      <c r="K78" s="185">
        <f t="shared" si="7"/>
        <v>7800295.7790013114</v>
      </c>
      <c r="L78" s="172">
        <f t="shared" si="8"/>
        <v>0</v>
      </c>
      <c r="N78" s="172"/>
      <c r="O78" s="172"/>
    </row>
    <row r="79" spans="3:15" x14ac:dyDescent="0.35">
      <c r="C79" s="180" t="s">
        <v>281</v>
      </c>
      <c r="D79" s="13">
        <f>'Total REC Deliveries'!T52</f>
        <v>373157.31232263579</v>
      </c>
      <c r="E79" s="13">
        <f>'Total REC Deliveries'!S52</f>
        <v>1872479.6817125862</v>
      </c>
      <c r="F79" s="13">
        <f>'Total REC Deliveries'!T80</f>
        <v>908858.08423622127</v>
      </c>
      <c r="G79" s="13">
        <f>'Total REC Deliveries'!S80</f>
        <v>4268163.5491864672</v>
      </c>
      <c r="H79" s="13">
        <f>'Total REC Deliveries'!T108</f>
        <v>6447.6034411428691</v>
      </c>
      <c r="I79" s="13">
        <f>'Total REC Deliveries'!S108</f>
        <v>23813.33920725085</v>
      </c>
      <c r="J79" s="172">
        <f t="shared" si="6"/>
        <v>7452919.5701063043</v>
      </c>
      <c r="K79" s="185">
        <f t="shared" si="7"/>
        <v>7452919.5701063052</v>
      </c>
      <c r="L79" s="172">
        <f t="shared" si="8"/>
        <v>0</v>
      </c>
      <c r="N79" s="172"/>
      <c r="O79" s="172"/>
    </row>
    <row r="80" spans="3:15" x14ac:dyDescent="0.35">
      <c r="C80" s="180" t="s">
        <v>282</v>
      </c>
      <c r="D80" s="13">
        <f>'Total REC Deliveries'!T53</f>
        <v>373157.31232263579</v>
      </c>
      <c r="E80" s="13">
        <f>'Total REC Deliveries'!S53</f>
        <v>1827268.4333040232</v>
      </c>
      <c r="F80" s="13">
        <f>'Total REC Deliveries'!T81</f>
        <v>908858.08423622127</v>
      </c>
      <c r="G80" s="13">
        <f>'Total REC Deliveries'!S81</f>
        <v>4056042.431440535</v>
      </c>
      <c r="H80" s="13">
        <f>'Total REC Deliveries'!T109</f>
        <v>6447.6034411428691</v>
      </c>
      <c r="I80" s="13">
        <f>'Total REC Deliveries'!S109</f>
        <v>20339.132511214597</v>
      </c>
      <c r="J80" s="172">
        <f t="shared" si="6"/>
        <v>7192112.9972557724</v>
      </c>
      <c r="K80" s="185">
        <f t="shared" si="7"/>
        <v>7192112.9972557733</v>
      </c>
      <c r="L80" s="172">
        <f t="shared" si="8"/>
        <v>0</v>
      </c>
      <c r="N80" s="172"/>
      <c r="O80" s="172"/>
    </row>
    <row r="81" spans="2:16" x14ac:dyDescent="0.35">
      <c r="C81" s="180" t="s">
        <v>283</v>
      </c>
      <c r="D81" s="13">
        <f>'Total REC Deliveries'!T54</f>
        <v>373157.31232263579</v>
      </c>
      <c r="E81" s="13">
        <f>'Total REC Deliveries'!S54</f>
        <v>1818128.761137503</v>
      </c>
      <c r="F81" s="13">
        <f>'Total REC Deliveries'!T82</f>
        <v>908858.08423622127</v>
      </c>
      <c r="G81" s="13">
        <f>'Total REC Deliveries'!S82</f>
        <v>4035753.3492833325</v>
      </c>
      <c r="H81" s="13">
        <f>'Total REC Deliveries'!T110</f>
        <v>6447.6034411428691</v>
      </c>
      <c r="I81" s="13">
        <f>'Total REC Deliveries'!S110</f>
        <v>20237.436848658526</v>
      </c>
      <c r="J81" s="172">
        <f t="shared" si="6"/>
        <v>7162582.5472694933</v>
      </c>
      <c r="K81" s="185">
        <f t="shared" si="7"/>
        <v>7162582.5472694943</v>
      </c>
      <c r="L81" s="172">
        <f t="shared" si="8"/>
        <v>0</v>
      </c>
      <c r="N81" s="172"/>
      <c r="O81" s="172"/>
    </row>
    <row r="82" spans="2:16" x14ac:dyDescent="0.35">
      <c r="C82" s="180" t="s">
        <v>284</v>
      </c>
      <c r="D82" s="13">
        <f>'Total REC Deliveries'!T55</f>
        <v>373157.31232263579</v>
      </c>
      <c r="E82" s="13">
        <f>'Total REC Deliveries'!S55</f>
        <v>1809028.5173318153</v>
      </c>
      <c r="F82" s="13">
        <f>'Total REC Deliveries'!T83</f>
        <v>908858.08423622127</v>
      </c>
      <c r="G82" s="13">
        <f>'Total REC Deliveries'!S83</f>
        <v>4015525.9425369152</v>
      </c>
      <c r="H82" s="13">
        <f>'Total REC Deliveries'!T111</f>
        <v>6447.6034411428691</v>
      </c>
      <c r="I82" s="13">
        <f>'Total REC Deliveries'!S111</f>
        <v>20136.249664415231</v>
      </c>
      <c r="J82" s="172">
        <f t="shared" si="6"/>
        <v>7133153.7095331457</v>
      </c>
      <c r="K82" s="185">
        <f t="shared" si="7"/>
        <v>7133153.7095331466</v>
      </c>
      <c r="L82" s="172">
        <f t="shared" si="8"/>
        <v>0</v>
      </c>
    </row>
    <row r="83" spans="2:16" x14ac:dyDescent="0.35">
      <c r="D83" s="34"/>
      <c r="E83" s="34"/>
      <c r="F83" s="34"/>
      <c r="G83" s="34"/>
      <c r="H83" s="34"/>
      <c r="I83" s="34"/>
      <c r="K83" s="172"/>
    </row>
    <row r="84" spans="2:16" x14ac:dyDescent="0.35">
      <c r="B84" s="33" t="s">
        <v>296</v>
      </c>
      <c r="K84" s="172"/>
      <c r="L84" s="172"/>
      <c r="M84" s="172"/>
      <c r="N84" s="172"/>
      <c r="O84" s="172"/>
      <c r="P84" s="36"/>
    </row>
    <row r="85" spans="2:16" x14ac:dyDescent="0.35">
      <c r="K85" s="172"/>
      <c r="L85" s="172"/>
      <c r="M85" s="172"/>
      <c r="N85" s="172"/>
      <c r="O85" s="172"/>
      <c r="P85" s="36"/>
    </row>
    <row r="86" spans="2:16" ht="29" x14ac:dyDescent="0.35">
      <c r="C86" s="15" t="s">
        <v>1</v>
      </c>
      <c r="D86" s="15" t="s">
        <v>217</v>
      </c>
      <c r="E86" s="15" t="s">
        <v>231</v>
      </c>
      <c r="F86" s="15" t="s">
        <v>297</v>
      </c>
      <c r="G86" s="15" t="s">
        <v>202</v>
      </c>
      <c r="H86" s="15" t="s">
        <v>298</v>
      </c>
      <c r="I86" s="15" t="s">
        <v>203</v>
      </c>
      <c r="J86" s="15" t="s">
        <v>88</v>
      </c>
      <c r="K86" s="15" t="s">
        <v>299</v>
      </c>
      <c r="L86" s="15" t="s">
        <v>300</v>
      </c>
      <c r="M86" s="172"/>
      <c r="N86" s="172"/>
      <c r="O86" s="36"/>
    </row>
    <row r="87" spans="2:16" x14ac:dyDescent="0.35">
      <c r="C87" s="180" t="s">
        <v>262</v>
      </c>
      <c r="D87" s="13">
        <f>'Total REC Deliveries'!I4+'Total REC Deliveries'!J4</f>
        <v>1861725</v>
      </c>
      <c r="E87" s="13">
        <f>'Total REC Deliveries'!H4</f>
        <v>661044</v>
      </c>
      <c r="F87" s="37">
        <f>'Total REC Deliveries'!L4+'Total REC Deliveries'!M4</f>
        <v>754313.29229999997</v>
      </c>
      <c r="G87" s="13">
        <f>'Total REC Deliveries'!AE3</f>
        <v>0</v>
      </c>
      <c r="H87" s="13">
        <f>'Total REC Deliveries'!N4+'Total REC Deliveries'!O4+'Total REC Deliveries'!P4</f>
        <v>0</v>
      </c>
      <c r="I87" s="13">
        <f>'Total REC Deliveries'!Q4</f>
        <v>58271.600000000006</v>
      </c>
      <c r="J87" s="28">
        <f>SUM(D87:I87)</f>
        <v>3335353.8922999999</v>
      </c>
      <c r="K87" s="13">
        <f>'Collections and ACP'!F7</f>
        <v>21149182.158790033</v>
      </c>
      <c r="L87" s="38">
        <f t="shared" ref="L87:L109" si="9">K87-J87</f>
        <v>17813828.266490035</v>
      </c>
      <c r="M87" s="172"/>
      <c r="N87" s="172"/>
      <c r="O87" s="36"/>
    </row>
    <row r="88" spans="2:16" x14ac:dyDescent="0.35">
      <c r="C88" s="180" t="s">
        <v>263</v>
      </c>
      <c r="D88" s="13">
        <f>'Total REC Deliveries'!I5+'Total REC Deliveries'!J5</f>
        <v>1861725</v>
      </c>
      <c r="E88" s="13">
        <f>'Total REC Deliveries'!H5</f>
        <v>1044581</v>
      </c>
      <c r="F88" s="37">
        <f>'Total REC Deliveries'!L5+'Total REC Deliveries'!M5</f>
        <v>2992839.5745999999</v>
      </c>
      <c r="G88" s="13">
        <f>'Total REC Deliveries'!AE4</f>
        <v>0</v>
      </c>
      <c r="H88" s="13">
        <f>'Total REC Deliveries'!N5+'Total REC Deliveries'!O5+'Total REC Deliveries'!P5</f>
        <v>0</v>
      </c>
      <c r="I88" s="13">
        <f>'Total REC Deliveries'!Q5</f>
        <v>65181.53333333334</v>
      </c>
      <c r="J88" s="28">
        <f t="shared" ref="J88:J109" si="10">SUM(D88:I88)</f>
        <v>5964327.1079333331</v>
      </c>
      <c r="K88" s="13">
        <f>'Collections and ACP'!F8</f>
        <v>22785452.684823208</v>
      </c>
      <c r="L88" s="38">
        <f t="shared" si="9"/>
        <v>16821125.576889873</v>
      </c>
      <c r="M88" s="172"/>
      <c r="N88" s="172"/>
      <c r="O88" s="36"/>
    </row>
    <row r="89" spans="2:16" x14ac:dyDescent="0.35">
      <c r="C89" s="180" t="s">
        <v>264</v>
      </c>
      <c r="D89" s="13">
        <f>'Total REC Deliveries'!I6+'Total REC Deliveries'!J6</f>
        <v>1861725</v>
      </c>
      <c r="E89" s="13">
        <f>'Total REC Deliveries'!H6</f>
        <v>1243726</v>
      </c>
      <c r="F89" s="37">
        <f>'Total REC Deliveries'!L6+'Total REC Deliveries'!M6</f>
        <v>4061148.5745999999</v>
      </c>
      <c r="G89" s="13">
        <f>'Total REC Deliveries'!AE5</f>
        <v>0</v>
      </c>
      <c r="H89" s="13">
        <f>'Total REC Deliveries'!N6+'Total REC Deliveries'!O6+'Total REC Deliveries'!P6</f>
        <v>0</v>
      </c>
      <c r="I89" s="13">
        <f>'Total REC Deliveries'!Q6</f>
        <v>64855.625666666674</v>
      </c>
      <c r="J89" s="28">
        <f t="shared" si="10"/>
        <v>7231455.2002666667</v>
      </c>
      <c r="K89" s="13">
        <f>'Collections and ACP'!F9</f>
        <v>24661977.142367411</v>
      </c>
      <c r="L89" s="38">
        <f t="shared" si="9"/>
        <v>17430521.942100745</v>
      </c>
      <c r="M89" s="172"/>
      <c r="N89" s="172"/>
      <c r="O89" s="36"/>
    </row>
    <row r="90" spans="2:16" x14ac:dyDescent="0.35">
      <c r="C90" s="180" t="s">
        <v>265</v>
      </c>
      <c r="D90" s="13">
        <f>'Total REC Deliveries'!I7+'Total REC Deliveries'!J7</f>
        <v>1861725</v>
      </c>
      <c r="E90" s="13">
        <f>'Total REC Deliveries'!H7</f>
        <v>1863428</v>
      </c>
      <c r="F90" s="37">
        <f>'Total REC Deliveries'!L7+'Total REC Deliveries'!M7</f>
        <v>4061148.5745999999</v>
      </c>
      <c r="G90" s="13">
        <f>'Total REC Deliveries'!AE6</f>
        <v>0</v>
      </c>
      <c r="H90" s="13">
        <f>'Total REC Deliveries'!N7+'Total REC Deliveries'!O7+'Total REC Deliveries'!P7</f>
        <v>0</v>
      </c>
      <c r="I90" s="13">
        <f>'Total REC Deliveries'!Q7</f>
        <v>64531.347538333343</v>
      </c>
      <c r="J90" s="28">
        <f t="shared" si="10"/>
        <v>7850832.9221383333</v>
      </c>
      <c r="K90" s="13">
        <f>'Collections and ACP'!F10</f>
        <v>26022605.388141267</v>
      </c>
      <c r="L90" s="38">
        <f t="shared" si="9"/>
        <v>18171772.466002934</v>
      </c>
      <c r="M90" s="172"/>
      <c r="N90" s="172"/>
      <c r="O90" s="36"/>
    </row>
    <row r="91" spans="2:16" x14ac:dyDescent="0.35">
      <c r="C91" s="180" t="s">
        <v>266</v>
      </c>
      <c r="D91" s="13">
        <f>'Total REC Deliveries'!I8+'Total REC Deliveries'!J8</f>
        <v>1861725</v>
      </c>
      <c r="E91" s="13">
        <f>'Total REC Deliveries'!H8</f>
        <v>2556025</v>
      </c>
      <c r="F91" s="37">
        <f>'Total REC Deliveries'!L8+'Total REC Deliveries'!M8</f>
        <v>4061148.5745999999</v>
      </c>
      <c r="G91" s="13">
        <f>'Total REC Deliveries'!AE7</f>
        <v>0</v>
      </c>
      <c r="H91" s="13">
        <f>'Total REC Deliveries'!N8+'Total REC Deliveries'!O8+'Total REC Deliveries'!P8</f>
        <v>0</v>
      </c>
      <c r="I91" s="13">
        <f>'Total REC Deliveries'!Q8</f>
        <v>64208.690800641678</v>
      </c>
      <c r="J91" s="28">
        <f t="shared" si="10"/>
        <v>8543107.2654006425</v>
      </c>
      <c r="K91" s="13">
        <f>'Collections and ACP'!F11</f>
        <v>27600405.588387385</v>
      </c>
      <c r="L91" s="38">
        <f t="shared" si="9"/>
        <v>19057298.322986744</v>
      </c>
      <c r="M91" s="172"/>
      <c r="N91" s="172"/>
      <c r="O91" s="36"/>
    </row>
    <row r="92" spans="2:16" x14ac:dyDescent="0.35">
      <c r="C92" s="180" t="s">
        <v>267</v>
      </c>
      <c r="D92" s="13">
        <f>'Total REC Deliveries'!I9+'Total REC Deliveries'!J9</f>
        <v>1861725</v>
      </c>
      <c r="E92" s="13">
        <f>'Total REC Deliveries'!H9</f>
        <v>4202552</v>
      </c>
      <c r="F92" s="37">
        <f>'Total REC Deliveries'!L9+'Total REC Deliveries'!M9</f>
        <v>4061148.5745999999</v>
      </c>
      <c r="G92" s="13">
        <f>'Total REC Deliveries'!AE8</f>
        <v>379110</v>
      </c>
      <c r="H92" s="13">
        <f>'Total REC Deliveries'!N9+'Total REC Deliveries'!O9+'Total REC Deliveries'!P9</f>
        <v>2409391</v>
      </c>
      <c r="I92" s="13">
        <f>'Total REC Deliveries'!Q9</f>
        <v>63887.64734663847</v>
      </c>
      <c r="J92" s="28">
        <f t="shared" si="10"/>
        <v>12977814.221946638</v>
      </c>
      <c r="K92" s="13">
        <f>'Collections and ACP'!F12</f>
        <v>29002290.034856889</v>
      </c>
      <c r="L92" s="38">
        <f t="shared" si="9"/>
        <v>16024475.812910251</v>
      </c>
      <c r="M92" s="172"/>
      <c r="N92" s="172"/>
      <c r="O92" s="36"/>
    </row>
    <row r="93" spans="2:16" x14ac:dyDescent="0.35">
      <c r="C93" s="180" t="s">
        <v>268</v>
      </c>
      <c r="D93" s="13">
        <f>'Total REC Deliveries'!I10+'Total REC Deliveries'!J10</f>
        <v>1861725</v>
      </c>
      <c r="E93" s="13">
        <f>'Total REC Deliveries'!H10</f>
        <v>4181237</v>
      </c>
      <c r="F93" s="37">
        <f>'Total REC Deliveries'!L10+'Total REC Deliveries'!M10</f>
        <v>4061148.5745999999</v>
      </c>
      <c r="G93" s="13">
        <f>'Total REC Deliveries'!AE9</f>
        <v>379110</v>
      </c>
      <c r="H93" s="13">
        <f>'Total REC Deliveries'!N10+'Total REC Deliveries'!O10+'Total REC Deliveries'!P10</f>
        <v>4756396.0449999999</v>
      </c>
      <c r="I93" s="13">
        <f>'Total REC Deliveries'!Q10</f>
        <v>63568.209109905278</v>
      </c>
      <c r="J93" s="28">
        <f t="shared" si="10"/>
        <v>15303184.828709906</v>
      </c>
      <c r="K93" s="13">
        <f>'Collections and ACP'!F13</f>
        <v>32271366.637528446</v>
      </c>
      <c r="L93" s="38">
        <f t="shared" si="9"/>
        <v>16968181.808818541</v>
      </c>
      <c r="O93" s="36"/>
    </row>
    <row r="94" spans="2:16" x14ac:dyDescent="0.35">
      <c r="C94" s="180" t="s">
        <v>269</v>
      </c>
      <c r="D94" s="13">
        <f>'Total REC Deliveries'!I11+'Total REC Deliveries'!J11</f>
        <v>1861725</v>
      </c>
      <c r="E94" s="13">
        <f>'Total REC Deliveries'!H11</f>
        <v>4160141</v>
      </c>
      <c r="F94" s="37">
        <f>'Total REC Deliveries'!L11+'Total REC Deliveries'!M11</f>
        <v>4061148.5745999999</v>
      </c>
      <c r="G94" s="13">
        <f>'Total REC Deliveries'!AE10</f>
        <v>379110</v>
      </c>
      <c r="H94" s="13">
        <f>'Total REC Deliveries'!N11+'Total REC Deliveries'!O11+'Total REC Deliveries'!P11</f>
        <v>5563377.0647750003</v>
      </c>
      <c r="I94" s="13">
        <f>'Total REC Deliveries'!Q11</f>
        <v>63250.368064355753</v>
      </c>
      <c r="J94" s="28">
        <f t="shared" si="10"/>
        <v>16088752.007439356</v>
      </c>
      <c r="K94" s="13">
        <f>'Collections and ACP'!F14</f>
        <v>35668466.102237098</v>
      </c>
      <c r="L94" s="38">
        <f t="shared" si="9"/>
        <v>19579714.094797742</v>
      </c>
      <c r="O94" s="36"/>
    </row>
    <row r="95" spans="2:16" x14ac:dyDescent="0.35">
      <c r="C95" s="180" t="s">
        <v>270</v>
      </c>
      <c r="D95" s="13">
        <f>'Total REC Deliveries'!I12+'Total REC Deliveries'!J12</f>
        <v>1861725</v>
      </c>
      <c r="E95" s="13">
        <f>'Total REC Deliveries'!H12</f>
        <v>4139272</v>
      </c>
      <c r="F95" s="37">
        <f>'Total REC Deliveries'!L12+'Total REC Deliveries'!M12</f>
        <v>4061148.5745999999</v>
      </c>
      <c r="G95" s="13">
        <f>'Total REC Deliveries'!AE11</f>
        <v>379110</v>
      </c>
      <c r="H95" s="13">
        <f>'Total REC Deliveries'!N12+'Total REC Deliveries'!O12+'Total REC Deliveries'!P12</f>
        <v>5542002.4944511252</v>
      </c>
      <c r="I95" s="13">
        <f>'Total REC Deliveries'!Q12</f>
        <v>62934.116224033976</v>
      </c>
      <c r="J95" s="28">
        <f t="shared" si="10"/>
        <v>16046192.185275158</v>
      </c>
      <c r="K95" s="13">
        <f>'Collections and ACP'!F15</f>
        <v>39219696.579589069</v>
      </c>
      <c r="L95" s="38">
        <f t="shared" si="9"/>
        <v>23173504.394313909</v>
      </c>
      <c r="O95" s="36"/>
    </row>
    <row r="96" spans="2:16" x14ac:dyDescent="0.35">
      <c r="C96" s="180" t="s">
        <v>271</v>
      </c>
      <c r="D96" s="13">
        <f>'Total REC Deliveries'!I13+'Total REC Deliveries'!J13</f>
        <v>1861725</v>
      </c>
      <c r="E96" s="13">
        <f>'Total REC Deliveries'!H13</f>
        <v>4118527</v>
      </c>
      <c r="F96" s="37">
        <f>'Total REC Deliveries'!L13+'Total REC Deliveries'!M13</f>
        <v>4061148.5745999999</v>
      </c>
      <c r="G96" s="13">
        <f>'Total REC Deliveries'!AE12</f>
        <v>379110</v>
      </c>
      <c r="H96" s="13">
        <f>'Total REC Deliveries'!N13+'Total REC Deliveries'!O13+'Total REC Deliveries'!P13</f>
        <v>5520734.7969788685</v>
      </c>
      <c r="I96" s="13">
        <f>'Total REC Deliveries'!Q13</f>
        <v>62619.445642913808</v>
      </c>
      <c r="J96" s="28">
        <f t="shared" si="10"/>
        <v>16003864.817221783</v>
      </c>
      <c r="K96" s="13">
        <f>'Collections and ACP'!F16</f>
        <v>42714576.506556571</v>
      </c>
      <c r="L96" s="38">
        <f t="shared" si="9"/>
        <v>26710711.689334787</v>
      </c>
      <c r="O96" s="36"/>
    </row>
    <row r="97" spans="2:15" x14ac:dyDescent="0.35">
      <c r="C97" s="180" t="s">
        <v>272</v>
      </c>
      <c r="D97" s="13">
        <f>'Total REC Deliveries'!I14+'Total REC Deliveries'!J14</f>
        <v>1861725</v>
      </c>
      <c r="E97" s="13">
        <f>'Total REC Deliveries'!H14</f>
        <v>4097889</v>
      </c>
      <c r="F97" s="37">
        <f>'Total REC Deliveries'!L14+'Total REC Deliveries'!M14</f>
        <v>4061148.5745999999</v>
      </c>
      <c r="G97" s="13">
        <f>'Total REC Deliveries'!AE13</f>
        <v>379110</v>
      </c>
      <c r="H97" s="13">
        <f>'Total REC Deliveries'!N14+'Total REC Deliveries'!O14+'Total REC Deliveries'!P14</f>
        <v>5499573.4379939744</v>
      </c>
      <c r="I97" s="13">
        <f>'Total REC Deliveries'!Q14</f>
        <v>62306.348414699241</v>
      </c>
      <c r="J97" s="28">
        <f t="shared" si="10"/>
        <v>15961752.361008672</v>
      </c>
      <c r="K97" s="13">
        <f>'Collections and ACP'!F17</f>
        <v>46451375.958900839</v>
      </c>
      <c r="L97" s="38">
        <f t="shared" si="9"/>
        <v>30489623.597892165</v>
      </c>
      <c r="O97" s="36"/>
    </row>
    <row r="98" spans="2:15" x14ac:dyDescent="0.35">
      <c r="C98" s="32" t="s">
        <v>273</v>
      </c>
      <c r="D98" s="13">
        <f>'Total REC Deliveries'!I15+'Total REC Deliveries'!J15</f>
        <v>1861725</v>
      </c>
      <c r="E98" s="13">
        <f>'Total REC Deliveries'!H15</f>
        <v>4077425</v>
      </c>
      <c r="F98" s="37">
        <f>'Total REC Deliveries'!L15+'Total REC Deliveries'!M15</f>
        <v>4061148.5745999999</v>
      </c>
      <c r="G98" s="13">
        <f>'Total REC Deliveries'!AE14</f>
        <v>379110</v>
      </c>
      <c r="H98" s="13">
        <f>'Total REC Deliveries'!N15+'Total REC Deliveries'!O15+'Total REC Deliveries'!P15</f>
        <v>5478517.885804004</v>
      </c>
      <c r="I98" s="13">
        <f>'Total REC Deliveries'!Q15</f>
        <v>61994.816672625748</v>
      </c>
      <c r="J98" s="28">
        <f t="shared" si="10"/>
        <v>15919921.27707663</v>
      </c>
      <c r="K98" s="13">
        <f>'Collections and ACP'!F18</f>
        <v>47763046.369001523</v>
      </c>
      <c r="L98" s="38">
        <f t="shared" si="9"/>
        <v>31843125.091924891</v>
      </c>
      <c r="O98" s="36"/>
    </row>
    <row r="99" spans="2:15" x14ac:dyDescent="0.35">
      <c r="C99" s="180" t="s">
        <v>274</v>
      </c>
      <c r="D99" s="13">
        <f>'Total REC Deliveries'!I16+'Total REC Deliveries'!J16</f>
        <v>0</v>
      </c>
      <c r="E99" s="13">
        <f>'Total REC Deliveries'!H16</f>
        <v>4056667</v>
      </c>
      <c r="F99" s="37">
        <f>'Total REC Deliveries'!L16+'Total REC Deliveries'!M16</f>
        <v>4061148.5745999999</v>
      </c>
      <c r="G99" s="13">
        <f>'Total REC Deliveries'!AE15</f>
        <v>379110</v>
      </c>
      <c r="H99" s="13">
        <f>'Total REC Deliveries'!N16+'Total REC Deliveries'!O16+'Total REC Deliveries'!P16</f>
        <v>5457567.6113749845</v>
      </c>
      <c r="I99" s="13">
        <f>'Total REC Deliveries'!Q16</f>
        <v>61684.842589262618</v>
      </c>
      <c r="J99" s="28">
        <f t="shared" si="10"/>
        <v>14016178.028564248</v>
      </c>
      <c r="K99" s="13">
        <f>'Collections and ACP'!F19</f>
        <v>49157149.335623778</v>
      </c>
      <c r="L99" s="38">
        <f t="shared" si="9"/>
        <v>35140971.307059526</v>
      </c>
      <c r="O99" s="36"/>
    </row>
    <row r="100" spans="2:15" x14ac:dyDescent="0.35">
      <c r="C100" s="180" t="s">
        <v>275</v>
      </c>
      <c r="D100" s="13">
        <f>'Total REC Deliveries'!I17+'Total REC Deliveries'!J17</f>
        <v>0</v>
      </c>
      <c r="E100" s="13">
        <f>'Total REC Deliveries'!H17</f>
        <v>4036092</v>
      </c>
      <c r="F100" s="37">
        <f>'Total REC Deliveries'!L17+'Total REC Deliveries'!M17</f>
        <v>3631148.5745999999</v>
      </c>
      <c r="G100" s="13">
        <f>'Total REC Deliveries'!AE16</f>
        <v>379110</v>
      </c>
      <c r="H100" s="13">
        <f>'Total REC Deliveries'!N17+'Total REC Deliveries'!O17+'Total REC Deliveries'!P17</f>
        <v>5436722.0883181095</v>
      </c>
      <c r="I100" s="13">
        <f>'Total REC Deliveries'!Q17</f>
        <v>61376.418376316302</v>
      </c>
      <c r="J100" s="28">
        <f t="shared" si="10"/>
        <v>13544449.081294425</v>
      </c>
      <c r="K100" s="13">
        <f>'Collections and ACP'!F20</f>
        <v>50422454.053407259</v>
      </c>
      <c r="L100" s="38">
        <f t="shared" si="9"/>
        <v>36878004.972112834</v>
      </c>
      <c r="O100" s="36"/>
    </row>
    <row r="101" spans="2:15" x14ac:dyDescent="0.35">
      <c r="C101" s="180" t="s">
        <v>276</v>
      </c>
      <c r="D101" s="13">
        <f>'Total REC Deliveries'!I18+'Total REC Deliveries'!J18</f>
        <v>0</v>
      </c>
      <c r="E101" s="13">
        <f>'Total REC Deliveries'!H18</f>
        <v>3472073</v>
      </c>
      <c r="F101" s="37">
        <f>'Total REC Deliveries'!L18+'Total REC Deliveries'!M18</f>
        <v>3631148.5745999999</v>
      </c>
      <c r="G101" s="13">
        <f>'Total REC Deliveries'!AE17</f>
        <v>379110</v>
      </c>
      <c r="H101" s="13">
        <f>'Total REC Deliveries'!N18+'Total REC Deliveries'!O18+'Total REC Deliveries'!P18</f>
        <v>5415980.7928765193</v>
      </c>
      <c r="I101" s="13">
        <f>'Total REC Deliveries'!Q18</f>
        <v>61069.536284434718</v>
      </c>
      <c r="J101" s="28">
        <f t="shared" si="10"/>
        <v>12959381.903760955</v>
      </c>
      <c r="K101" s="13">
        <f>'Collections and ACP'!F21</f>
        <v>51819398.992800236</v>
      </c>
      <c r="L101" s="38">
        <f t="shared" si="9"/>
        <v>38860017.089039281</v>
      </c>
      <c r="O101" s="36"/>
    </row>
    <row r="102" spans="2:15" x14ac:dyDescent="0.35">
      <c r="C102" s="180" t="s">
        <v>277</v>
      </c>
      <c r="D102" s="13">
        <f>'Total REC Deliveries'!I19+'Total REC Deliveries'!J19</f>
        <v>0</v>
      </c>
      <c r="E102" s="13">
        <f>'Total REC Deliveries'!H19</f>
        <v>3382692</v>
      </c>
      <c r="F102" s="37">
        <f>'Total REC Deliveries'!L19+'Total REC Deliveries'!M19</f>
        <v>3324562.2823000001</v>
      </c>
      <c r="G102" s="13">
        <f>'Total REC Deliveries'!AE18</f>
        <v>379110</v>
      </c>
      <c r="H102" s="13">
        <f>'Total REC Deliveries'!N19+'Total REC Deliveries'!O19+'Total REC Deliveries'!P19</f>
        <v>5395343.2039121371</v>
      </c>
      <c r="I102" s="13">
        <f>'Total REC Deliveries'!Q19</f>
        <v>60764.188603012546</v>
      </c>
      <c r="J102" s="28">
        <f t="shared" si="10"/>
        <v>12542471.67481515</v>
      </c>
      <c r="K102" s="13">
        <f>'Collections and ACP'!F22</f>
        <v>53183157.834484629</v>
      </c>
      <c r="L102" s="38">
        <f t="shared" si="9"/>
        <v>40640686.159669481</v>
      </c>
      <c r="O102" s="36"/>
    </row>
    <row r="103" spans="2:15" x14ac:dyDescent="0.35">
      <c r="C103" s="180" t="s">
        <v>278</v>
      </c>
      <c r="D103" s="13">
        <f>'Total REC Deliveries'!I20+'Total REC Deliveries'!J20</f>
        <v>0</v>
      </c>
      <c r="E103" s="13">
        <f>'Total REC Deliveries'!H20</f>
        <v>3007068</v>
      </c>
      <c r="F103" s="37">
        <f>'Total REC Deliveries'!L20+'Total REC Deliveries'!M20</f>
        <v>0</v>
      </c>
      <c r="G103" s="13">
        <f>'Total REC Deliveries'!AE19</f>
        <v>379110</v>
      </c>
      <c r="H103" s="13">
        <f>'Total REC Deliveries'!N20+'Total REC Deliveries'!O20+'Total REC Deliveries'!P20</f>
        <v>5374808.802892576</v>
      </c>
      <c r="I103" s="13">
        <f>'Total REC Deliveries'!Q20</f>
        <v>60460.367659997486</v>
      </c>
      <c r="J103" s="28">
        <f t="shared" si="10"/>
        <v>8821447.1705525741</v>
      </c>
      <c r="K103" s="13">
        <f>'Collections and ACP'!F23</f>
        <v>54619816.175018631</v>
      </c>
      <c r="L103" s="38">
        <f t="shared" si="9"/>
        <v>45798369.004466057</v>
      </c>
      <c r="O103" s="36"/>
    </row>
    <row r="104" spans="2:15" x14ac:dyDescent="0.35">
      <c r="C104" s="180" t="s">
        <v>279</v>
      </c>
      <c r="D104" s="13">
        <f>'Total REC Deliveries'!I21+'Total REC Deliveries'!J21</f>
        <v>0</v>
      </c>
      <c r="E104" s="13">
        <f>'Total REC Deliveries'!H21</f>
        <v>2802791</v>
      </c>
      <c r="F104" s="37">
        <f>'Total REC Deliveries'!L21+'Total REC Deliveries'!M21</f>
        <v>0</v>
      </c>
      <c r="G104" s="13">
        <f>'Total REC Deliveries'!AE20</f>
        <v>379110</v>
      </c>
      <c r="H104" s="13">
        <f>'Total REC Deliveries'!N21+'Total REC Deliveries'!O21+'Total REC Deliveries'!P21</f>
        <v>5354377.0738781132</v>
      </c>
      <c r="I104" s="13">
        <f>'Total REC Deliveries'!Q21</f>
        <v>60158.065821697499</v>
      </c>
      <c r="J104" s="28">
        <f t="shared" si="10"/>
        <v>8596436.1396998111</v>
      </c>
      <c r="K104" s="13">
        <f>'Collections and ACP'!F24</f>
        <v>55968808.33996474</v>
      </c>
      <c r="L104" s="38">
        <f t="shared" si="9"/>
        <v>47372372.200264931</v>
      </c>
      <c r="O104" s="36"/>
    </row>
    <row r="105" spans="2:15" x14ac:dyDescent="0.35">
      <c r="C105" s="180" t="s">
        <v>280</v>
      </c>
      <c r="D105" s="13">
        <f>'Total REC Deliveries'!I22+'Total REC Deliveries'!J22</f>
        <v>0</v>
      </c>
      <c r="E105" s="13">
        <f>'Total REC Deliveries'!H22</f>
        <v>2406391</v>
      </c>
      <c r="F105" s="37">
        <f>'Total REC Deliveries'!L22+'Total REC Deliveries'!M22</f>
        <v>0</v>
      </c>
      <c r="G105" s="13">
        <f>'Total REC Deliveries'!AE21</f>
        <v>379110</v>
      </c>
      <c r="H105" s="13">
        <f>'Total REC Deliveries'!N22+'Total REC Deliveries'!O22+'Total REC Deliveries'!P22</f>
        <v>5334047.5035087224</v>
      </c>
      <c r="I105" s="13">
        <f>'Total REC Deliveries'!Q22</f>
        <v>59857.275492589011</v>
      </c>
      <c r="J105" s="28">
        <f t="shared" si="10"/>
        <v>8179405.7790013114</v>
      </c>
      <c r="K105" s="13">
        <f>'Collections and ACP'!F25</f>
        <v>57495269.951376133</v>
      </c>
      <c r="L105" s="38">
        <f t="shared" si="9"/>
        <v>49315864.172374822</v>
      </c>
      <c r="O105" s="36"/>
    </row>
    <row r="106" spans="2:15" x14ac:dyDescent="0.35">
      <c r="C106" s="180" t="s">
        <v>281</v>
      </c>
      <c r="D106" s="13">
        <f>'Total REC Deliveries'!I23+'Total REC Deliveries'!J23</f>
        <v>0</v>
      </c>
      <c r="E106" s="13">
        <f>'Total REC Deliveries'!H23</f>
        <v>2079542</v>
      </c>
      <c r="F106" s="37">
        <f>'Total REC Deliveries'!L23+'Total REC Deliveries'!M23</f>
        <v>0</v>
      </c>
      <c r="G106" s="13">
        <f>'Total REC Deliveries'!AE22</f>
        <v>379110</v>
      </c>
      <c r="H106" s="13">
        <f>'Total REC Deliveries'!N23+'Total REC Deliveries'!O23+'Total REC Deliveries'!P23</f>
        <v>5313819.5809911788</v>
      </c>
      <c r="I106" s="13">
        <f>'Total REC Deliveries'!Q23</f>
        <v>59557.989115126067</v>
      </c>
      <c r="J106" s="28">
        <f t="shared" si="10"/>
        <v>7832029.5701063052</v>
      </c>
      <c r="K106" s="13">
        <f>'Collections and ACP'!F26</f>
        <v>59011627.267375305</v>
      </c>
      <c r="L106" s="38">
        <f t="shared" si="9"/>
        <v>51179597.697269</v>
      </c>
      <c r="O106" s="36"/>
    </row>
    <row r="107" spans="2:15" x14ac:dyDescent="0.35">
      <c r="C107" s="180" t="s">
        <v>282</v>
      </c>
      <c r="D107" s="13">
        <f>'Total REC Deliveries'!I24+'Total REC Deliveries'!J24</f>
        <v>0</v>
      </c>
      <c r="E107" s="13">
        <f>'Total REC Deliveries'!H24</f>
        <v>1839160</v>
      </c>
      <c r="F107" s="37">
        <f>'Total REC Deliveries'!L24+'Total REC Deliveries'!M24</f>
        <v>0</v>
      </c>
      <c r="G107" s="13">
        <f>'Total REC Deliveries'!AE23</f>
        <v>379110</v>
      </c>
      <c r="H107" s="13">
        <f>'Total REC Deliveries'!N24+'Total REC Deliveries'!O24+'Total REC Deliveries'!P24</f>
        <v>5293692.7980862232</v>
      </c>
      <c r="I107" s="13">
        <f>'Total REC Deliveries'!Q24</f>
        <v>59260.199169550433</v>
      </c>
      <c r="J107" s="28">
        <f t="shared" si="10"/>
        <v>7571222.9972557733</v>
      </c>
      <c r="K107" s="13">
        <f>'Collections and ACP'!F27</f>
        <v>60610591.166864343</v>
      </c>
      <c r="L107" s="38">
        <f t="shared" si="9"/>
        <v>53039368.169608571</v>
      </c>
      <c r="O107" s="36"/>
    </row>
    <row r="108" spans="2:15" x14ac:dyDescent="0.35">
      <c r="C108" s="180" t="s">
        <v>283</v>
      </c>
      <c r="D108" s="13">
        <f>'Total REC Deliveries'!I25+'Total REC Deliveries'!J25</f>
        <v>0</v>
      </c>
      <c r="E108" s="13">
        <f>'Total REC Deliveries'!H25</f>
        <v>1829952</v>
      </c>
      <c r="F108" s="37">
        <f>'Total REC Deliveries'!L25+'Total REC Deliveries'!M25</f>
        <v>0</v>
      </c>
      <c r="G108" s="13">
        <f>'Total REC Deliveries'!AE24</f>
        <v>379110</v>
      </c>
      <c r="H108" s="13">
        <f>'Total REC Deliveries'!N25+'Total REC Deliveries'!O25+'Total REC Deliveries'!P25</f>
        <v>5273666.6490957914</v>
      </c>
      <c r="I108" s="13">
        <f>'Total REC Deliveries'!Q25</f>
        <v>58963.898173702677</v>
      </c>
      <c r="J108" s="28">
        <f t="shared" si="10"/>
        <v>7541692.5472694943</v>
      </c>
      <c r="K108" s="13">
        <f>'Collections and ACP'!F28</f>
        <v>60794608.347521521</v>
      </c>
      <c r="L108" s="38">
        <f t="shared" si="9"/>
        <v>53252915.800252028</v>
      </c>
      <c r="O108" s="36"/>
    </row>
    <row r="109" spans="2:15" x14ac:dyDescent="0.35">
      <c r="C109" s="180" t="s">
        <v>284</v>
      </c>
      <c r="D109" s="13">
        <f>'Total REC Deliveries'!I26+'Total REC Deliveries'!J26</f>
        <v>0</v>
      </c>
      <c r="E109" s="13">
        <f>'Total REC Deliveries'!H26</f>
        <v>1820744</v>
      </c>
      <c r="F109" s="37">
        <f>'Total REC Deliveries'!L26+'Total REC Deliveries'!M26</f>
        <v>0</v>
      </c>
      <c r="G109" s="13">
        <f>'Total REC Deliveries'!AE25</f>
        <v>379110</v>
      </c>
      <c r="H109" s="13">
        <f>'Total REC Deliveries'!N26+'Total REC Deliveries'!O26+'Total REC Deliveries'!P26</f>
        <v>5253740.6308503123</v>
      </c>
      <c r="I109" s="13">
        <f>'Total REC Deliveries'!Q26</f>
        <v>58669.078682834166</v>
      </c>
      <c r="J109" s="28">
        <f t="shared" si="10"/>
        <v>7512263.7095331466</v>
      </c>
      <c r="K109" s="13">
        <f>'Collections and ACP'!F29</f>
        <v>60982050.779746927</v>
      </c>
      <c r="L109" s="38">
        <f t="shared" si="9"/>
        <v>53469787.07021378</v>
      </c>
      <c r="O109" s="36"/>
    </row>
    <row r="110" spans="2:15" x14ac:dyDescent="0.35">
      <c r="D110" s="34"/>
      <c r="E110" s="34"/>
      <c r="F110" s="39"/>
      <c r="G110" s="172"/>
      <c r="H110" s="34"/>
      <c r="I110" s="40"/>
      <c r="J110" s="172"/>
    </row>
    <row r="111" spans="2:15" x14ac:dyDescent="0.35">
      <c r="B111" s="33" t="s">
        <v>301</v>
      </c>
    </row>
    <row r="113" spans="3:11" ht="29" x14ac:dyDescent="0.35">
      <c r="C113" s="15" t="s">
        <v>1</v>
      </c>
      <c r="D113" s="15" t="s">
        <v>302</v>
      </c>
      <c r="E113" s="15" t="s">
        <v>303</v>
      </c>
      <c r="F113" s="15" t="s">
        <v>304</v>
      </c>
      <c r="G113" s="15" t="s">
        <v>202</v>
      </c>
      <c r="H113" s="15" t="s">
        <v>298</v>
      </c>
      <c r="I113" s="15" t="s">
        <v>88</v>
      </c>
      <c r="J113" s="15" t="s">
        <v>300</v>
      </c>
      <c r="K113" s="15" t="s">
        <v>305</v>
      </c>
    </row>
    <row r="114" spans="3:11" x14ac:dyDescent="0.35">
      <c r="C114" s="180" t="s">
        <v>262</v>
      </c>
      <c r="D114" s="13">
        <f t="shared" ref="D114:D136" si="11">D87</f>
        <v>1861725</v>
      </c>
      <c r="E114" s="13">
        <f t="shared" ref="E114:E129" si="12">F87</f>
        <v>754313.29229999997</v>
      </c>
      <c r="F114" s="13">
        <f>E87</f>
        <v>661044</v>
      </c>
      <c r="G114" s="13">
        <f t="shared" ref="G114:H136" si="13">G87</f>
        <v>0</v>
      </c>
      <c r="H114" s="13">
        <f t="shared" si="13"/>
        <v>0</v>
      </c>
      <c r="I114" s="28">
        <f t="shared" ref="I114:I136" si="14">SUM(D114:H114)</f>
        <v>3277082.2922999999</v>
      </c>
      <c r="J114" s="13">
        <f t="shared" ref="J114:J136" si="15">K87-I114</f>
        <v>17872099.866490033</v>
      </c>
      <c r="K114" s="41">
        <v>0.17500000000000004</v>
      </c>
    </row>
    <row r="115" spans="3:11" x14ac:dyDescent="0.35">
      <c r="C115" s="180" t="s">
        <v>263</v>
      </c>
      <c r="D115" s="13">
        <f t="shared" si="11"/>
        <v>1861725</v>
      </c>
      <c r="E115" s="13">
        <f t="shared" si="12"/>
        <v>2992839.5745999999</v>
      </c>
      <c r="F115" s="13">
        <f t="shared" ref="F115:F135" si="16">E88</f>
        <v>1044581</v>
      </c>
      <c r="G115" s="13">
        <f t="shared" si="13"/>
        <v>0</v>
      </c>
      <c r="H115" s="13">
        <f t="shared" si="13"/>
        <v>0</v>
      </c>
      <c r="I115" s="28">
        <f t="shared" si="14"/>
        <v>5899145.5745999999</v>
      </c>
      <c r="J115" s="13">
        <f t="shared" si="15"/>
        <v>16886307.110223208</v>
      </c>
      <c r="K115" s="41">
        <v>0.19000000000000006</v>
      </c>
    </row>
    <row r="116" spans="3:11" x14ac:dyDescent="0.35">
      <c r="C116" s="180" t="s">
        <v>264</v>
      </c>
      <c r="D116" s="13">
        <f t="shared" si="11"/>
        <v>1861725</v>
      </c>
      <c r="E116" s="13">
        <f t="shared" si="12"/>
        <v>4061148.5745999999</v>
      </c>
      <c r="F116" s="13">
        <f t="shared" si="16"/>
        <v>1243726</v>
      </c>
      <c r="G116" s="13">
        <f t="shared" si="13"/>
        <v>0</v>
      </c>
      <c r="H116" s="13">
        <f t="shared" si="13"/>
        <v>0</v>
      </c>
      <c r="I116" s="28">
        <f t="shared" si="14"/>
        <v>7166599.5745999999</v>
      </c>
      <c r="J116" s="13">
        <f t="shared" si="15"/>
        <v>17495377.567767411</v>
      </c>
      <c r="K116" s="41">
        <v>0.20500000000000007</v>
      </c>
    </row>
    <row r="117" spans="3:11" x14ac:dyDescent="0.35">
      <c r="C117" s="180" t="s">
        <v>265</v>
      </c>
      <c r="D117" s="13">
        <f t="shared" si="11"/>
        <v>1861725</v>
      </c>
      <c r="E117" s="13">
        <f t="shared" si="12"/>
        <v>4061148.5745999999</v>
      </c>
      <c r="F117" s="13">
        <f t="shared" si="16"/>
        <v>1863428</v>
      </c>
      <c r="G117" s="13">
        <f t="shared" si="13"/>
        <v>0</v>
      </c>
      <c r="H117" s="13">
        <f t="shared" si="13"/>
        <v>0</v>
      </c>
      <c r="I117" s="28">
        <f t="shared" si="14"/>
        <v>7786301.5745999999</v>
      </c>
      <c r="J117" s="13">
        <f t="shared" si="15"/>
        <v>18236303.813541267</v>
      </c>
      <c r="K117" s="41">
        <v>0.22000000000000008</v>
      </c>
    </row>
    <row r="118" spans="3:11" x14ac:dyDescent="0.35">
      <c r="C118" s="180" t="s">
        <v>266</v>
      </c>
      <c r="D118" s="13">
        <f t="shared" si="11"/>
        <v>1861725</v>
      </c>
      <c r="E118" s="13">
        <f t="shared" si="12"/>
        <v>4061148.5745999999</v>
      </c>
      <c r="F118" s="13">
        <f t="shared" si="16"/>
        <v>2556025</v>
      </c>
      <c r="G118" s="13">
        <f t="shared" si="13"/>
        <v>0</v>
      </c>
      <c r="H118" s="13">
        <f t="shared" si="13"/>
        <v>0</v>
      </c>
      <c r="I118" s="28">
        <f t="shared" si="14"/>
        <v>8478898.5745999999</v>
      </c>
      <c r="J118" s="13">
        <f t="shared" si="15"/>
        <v>19121507.013787385</v>
      </c>
      <c r="K118" s="41">
        <v>0.2350000000000001</v>
      </c>
    </row>
    <row r="119" spans="3:11" x14ac:dyDescent="0.35">
      <c r="C119" s="180" t="s">
        <v>267</v>
      </c>
      <c r="D119" s="13">
        <f t="shared" si="11"/>
        <v>1861725</v>
      </c>
      <c r="E119" s="13">
        <f t="shared" si="12"/>
        <v>4061148.5745999999</v>
      </c>
      <c r="F119" s="13">
        <f t="shared" si="16"/>
        <v>4202552</v>
      </c>
      <c r="G119" s="13">
        <f t="shared" si="13"/>
        <v>379110</v>
      </c>
      <c r="H119" s="13">
        <f t="shared" si="13"/>
        <v>2409391</v>
      </c>
      <c r="I119" s="28">
        <f t="shared" si="14"/>
        <v>12913926.5746</v>
      </c>
      <c r="J119" s="13">
        <f t="shared" si="15"/>
        <v>16088363.460256889</v>
      </c>
      <c r="K119" s="41">
        <v>0.25000000000000011</v>
      </c>
    </row>
    <row r="120" spans="3:11" x14ac:dyDescent="0.35">
      <c r="C120" s="180" t="s">
        <v>268</v>
      </c>
      <c r="D120" s="13">
        <f t="shared" si="11"/>
        <v>1861725</v>
      </c>
      <c r="E120" s="13">
        <f t="shared" si="12"/>
        <v>4061148.5745999999</v>
      </c>
      <c r="F120" s="13">
        <f t="shared" si="16"/>
        <v>4181237</v>
      </c>
      <c r="G120" s="13">
        <f t="shared" si="13"/>
        <v>379110</v>
      </c>
      <c r="H120" s="13">
        <f t="shared" si="13"/>
        <v>4756396.0449999999</v>
      </c>
      <c r="I120" s="28">
        <f t="shared" si="14"/>
        <v>15239616.6196</v>
      </c>
      <c r="J120" s="13">
        <f t="shared" si="15"/>
        <v>17031750.017928444</v>
      </c>
      <c r="K120" s="41">
        <v>0.28000000000000003</v>
      </c>
    </row>
    <row r="121" spans="3:11" x14ac:dyDescent="0.35">
      <c r="C121" s="180" t="s">
        <v>269</v>
      </c>
      <c r="D121" s="13">
        <f t="shared" si="11"/>
        <v>1861725</v>
      </c>
      <c r="E121" s="13">
        <f t="shared" si="12"/>
        <v>4061148.5745999999</v>
      </c>
      <c r="F121" s="13">
        <f t="shared" si="16"/>
        <v>4160141</v>
      </c>
      <c r="G121" s="13">
        <f t="shared" si="13"/>
        <v>379110</v>
      </c>
      <c r="H121" s="13">
        <f t="shared" si="13"/>
        <v>5563377.0647750003</v>
      </c>
      <c r="I121" s="28">
        <f t="shared" si="14"/>
        <v>16025501.639375001</v>
      </c>
      <c r="J121" s="13">
        <f t="shared" si="15"/>
        <v>19642964.462862097</v>
      </c>
      <c r="K121" s="41">
        <v>0.31</v>
      </c>
    </row>
    <row r="122" spans="3:11" x14ac:dyDescent="0.35">
      <c r="C122" s="180" t="s">
        <v>270</v>
      </c>
      <c r="D122" s="13">
        <f t="shared" si="11"/>
        <v>1861725</v>
      </c>
      <c r="E122" s="13">
        <f t="shared" si="12"/>
        <v>4061148.5745999999</v>
      </c>
      <c r="F122" s="13">
        <f t="shared" si="16"/>
        <v>4139272</v>
      </c>
      <c r="G122" s="13">
        <f t="shared" si="13"/>
        <v>379110</v>
      </c>
      <c r="H122" s="13">
        <f t="shared" si="13"/>
        <v>5542002.4944511252</v>
      </c>
      <c r="I122" s="28">
        <f t="shared" si="14"/>
        <v>15983258.069051124</v>
      </c>
      <c r="J122" s="13">
        <f t="shared" si="15"/>
        <v>23236438.510537945</v>
      </c>
      <c r="K122" s="41">
        <v>0.34</v>
      </c>
    </row>
    <row r="123" spans="3:11" x14ac:dyDescent="0.35">
      <c r="C123" s="180" t="s">
        <v>271</v>
      </c>
      <c r="D123" s="13">
        <f t="shared" si="11"/>
        <v>1861725</v>
      </c>
      <c r="E123" s="13">
        <f t="shared" si="12"/>
        <v>4061148.5745999999</v>
      </c>
      <c r="F123" s="13">
        <f t="shared" si="16"/>
        <v>4118527</v>
      </c>
      <c r="G123" s="13">
        <f t="shared" si="13"/>
        <v>379110</v>
      </c>
      <c r="H123" s="13">
        <f t="shared" si="13"/>
        <v>5520734.7969788685</v>
      </c>
      <c r="I123" s="28">
        <f t="shared" si="14"/>
        <v>15941245.371578868</v>
      </c>
      <c r="J123" s="13">
        <f t="shared" si="15"/>
        <v>26773331.134977702</v>
      </c>
      <c r="K123" s="41">
        <v>0.37</v>
      </c>
    </row>
    <row r="124" spans="3:11" x14ac:dyDescent="0.35">
      <c r="C124" s="180" t="s">
        <v>272</v>
      </c>
      <c r="D124" s="13">
        <f t="shared" si="11"/>
        <v>1861725</v>
      </c>
      <c r="E124" s="13">
        <f t="shared" si="12"/>
        <v>4061148.5745999999</v>
      </c>
      <c r="F124" s="13">
        <f t="shared" si="16"/>
        <v>4097889</v>
      </c>
      <c r="G124" s="13">
        <f t="shared" si="13"/>
        <v>379110</v>
      </c>
      <c r="H124" s="13">
        <f t="shared" si="13"/>
        <v>5499573.4379939744</v>
      </c>
      <c r="I124" s="28">
        <f t="shared" si="14"/>
        <v>15899446.012593973</v>
      </c>
      <c r="J124" s="13">
        <f t="shared" si="15"/>
        <v>30551929.946306866</v>
      </c>
      <c r="K124" s="41">
        <v>0.4</v>
      </c>
    </row>
    <row r="125" spans="3:11" x14ac:dyDescent="0.35">
      <c r="C125" s="32" t="s">
        <v>273</v>
      </c>
      <c r="D125" s="13">
        <f t="shared" si="11"/>
        <v>1861725</v>
      </c>
      <c r="E125" s="13">
        <f t="shared" si="12"/>
        <v>4061148.5745999999</v>
      </c>
      <c r="F125" s="13">
        <f t="shared" si="16"/>
        <v>4077425</v>
      </c>
      <c r="G125" s="13">
        <f t="shared" si="13"/>
        <v>379110</v>
      </c>
      <c r="H125" s="13">
        <f t="shared" si="13"/>
        <v>5478517.885804004</v>
      </c>
      <c r="I125" s="28">
        <f t="shared" si="14"/>
        <v>15857926.460404005</v>
      </c>
      <c r="J125" s="13">
        <f t="shared" si="15"/>
        <v>31905119.908597518</v>
      </c>
      <c r="K125" s="41">
        <v>0.40902608000000001</v>
      </c>
    </row>
    <row r="126" spans="3:11" x14ac:dyDescent="0.35">
      <c r="C126" s="180" t="s">
        <v>274</v>
      </c>
      <c r="D126" s="13">
        <f t="shared" si="11"/>
        <v>0</v>
      </c>
      <c r="E126" s="13">
        <f t="shared" si="12"/>
        <v>4061148.5745999999</v>
      </c>
      <c r="F126" s="13">
        <f t="shared" si="16"/>
        <v>4056667</v>
      </c>
      <c r="G126" s="13">
        <f t="shared" si="13"/>
        <v>379110</v>
      </c>
      <c r="H126" s="13">
        <f t="shared" si="13"/>
        <v>5457567.6113749845</v>
      </c>
      <c r="I126" s="28">
        <f t="shared" si="14"/>
        <v>13954493.185974985</v>
      </c>
      <c r="J126" s="13">
        <f t="shared" si="15"/>
        <v>35202656.149648793</v>
      </c>
      <c r="K126" s="41">
        <v>0.41825583530041599</v>
      </c>
    </row>
    <row r="127" spans="3:11" x14ac:dyDescent="0.35">
      <c r="C127" s="180" t="s">
        <v>275</v>
      </c>
      <c r="D127" s="13">
        <f t="shared" si="11"/>
        <v>0</v>
      </c>
      <c r="E127" s="13">
        <f t="shared" si="12"/>
        <v>3631148.5745999999</v>
      </c>
      <c r="F127" s="13">
        <f t="shared" si="16"/>
        <v>4036092</v>
      </c>
      <c r="G127" s="13">
        <f t="shared" si="13"/>
        <v>379110</v>
      </c>
      <c r="H127" s="13">
        <f t="shared" si="13"/>
        <v>5436722.0883181095</v>
      </c>
      <c r="I127" s="28">
        <f t="shared" si="14"/>
        <v>13483072.662918109</v>
      </c>
      <c r="J127" s="13">
        <f t="shared" si="15"/>
        <v>36939381.390489146</v>
      </c>
      <c r="K127" s="41">
        <v>0.42769386187513697</v>
      </c>
    </row>
    <row r="128" spans="3:11" x14ac:dyDescent="0.35">
      <c r="C128" s="180" t="s">
        <v>276</v>
      </c>
      <c r="D128" s="13">
        <f t="shared" si="11"/>
        <v>0</v>
      </c>
      <c r="E128" s="13">
        <f t="shared" si="12"/>
        <v>3631148.5745999999</v>
      </c>
      <c r="F128" s="13">
        <f t="shared" si="16"/>
        <v>3472073</v>
      </c>
      <c r="G128" s="13">
        <f t="shared" si="13"/>
        <v>379110</v>
      </c>
      <c r="H128" s="13">
        <f t="shared" si="13"/>
        <v>5415980.7928765193</v>
      </c>
      <c r="I128" s="28">
        <f t="shared" si="14"/>
        <v>12898312.367476519</v>
      </c>
      <c r="J128" s="13">
        <f t="shared" si="15"/>
        <v>38921086.625323713</v>
      </c>
      <c r="K128" s="41">
        <v>0.43734485940712181</v>
      </c>
    </row>
    <row r="129" spans="2:32" x14ac:dyDescent="0.35">
      <c r="C129" s="180" t="s">
        <v>277</v>
      </c>
      <c r="D129" s="13">
        <f t="shared" si="11"/>
        <v>0</v>
      </c>
      <c r="E129" s="13">
        <f t="shared" si="12"/>
        <v>3324562.2823000001</v>
      </c>
      <c r="F129" s="13">
        <f t="shared" si="16"/>
        <v>3382692</v>
      </c>
      <c r="G129" s="13">
        <f t="shared" si="13"/>
        <v>379110</v>
      </c>
      <c r="H129" s="13">
        <f t="shared" si="13"/>
        <v>5395343.2039121371</v>
      </c>
      <c r="I129" s="28">
        <f t="shared" si="14"/>
        <v>12481707.486212138</v>
      </c>
      <c r="J129" s="13">
        <f t="shared" si="15"/>
        <v>40701450.348272488</v>
      </c>
      <c r="K129" s="41">
        <v>0.44721363362861538</v>
      </c>
    </row>
    <row r="130" spans="2:32" x14ac:dyDescent="0.35">
      <c r="C130" s="180" t="s">
        <v>278</v>
      </c>
      <c r="D130" s="13">
        <f t="shared" si="11"/>
        <v>0</v>
      </c>
      <c r="E130" s="13">
        <f t="shared" ref="E130:E136" si="17">F103</f>
        <v>0</v>
      </c>
      <c r="F130" s="13">
        <f t="shared" si="16"/>
        <v>3007068</v>
      </c>
      <c r="G130" s="13">
        <f t="shared" si="13"/>
        <v>379110</v>
      </c>
      <c r="H130" s="13">
        <f t="shared" si="13"/>
        <v>5374808.802892576</v>
      </c>
      <c r="I130" s="28">
        <f t="shared" si="14"/>
        <v>8760986.8028925769</v>
      </c>
      <c r="J130" s="13">
        <f t="shared" si="15"/>
        <v>45858829.372126058</v>
      </c>
      <c r="K130" s="41">
        <v>0.45730509871417185</v>
      </c>
    </row>
    <row r="131" spans="2:32" x14ac:dyDescent="0.35">
      <c r="C131" s="180" t="s">
        <v>279</v>
      </c>
      <c r="D131" s="13">
        <f t="shared" si="11"/>
        <v>0</v>
      </c>
      <c r="E131" s="13">
        <f t="shared" si="17"/>
        <v>0</v>
      </c>
      <c r="F131" s="13">
        <f t="shared" si="16"/>
        <v>2802791</v>
      </c>
      <c r="G131" s="13">
        <f t="shared" si="13"/>
        <v>379110</v>
      </c>
      <c r="H131" s="13">
        <f t="shared" si="13"/>
        <v>5354377.0738781132</v>
      </c>
      <c r="I131" s="28">
        <f t="shared" si="14"/>
        <v>8536278.0738781132</v>
      </c>
      <c r="J131" s="13">
        <f t="shared" si="15"/>
        <v>47432530.266086623</v>
      </c>
      <c r="K131" s="41">
        <v>0.46762427972767689</v>
      </c>
    </row>
    <row r="132" spans="2:32" x14ac:dyDescent="0.35">
      <c r="C132" s="180" t="s">
        <v>280</v>
      </c>
      <c r="D132" s="13">
        <f t="shared" si="11"/>
        <v>0</v>
      </c>
      <c r="E132" s="13">
        <f t="shared" si="17"/>
        <v>0</v>
      </c>
      <c r="F132" s="13">
        <f t="shared" si="16"/>
        <v>2406391</v>
      </c>
      <c r="G132" s="13">
        <f t="shared" si="13"/>
        <v>379110</v>
      </c>
      <c r="H132" s="13">
        <f t="shared" si="13"/>
        <v>5334047.5035087224</v>
      </c>
      <c r="I132" s="28">
        <f t="shared" si="14"/>
        <v>8119548.5035087224</v>
      </c>
      <c r="J132" s="13">
        <f t="shared" si="15"/>
        <v>49375721.447867408</v>
      </c>
      <c r="K132" s="41">
        <v>0.47817631512458791</v>
      </c>
    </row>
    <row r="133" spans="2:32" x14ac:dyDescent="0.35">
      <c r="C133" s="180" t="s">
        <v>281</v>
      </c>
      <c r="D133" s="13">
        <f t="shared" si="11"/>
        <v>0</v>
      </c>
      <c r="E133" s="13">
        <f t="shared" si="17"/>
        <v>0</v>
      </c>
      <c r="F133" s="13">
        <f t="shared" si="16"/>
        <v>2079542</v>
      </c>
      <c r="G133" s="13">
        <f t="shared" si="13"/>
        <v>379110</v>
      </c>
      <c r="H133" s="13">
        <f t="shared" si="13"/>
        <v>5313819.5809911788</v>
      </c>
      <c r="I133" s="28">
        <f t="shared" si="14"/>
        <v>7772471.5809911788</v>
      </c>
      <c r="J133" s="13">
        <f t="shared" si="15"/>
        <v>51239155.686384127</v>
      </c>
      <c r="K133" s="41">
        <v>0.48896645931063754</v>
      </c>
    </row>
    <row r="134" spans="2:32" x14ac:dyDescent="0.35">
      <c r="C134" s="180" t="s">
        <v>282</v>
      </c>
      <c r="D134" s="13">
        <f t="shared" si="11"/>
        <v>0</v>
      </c>
      <c r="E134" s="13">
        <f t="shared" si="17"/>
        <v>0</v>
      </c>
      <c r="F134" s="13">
        <f t="shared" si="16"/>
        <v>1839160</v>
      </c>
      <c r="G134" s="13">
        <f t="shared" si="13"/>
        <v>379110</v>
      </c>
      <c r="H134" s="13">
        <f t="shared" si="13"/>
        <v>5293692.7980862232</v>
      </c>
      <c r="I134" s="28">
        <f t="shared" si="14"/>
        <v>7511962.7980862232</v>
      </c>
      <c r="J134" s="13">
        <f t="shared" si="15"/>
        <v>53098628.368778117</v>
      </c>
      <c r="K134" s="41">
        <v>0.50000008525827411</v>
      </c>
    </row>
    <row r="135" spans="2:32" x14ac:dyDescent="0.35">
      <c r="C135" s="180" t="s">
        <v>283</v>
      </c>
      <c r="D135" s="13">
        <f t="shared" si="11"/>
        <v>0</v>
      </c>
      <c r="E135" s="13">
        <f t="shared" si="17"/>
        <v>0</v>
      </c>
      <c r="F135" s="13">
        <f t="shared" si="16"/>
        <v>1829952</v>
      </c>
      <c r="G135" s="13">
        <f t="shared" si="13"/>
        <v>379110</v>
      </c>
      <c r="H135" s="13">
        <f t="shared" si="13"/>
        <v>5273666.6490957914</v>
      </c>
      <c r="I135" s="28">
        <f t="shared" si="14"/>
        <v>7482728.6490957914</v>
      </c>
      <c r="J135" s="13">
        <f t="shared" si="15"/>
        <v>53311879.698425733</v>
      </c>
      <c r="K135" s="41">
        <v>0.5</v>
      </c>
    </row>
    <row r="136" spans="2:32" x14ac:dyDescent="0.35">
      <c r="C136" s="180" t="s">
        <v>284</v>
      </c>
      <c r="D136" s="13">
        <f t="shared" si="11"/>
        <v>0</v>
      </c>
      <c r="E136" s="13">
        <f t="shared" si="17"/>
        <v>0</v>
      </c>
      <c r="F136" s="13"/>
      <c r="G136" s="13">
        <f t="shared" si="13"/>
        <v>379110</v>
      </c>
      <c r="H136" s="13">
        <f t="shared" si="13"/>
        <v>5253740.6308503123</v>
      </c>
      <c r="I136" s="28">
        <f t="shared" si="14"/>
        <v>5632850.6308503123</v>
      </c>
      <c r="J136" s="13">
        <f t="shared" si="15"/>
        <v>55349200.148896612</v>
      </c>
      <c r="K136" s="41">
        <v>0.5</v>
      </c>
    </row>
    <row r="138" spans="2:32" x14ac:dyDescent="0.35">
      <c r="B138" s="33" t="s">
        <v>306</v>
      </c>
    </row>
    <row r="140" spans="2:32" ht="43.5" x14ac:dyDescent="0.35">
      <c r="C140" s="15" t="s">
        <v>1</v>
      </c>
      <c r="D140" s="15" t="s">
        <v>197</v>
      </c>
      <c r="E140" s="15" t="s">
        <v>307</v>
      </c>
      <c r="F140" s="15" t="s">
        <v>308</v>
      </c>
      <c r="G140" s="15" t="s">
        <v>309</v>
      </c>
      <c r="J140" s="1"/>
      <c r="K140" s="180" t="s">
        <v>266</v>
      </c>
      <c r="L140" s="180" t="s">
        <v>267</v>
      </c>
      <c r="M140" s="180" t="s">
        <v>268</v>
      </c>
      <c r="N140" s="180" t="s">
        <v>269</v>
      </c>
      <c r="O140" s="180" t="s">
        <v>270</v>
      </c>
      <c r="P140" s="180" t="s">
        <v>271</v>
      </c>
      <c r="Q140" s="180" t="s">
        <v>272</v>
      </c>
      <c r="R140" s="32" t="s">
        <v>273</v>
      </c>
      <c r="S140" s="180" t="s">
        <v>274</v>
      </c>
      <c r="T140" s="180" t="s">
        <v>275</v>
      </c>
      <c r="U140" s="180" t="s">
        <v>276</v>
      </c>
      <c r="V140" s="180" t="s">
        <v>277</v>
      </c>
      <c r="W140" s="180" t="s">
        <v>278</v>
      </c>
      <c r="X140" s="180" t="s">
        <v>279</v>
      </c>
      <c r="Y140" s="180" t="s">
        <v>280</v>
      </c>
      <c r="Z140" s="180" t="s">
        <v>281</v>
      </c>
      <c r="AA140" s="180" t="s">
        <v>282</v>
      </c>
      <c r="AB140" s="180" t="s">
        <v>283</v>
      </c>
      <c r="AC140" s="180" t="s">
        <v>284</v>
      </c>
      <c r="AD140" s="180" t="s">
        <v>310</v>
      </c>
      <c r="AE140" s="180" t="s">
        <v>311</v>
      </c>
    </row>
    <row r="141" spans="2:32" x14ac:dyDescent="0.35">
      <c r="C141" s="180" t="s">
        <v>262</v>
      </c>
      <c r="D141" s="181">
        <f>'REC Spend projected'!O4</f>
        <v>11261800.036503479</v>
      </c>
      <c r="E141" s="181">
        <f>'REC Spend projected'!N4</f>
        <v>0</v>
      </c>
      <c r="F141" s="181">
        <f>'REC Spend projected'!M4</f>
        <v>6757080.0219020871</v>
      </c>
      <c r="G141" s="181">
        <f>D141+E141+F141</f>
        <v>18018880.058405567</v>
      </c>
      <c r="J141" t="s">
        <v>186</v>
      </c>
      <c r="K141" s="185" cm="1">
        <f t="array" ref="K141:AE141">TRANSPOSE(I114:I134)</f>
        <v>3277082.2922999999</v>
      </c>
      <c r="L141" s="185">
        <v>5899145.5745999999</v>
      </c>
      <c r="M141" s="185">
        <v>7166599.5745999999</v>
      </c>
      <c r="N141" s="185">
        <v>7786301.5745999999</v>
      </c>
      <c r="O141" s="185">
        <v>8478898.5745999999</v>
      </c>
      <c r="P141" s="185">
        <v>12913926.5746</v>
      </c>
      <c r="Q141" s="185">
        <v>15239616.6196</v>
      </c>
      <c r="R141" s="185">
        <v>16025501.639375001</v>
      </c>
      <c r="S141" s="185">
        <v>15983258.069051124</v>
      </c>
      <c r="T141" s="185">
        <v>15941245.371578868</v>
      </c>
      <c r="U141" s="185">
        <v>15899446.012593973</v>
      </c>
      <c r="V141" s="185">
        <v>15857926.460404005</v>
      </c>
      <c r="W141" s="185">
        <v>13954493.185974985</v>
      </c>
      <c r="X141" s="185">
        <v>13483072.662918109</v>
      </c>
      <c r="Y141" s="185">
        <v>12898312.367476519</v>
      </c>
      <c r="Z141" s="185">
        <v>12481707.486212138</v>
      </c>
      <c r="AA141" s="185">
        <v>8760986.8028925769</v>
      </c>
      <c r="AB141" s="185">
        <v>8536278.0738781132</v>
      </c>
      <c r="AC141" s="185">
        <v>8119548.5035087224</v>
      </c>
      <c r="AD141" s="185">
        <v>7772471.5809911788</v>
      </c>
      <c r="AE141" s="185">
        <v>7511962.7980862232</v>
      </c>
    </row>
    <row r="142" spans="2:32" x14ac:dyDescent="0.35">
      <c r="C142" s="180" t="s">
        <v>263</v>
      </c>
      <c r="D142" s="181">
        <f>'REC Spend projected'!O5</f>
        <v>50000000</v>
      </c>
      <c r="E142" s="181">
        <f>'REC Spend projected'!N5</f>
        <v>10000000</v>
      </c>
      <c r="F142" s="181">
        <f>'REC Spend projected'!M5</f>
        <v>13942135.092404015</v>
      </c>
      <c r="G142" s="181">
        <f t="shared" ref="G142:G163" si="18">D142+E142+F142</f>
        <v>73942135.092404008</v>
      </c>
      <c r="J142" s="183" t="s">
        <v>92</v>
      </c>
      <c r="K142" s="200"/>
      <c r="L142" s="185">
        <f>'Projected ABP RECs'!C174</f>
        <v>459048.1391372768</v>
      </c>
      <c r="M142" s="185">
        <f>'Projected ABP RECs'!D174</f>
        <v>456752.89844159037</v>
      </c>
      <c r="N142" s="185">
        <f>'Projected ABP RECs'!E174+'Indexed REC Activities'!I90</f>
        <v>2811221.1339493822</v>
      </c>
      <c r="O142" s="185">
        <f>'Projected ABP RECs'!F174+'Indexed REC Activities'!J90</f>
        <v>3625628.0282796351</v>
      </c>
      <c r="P142" s="185">
        <f>'Projected ABP RECs'!G174+'Indexed REC Activities'!K90</f>
        <v>3611642.2031382374</v>
      </c>
      <c r="Q142" s="185">
        <f>'Projected ABP RECs'!H174+'Indexed REC Activities'!L90</f>
        <v>3597726.3071225462</v>
      </c>
      <c r="R142" s="185">
        <f>'Projected ABP RECs'!I174+'Indexed REC Activities'!M90</f>
        <v>3583879.9905869337</v>
      </c>
      <c r="S142" s="185">
        <f>'Projected ABP RECs'!J174+'Indexed REC Activities'!N90</f>
        <v>3570102.9056339986</v>
      </c>
      <c r="T142" s="185">
        <f>'Projected ABP RECs'!K174+'Indexed REC Activities'!O90</f>
        <v>3556394.7061058288</v>
      </c>
      <c r="U142" s="185">
        <f>'Projected ABP RECs'!L174+'Indexed REC Activities'!P90</f>
        <v>3542755.0475752992</v>
      </c>
      <c r="V142" s="185">
        <f>'Projected ABP RECs'!M174+'Indexed REC Activities'!Q90</f>
        <v>3529183.5873374222</v>
      </c>
      <c r="W142" s="185">
        <f>'Projected ABP RECs'!N174+'Indexed REC Activities'!R90</f>
        <v>3515679.9844007352</v>
      </c>
      <c r="X142" s="185">
        <f>'Projected ABP RECs'!O174+'Indexed REC Activities'!S90</f>
        <v>3502243.8994787317</v>
      </c>
      <c r="Y142" s="185">
        <f>'Projected ABP RECs'!P174+'Indexed REC Activities'!T90</f>
        <v>3488874.9949813383</v>
      </c>
      <c r="Z142" s="185">
        <f>'Projected ABP RECs'!Q174+'Indexed REC Activities'!U90</f>
        <v>3475572.9350064318</v>
      </c>
      <c r="AA142" s="185">
        <f>'Projected ABP RECs'!R174+'Indexed REC Activities'!V90</f>
        <v>3036538.5762738632</v>
      </c>
      <c r="AB142" s="185">
        <f>'Projected ABP RECs'!S174+'Indexed REC Activities'!W90</f>
        <v>3025498.1983924941</v>
      </c>
      <c r="AC142" s="185">
        <f>'Projected ABP RECs'!T174+'Indexed REC Activities'!X90</f>
        <v>3014513.0224005319</v>
      </c>
      <c r="AD142" s="185">
        <f>'Projected ABP RECs'!U174+'Indexed REC Activities'!Y90</f>
        <v>3003582.7722885292</v>
      </c>
      <c r="AE142" s="185" t="e">
        <f>'Projected ABP RECs'!#REF!+'Indexed REC Activities'!Z90</f>
        <v>#REF!</v>
      </c>
    </row>
    <row r="143" spans="2:32" x14ac:dyDescent="0.35">
      <c r="C143" s="180" t="s">
        <v>264</v>
      </c>
      <c r="D143" s="181">
        <f>'REC Spend projected'!O6</f>
        <v>50000000</v>
      </c>
      <c r="E143" s="181">
        <f>'REC Spend projected'!N6</f>
        <v>0</v>
      </c>
      <c r="F143" s="181">
        <f>'REC Spend projected'!M6</f>
        <v>17623889.800951708</v>
      </c>
      <c r="G143" s="181">
        <f t="shared" si="18"/>
        <v>67623889.800951704</v>
      </c>
      <c r="J143" s="1" t="s">
        <v>93</v>
      </c>
      <c r="L143" s="185">
        <f>'Projected ABP RECs'!C175</f>
        <v>602273.92248011334</v>
      </c>
      <c r="M143" s="185">
        <f>'Projected ABP RECs'!D175</f>
        <v>1507773.8455118262</v>
      </c>
      <c r="N143" s="185">
        <f>'Projected ABP RECs'!E175</f>
        <v>1806472.3464482669</v>
      </c>
      <c r="O143" s="185">
        <f>'Projected ABP RECs'!F175+'Indexed REC Activities'!J91</f>
        <v>9450769.9847160261</v>
      </c>
      <c r="P143" s="185">
        <f>'Projected ABP RECs'!G175+'Indexed REC Activities'!K91</f>
        <v>13519682.794792445</v>
      </c>
      <c r="Q143" s="185">
        <f>'Projected ABP RECs'!H175+'Indexed REC Activities'!L91</f>
        <v>13495751.040818483</v>
      </c>
      <c r="R143" s="185">
        <f>'Projected ABP RECs'!I175+'Indexed REC Activities'!M91</f>
        <v>13471938.94561439</v>
      </c>
      <c r="S143" s="185">
        <f>'Projected ABP RECs'!J175+'Indexed REC Activities'!N91</f>
        <v>13448245.910886317</v>
      </c>
      <c r="T143" s="185">
        <f>'Projected ABP RECs'!K175+'Indexed REC Activities'!O91</f>
        <v>13424671.341331886</v>
      </c>
      <c r="U143" s="185">
        <f>'Projected ABP RECs'!L175+'Indexed REC Activities'!P91</f>
        <v>13401214.644625228</v>
      </c>
      <c r="V143" s="185">
        <f>'Projected ABP RECs'!M175+'Indexed REC Activities'!Q91</f>
        <v>13377875.231402103</v>
      </c>
      <c r="W143" s="185">
        <f>'Projected ABP RECs'!N175+'Indexed REC Activities'!R91</f>
        <v>13354652.515245091</v>
      </c>
      <c r="X143" s="185">
        <f>'Projected ABP RECs'!O175+'Indexed REC Activities'!S91</f>
        <v>13331545.912668865</v>
      </c>
      <c r="Y143" s="185">
        <f>'Projected ABP RECs'!P175+'Indexed REC Activities'!T91</f>
        <v>13308554.843105521</v>
      </c>
      <c r="Z143" s="185">
        <f>'Projected ABP RECs'!Q175+'Indexed REC Activities'!U91</f>
        <v>13285678.728889994</v>
      </c>
      <c r="AA143" s="185">
        <f>'Projected ABP RECs'!R175+'Indexed REC Activities'!V91</f>
        <v>12823386.770203095</v>
      </c>
      <c r="AB143" s="185">
        <f>'Projected ABP RECs'!S175+'Indexed REC Activities'!W91</f>
        <v>12326753.847870059</v>
      </c>
      <c r="AC143" s="185">
        <f>'Projected ABP RECs'!T175+'Indexed REC Activities'!X91</f>
        <v>12272134.31519114</v>
      </c>
      <c r="AD143" s="185">
        <f>'Projected ABP RECs'!U175+'Indexed REC Activities'!Y91</f>
        <v>12254440.303615185</v>
      </c>
      <c r="AE143" s="185" t="e">
        <f>'Projected ABP RECs'!#REF!+'Indexed REC Activities'!Z91</f>
        <v>#REF!</v>
      </c>
      <c r="AF143" s="185"/>
    </row>
    <row r="144" spans="2:32" x14ac:dyDescent="0.35">
      <c r="C144" s="180" t="s">
        <v>265</v>
      </c>
      <c r="D144" s="181">
        <f>'REC Spend projected'!O7</f>
        <v>50000000</v>
      </c>
      <c r="E144" s="181">
        <f>'REC Spend projected'!N7</f>
        <v>0</v>
      </c>
      <c r="F144" s="181">
        <f>'REC Spend projected'!M7</f>
        <v>17322647.088471591</v>
      </c>
      <c r="G144" s="181">
        <f t="shared" si="18"/>
        <v>67322647.088471591</v>
      </c>
      <c r="J144" s="1" t="s">
        <v>94</v>
      </c>
      <c r="L144" s="185">
        <f>'Projected ABP RECs'!C176</f>
        <v>0</v>
      </c>
      <c r="M144" s="185">
        <f>'Projected ABP RECs'!D176</f>
        <v>0</v>
      </c>
      <c r="N144" s="185">
        <f>'Projected ABP RECs'!E176</f>
        <v>602273.92248011334</v>
      </c>
      <c r="O144" s="185">
        <f>'Projected ABP RECs'!F176+'Indexed REC Activities'!J92</f>
        <v>1507773.8455118262</v>
      </c>
      <c r="P144" s="185">
        <f>'Projected ABP RECs'!G176+'Indexed REC Activities'!K92</f>
        <v>1806472.3464482669</v>
      </c>
      <c r="Q144" s="185">
        <f>'Projected ABP RECs'!H176+'Indexed REC Activities'!L92</f>
        <v>5882439.9847160261</v>
      </c>
      <c r="R144" s="185">
        <f>'Projected ABP RECs'!I176+'Indexed REC Activities'!M92</f>
        <v>9950527.7847924456</v>
      </c>
      <c r="S144" s="185">
        <f>'Projected ABP RECs'!J176+'Indexed REC Activities'!N92</f>
        <v>9925775.1458684839</v>
      </c>
      <c r="T144" s="185">
        <f>'Projected ABP RECs'!K176+'Indexed REC Activities'!O92</f>
        <v>9901146.270139141</v>
      </c>
      <c r="U144" s="185">
        <f>'Projected ABP RECs'!L176+'Indexed REC Activities'!P92</f>
        <v>9876640.5387884453</v>
      </c>
      <c r="V144" s="185">
        <f>'Projected ABP RECs'!M176+'Indexed REC Activities'!Q92</f>
        <v>9852257.3360945024</v>
      </c>
      <c r="W144" s="185">
        <f>'Projected ABP RECs'!N176+'Indexed REC Activities'!R92</f>
        <v>9827996.0494140312</v>
      </c>
      <c r="X144" s="185">
        <f>'Projected ABP RECs'!O176+'Indexed REC Activities'!S92</f>
        <v>9803856.0691669602</v>
      </c>
      <c r="Y144" s="185">
        <f>'Projected ABP RECs'!P176+'Indexed REC Activities'!T92</f>
        <v>9779836.7888211254</v>
      </c>
      <c r="Z144" s="185">
        <f>'Projected ABP RECs'!Q176+'Indexed REC Activities'!U92</f>
        <v>9755937.6048770212</v>
      </c>
      <c r="AA144" s="185">
        <f>'Projected ABP RECs'!R176+'Indexed REC Activities'!V92</f>
        <v>9732157.9168526344</v>
      </c>
      <c r="AB144" s="185">
        <f>'Projected ABP RECs'!S176+'Indexed REC Activities'!W92</f>
        <v>9708497.1272683721</v>
      </c>
      <c r="AC144" s="185">
        <f>'Projected ABP RECs'!T176+'Indexed REC Activities'!X92</f>
        <v>9245424.4165895805</v>
      </c>
      <c r="AD144" s="185">
        <f>'Projected ABP RECs'!U176+'Indexed REC Activities'!Y92</f>
        <v>8748014.6460246146</v>
      </c>
      <c r="AE144" s="185" t="e">
        <f>'Projected ABP RECs'!#REF!+'Indexed REC Activities'!Z92</f>
        <v>#REF!</v>
      </c>
      <c r="AF144" s="185"/>
    </row>
    <row r="145" spans="3:32" x14ac:dyDescent="0.35">
      <c r="C145" s="180" t="s">
        <v>266</v>
      </c>
      <c r="D145" s="181">
        <f>'REC Spend projected'!O8</f>
        <v>50000000</v>
      </c>
      <c r="E145" s="181">
        <f>'REC Spend projected'!N8</f>
        <v>10000000</v>
      </c>
      <c r="F145" s="181">
        <f>'REC Spend projected'!M8</f>
        <v>17208829.557390258</v>
      </c>
      <c r="G145" s="181">
        <f t="shared" si="18"/>
        <v>77208829.557390258</v>
      </c>
      <c r="J145" s="1" t="s">
        <v>95</v>
      </c>
      <c r="L145" s="185">
        <f>'Projected ABP RECs'!C177</f>
        <v>0</v>
      </c>
      <c r="M145" s="185">
        <f>'Projected ABP RECs'!D177</f>
        <v>0</v>
      </c>
      <c r="N145" s="185">
        <f>'Projected ABP RECs'!E177</f>
        <v>0</v>
      </c>
      <c r="O145" s="185">
        <f>'Projected ABP RECs'!F177+'Indexed REC Activities'!J93</f>
        <v>0</v>
      </c>
      <c r="P145" s="185">
        <f>'Projected ABP RECs'!G177+'Indexed REC Activities'!K93</f>
        <v>602273.92248011334</v>
      </c>
      <c r="Q145" s="185">
        <f>'Projected ABP RECs'!H177+'Indexed REC Activities'!L93</f>
        <v>1507773.8455118262</v>
      </c>
      <c r="R145" s="185">
        <f>'Projected ABP RECs'!I177+'Indexed REC Activities'!M93</f>
        <v>1806472.3464482669</v>
      </c>
      <c r="S145" s="185">
        <f>'Projected ABP RECs'!J177+'Indexed REC Activities'!N93</f>
        <v>5382439.9847160261</v>
      </c>
      <c r="T145" s="185">
        <f>'Projected ABP RECs'!K177+'Indexed REC Activities'!O93</f>
        <v>8953027.7847924456</v>
      </c>
      <c r="U145" s="185">
        <f>'Projected ABP RECs'!L177+'Indexed REC Activities'!P93</f>
        <v>7433262.6458684839</v>
      </c>
      <c r="V145" s="185">
        <f>'Projected ABP RECs'!M177+'Indexed REC Activities'!Q93</f>
        <v>7413596.332639141</v>
      </c>
      <c r="W145" s="185">
        <f>'Projected ABP RECs'!N177+'Indexed REC Activities'!R93</f>
        <v>7394028.3509759447</v>
      </c>
      <c r="X145" s="185">
        <f>'Projected ABP RECs'!O177+'Indexed REC Activities'!S93</f>
        <v>7374558.209221065</v>
      </c>
      <c r="Y145" s="185">
        <f>'Projected ABP RECs'!P177+'Indexed REC Activities'!T93</f>
        <v>7355185.4181749597</v>
      </c>
      <c r="Z145" s="185">
        <f>'Projected ABP RECs'!Q177+'Indexed REC Activities'!U93</f>
        <v>7335909.4910840848</v>
      </c>
      <c r="AA145" s="185">
        <f>'Projected ABP RECs'!R177+'Indexed REC Activities'!V93</f>
        <v>7316729.9436286651</v>
      </c>
      <c r="AB145" s="185">
        <f>'Projected ABP RECs'!S177+'Indexed REC Activities'!W93</f>
        <v>7297646.2939105211</v>
      </c>
      <c r="AC145" s="185">
        <f>'Projected ABP RECs'!T177+'Indexed REC Activities'!X93</f>
        <v>7278658.062440969</v>
      </c>
      <c r="AD145" s="185">
        <f>'Projected ABP RECs'!U177+'Indexed REC Activities'!Y93</f>
        <v>7259764.7721287645</v>
      </c>
      <c r="AE145" s="185" t="e">
        <f>'Projected ABP RECs'!#REF!+'Indexed REC Activities'!Z93</f>
        <v>#REF!</v>
      </c>
      <c r="AF145" s="185"/>
    </row>
    <row r="146" spans="3:32" x14ac:dyDescent="0.35">
      <c r="C146" s="180" t="s">
        <v>267</v>
      </c>
      <c r="D146" s="181">
        <f>'REC Spend projected'!O9</f>
        <v>50000000</v>
      </c>
      <c r="E146" s="181">
        <f>'REC Spend projected'!N9</f>
        <v>0</v>
      </c>
      <c r="F146" s="181">
        <f>'REC Spend projected'!M9</f>
        <v>16997493.39059734</v>
      </c>
      <c r="G146" s="181">
        <f t="shared" si="18"/>
        <v>66997493.390597343</v>
      </c>
      <c r="J146" s="1" t="s">
        <v>96</v>
      </c>
      <c r="L146" s="185">
        <f>'Projected ABP RECs'!C178</f>
        <v>0</v>
      </c>
      <c r="M146" s="185">
        <f>'Projected ABP RECs'!D178</f>
        <v>0</v>
      </c>
      <c r="N146" s="185">
        <f>'Projected ABP RECs'!E178</f>
        <v>0</v>
      </c>
      <c r="O146" s="185">
        <f>'Projected ABP RECs'!F178+'Indexed REC Activities'!J94</f>
        <v>0</v>
      </c>
      <c r="P146" s="185">
        <f>'Projected ABP RECs'!G178+'Indexed REC Activities'!K94</f>
        <v>0</v>
      </c>
      <c r="Q146" s="185">
        <f>'Projected ABP RECs'!H178+'Indexed REC Activities'!L94</f>
        <v>0</v>
      </c>
      <c r="R146" s="185">
        <f>'Projected ABP RECs'!I178+'Indexed REC Activities'!M94</f>
        <v>569202.00562930212</v>
      </c>
      <c r="S146" s="185">
        <f>'Projected ABP RECs'!J178+'Indexed REC Activities'!N94</f>
        <v>1481309.8707704577</v>
      </c>
      <c r="T146" s="185">
        <f>'Projected ABP RECs'!K178+'Indexed REC Activities'!O94</f>
        <v>1819655.1909566054</v>
      </c>
      <c r="U146" s="185">
        <f>'Projected ABP RECs'!L178+'Indexed REC Activities'!P94</f>
        <v>3610556.9150018226</v>
      </c>
      <c r="V146" s="185">
        <f>'Projected ABP RECs'!M178+'Indexed REC Activities'!Q94</f>
        <v>5397504.1304268129</v>
      </c>
      <c r="W146" s="185">
        <f>'Projected ABP RECs'!N178+'Indexed REC Activities'!R94</f>
        <v>6880516.6097746789</v>
      </c>
      <c r="X146" s="185">
        <f>'Projected ABP RECs'!O178+'Indexed REC Activities'!S94</f>
        <v>5363614.0267258063</v>
      </c>
      <c r="Y146" s="185">
        <f>'Projected ABP RECs'!P178+'Indexed REC Activities'!T94</f>
        <v>5346795.956592177</v>
      </c>
      <c r="Z146" s="185">
        <f>'Projected ABP RECs'!Q178+'Indexed REC Activities'!U94</f>
        <v>5330061.9768092167</v>
      </c>
      <c r="AA146" s="185">
        <f>'Projected ABP RECs'!R178+'Indexed REC Activities'!V94</f>
        <v>5313411.6669251705</v>
      </c>
      <c r="AB146" s="185">
        <f>'Projected ABP RECs'!S178+'Indexed REC Activities'!W94</f>
        <v>5296844.6085905442</v>
      </c>
      <c r="AC146" s="185">
        <f>'Projected ABP RECs'!T178+'Indexed REC Activities'!X94</f>
        <v>5280360.3855475914</v>
      </c>
      <c r="AD146" s="185">
        <f>'Projected ABP RECs'!U178+'Indexed REC Activities'!Y94</f>
        <v>5263958.5836198535</v>
      </c>
      <c r="AE146" s="185" t="e">
        <f>'Projected ABP RECs'!#REF!+'Indexed REC Activities'!Z94</f>
        <v>#REF!</v>
      </c>
      <c r="AF146" s="185"/>
    </row>
    <row r="147" spans="3:32" x14ac:dyDescent="0.35">
      <c r="C147" s="180" t="s">
        <v>268</v>
      </c>
      <c r="D147" s="181">
        <f>'REC Spend projected'!O10</f>
        <v>50000000</v>
      </c>
      <c r="E147" s="181">
        <f>'REC Spend projected'!N10</f>
        <v>0</v>
      </c>
      <c r="F147" s="181">
        <f>'REC Spend projected'!M10</f>
        <v>16888811.399599317</v>
      </c>
      <c r="G147" s="181">
        <f t="shared" si="18"/>
        <v>66888811.399599314</v>
      </c>
      <c r="J147" s="1" t="s">
        <v>97</v>
      </c>
      <c r="L147" s="185">
        <f>'Projected ABP RECs'!C179</f>
        <v>0</v>
      </c>
      <c r="M147" s="185">
        <f>'Projected ABP RECs'!D179</f>
        <v>0</v>
      </c>
      <c r="N147" s="185">
        <f>'Projected ABP RECs'!E179</f>
        <v>0</v>
      </c>
      <c r="O147" s="185">
        <f>'Projected ABP RECs'!F179+'Indexed REC Activities'!J95</f>
        <v>0</v>
      </c>
      <c r="P147" s="185">
        <f>'Projected ABP RECs'!G179+'Indexed REC Activities'!K95</f>
        <v>0</v>
      </c>
      <c r="Q147" s="185">
        <f>'Projected ABP RECs'!H179+'Indexed REC Activities'!L95</f>
        <v>0</v>
      </c>
      <c r="R147" s="185">
        <f>'Projected ABP RECs'!I179+'Indexed REC Activities'!M95</f>
        <v>0</v>
      </c>
      <c r="S147" s="185">
        <f>'Projected ABP RECs'!J179+'Indexed REC Activities'!N95</f>
        <v>0</v>
      </c>
      <c r="T147" s="185">
        <f>'Projected ABP RECs'!K179+'Indexed REC Activities'!O95</f>
        <v>569202.00562930212</v>
      </c>
      <c r="U147" s="185">
        <f>'Projected ABP RECs'!L179+'Indexed REC Activities'!P95</f>
        <v>1196708.8679558067</v>
      </c>
      <c r="V147" s="185">
        <f>'Projected ABP RECs'!M179+'Indexed REC Activities'!Q95</f>
        <v>1363601.2583860275</v>
      </c>
      <c r="W147" s="185">
        <f>'Projected ABP RECs'!N179+'Indexed REC Activities'!R95</f>
        <v>3156783.2520940974</v>
      </c>
      <c r="X147" s="185">
        <f>'Projected ABP RECs'!O179+'Indexed REC Activities'!S95</f>
        <v>4945999.3358336277</v>
      </c>
      <c r="Y147" s="185">
        <f>'Projected ABP RECs'!P179+'Indexed REC Activities'!T95</f>
        <v>4931269.3391544595</v>
      </c>
      <c r="Z147" s="185">
        <f>'Projected ABP RECs'!Q179+'Indexed REC Activities'!U95</f>
        <v>4916612.9924586862</v>
      </c>
      <c r="AA147" s="185">
        <f>'Projected ABP RECs'!R179+'Indexed REC Activities'!V95</f>
        <v>4902029.9274963932</v>
      </c>
      <c r="AB147" s="185">
        <f>'Projected ABP RECs'!S179+'Indexed REC Activities'!W95</f>
        <v>4887519.7778589111</v>
      </c>
      <c r="AC147" s="185">
        <f>'Projected ABP RECs'!T179+'Indexed REC Activities'!X95</f>
        <v>6373082.178969617</v>
      </c>
      <c r="AD147" s="185">
        <f>'Projected ABP RECs'!U179+'Indexed REC Activities'!Y95</f>
        <v>4858716.7680747686</v>
      </c>
      <c r="AE147" s="185" t="e">
        <f>'Projected ABP RECs'!#REF!+'Indexed REC Activities'!Z95</f>
        <v>#REF!</v>
      </c>
      <c r="AF147" s="185"/>
    </row>
    <row r="148" spans="3:32" x14ac:dyDescent="0.35">
      <c r="C148" s="180" t="s">
        <v>269</v>
      </c>
      <c r="D148" s="181">
        <f>'REC Spend projected'!O11</f>
        <v>50000000</v>
      </c>
      <c r="E148" s="181">
        <f>'REC Spend projected'!N11</f>
        <v>10000000</v>
      </c>
      <c r="F148" s="181">
        <f>'REC Spend projected'!M11</f>
        <v>16862404.659270328</v>
      </c>
      <c r="G148" s="181">
        <f t="shared" si="18"/>
        <v>76862404.659270331</v>
      </c>
      <c r="J148" s="1" t="s">
        <v>98</v>
      </c>
      <c r="L148" s="185">
        <f>'Projected ABP RECs'!C180</f>
        <v>0</v>
      </c>
      <c r="M148" s="185">
        <f>'Projected ABP RECs'!D180</f>
        <v>0</v>
      </c>
      <c r="N148" s="185">
        <f>'Projected ABP RECs'!E180</f>
        <v>0</v>
      </c>
      <c r="O148" s="185">
        <f>'Projected ABP RECs'!F180+'Indexed REC Activities'!J96</f>
        <v>0</v>
      </c>
      <c r="P148" s="185">
        <f>'Projected ABP RECs'!G180+'Indexed REC Activities'!K96</f>
        <v>0</v>
      </c>
      <c r="Q148" s="185">
        <f>'Projected ABP RECs'!H180+'Indexed REC Activities'!L96</f>
        <v>0</v>
      </c>
      <c r="R148" s="185">
        <f>'Projected ABP RECs'!I180+'Indexed REC Activities'!M96</f>
        <v>0</v>
      </c>
      <c r="S148" s="185">
        <f>'Projected ABP RECs'!J180+'Indexed REC Activities'!N96</f>
        <v>0</v>
      </c>
      <c r="T148" s="185">
        <f>'Projected ABP RECs'!K180+'Indexed REC Activities'!O96</f>
        <v>0</v>
      </c>
      <c r="U148" s="185">
        <f>'Projected ABP RECs'!L180+'Indexed REC Activities'!P96</f>
        <v>0</v>
      </c>
      <c r="V148" s="185">
        <f>'Projected ABP RECs'!M180+'Indexed REC Activities'!Q96</f>
        <v>284601.00281465106</v>
      </c>
      <c r="W148" s="185">
        <f>'Projected ABP RECs'!N180+'Indexed REC Activities'!R96</f>
        <v>740654.93538522883</v>
      </c>
      <c r="X148" s="185">
        <f>'Projected ABP RECs'!O180+'Indexed REC Activities'!S96</f>
        <v>909827.59547830268</v>
      </c>
      <c r="Y148" s="185">
        <f>'Projected ABP RECs'!P180+'Indexed REC Activities'!T96</f>
        <v>2705278.4575009113</v>
      </c>
      <c r="Z148" s="185">
        <f>'Projected ABP RECs'!Q180+'Indexed REC Activities'!U96</f>
        <v>4496752.0652134065</v>
      </c>
      <c r="AA148" s="185">
        <f>'Projected ABP RECs'!R180+'Indexed REC Activities'!V96</f>
        <v>4484268.3048873395</v>
      </c>
      <c r="AB148" s="185">
        <f>'Projected ABP RECs'!S180+'Indexed REC Activities'!W96</f>
        <v>4471846.9633629024</v>
      </c>
      <c r="AC148" s="185">
        <f>'Projected ABP RECs'!T180+'Indexed REC Activities'!X96</f>
        <v>4459487.7285460886</v>
      </c>
      <c r="AD148" s="185">
        <f>'Projected ABP RECs'!U180+'Indexed REC Activities'!Y96</f>
        <v>4447190.2899033586</v>
      </c>
      <c r="AE148" s="185" t="e">
        <f>'Projected ABP RECs'!#REF!+'Indexed REC Activities'!Z96</f>
        <v>#REF!</v>
      </c>
      <c r="AF148" s="185"/>
    </row>
    <row r="149" spans="3:32" x14ac:dyDescent="0.35">
      <c r="C149" s="180" t="s">
        <v>270</v>
      </c>
      <c r="D149" s="181">
        <f>'REC Spend projected'!O12</f>
        <v>50000000</v>
      </c>
      <c r="E149" s="181">
        <f>'REC Spend projected'!N12</f>
        <v>0</v>
      </c>
      <c r="F149" s="181">
        <f>'REC Spend projected'!M12</f>
        <v>16906426.967615873</v>
      </c>
      <c r="G149" s="181">
        <f t="shared" si="18"/>
        <v>66906426.967615873</v>
      </c>
      <c r="J149" s="1" t="s">
        <v>99</v>
      </c>
      <c r="L149" s="185">
        <f>'Projected ABP RECs'!C181</f>
        <v>0</v>
      </c>
      <c r="M149" s="185">
        <f>'Projected ABP RECs'!D181</f>
        <v>0</v>
      </c>
      <c r="N149" s="185">
        <f>'Projected ABP RECs'!E181</f>
        <v>0</v>
      </c>
      <c r="O149" s="185">
        <f>'Projected ABP RECs'!F181+'Indexed REC Activities'!J97</f>
        <v>0</v>
      </c>
      <c r="P149" s="185">
        <f>'Projected ABP RECs'!G181+'Indexed REC Activities'!K97</f>
        <v>0</v>
      </c>
      <c r="Q149" s="185">
        <f>'Projected ABP RECs'!H181+'Indexed REC Activities'!L97</f>
        <v>0</v>
      </c>
      <c r="R149" s="185">
        <f>'Projected ABP RECs'!I181+'Indexed REC Activities'!M97</f>
        <v>0</v>
      </c>
      <c r="S149" s="185">
        <f>'Projected ABP RECs'!J181+'Indexed REC Activities'!N97</f>
        <v>0</v>
      </c>
      <c r="T149" s="185">
        <f>'Projected ABP RECs'!K181+'Indexed REC Activities'!O97</f>
        <v>0</v>
      </c>
      <c r="U149" s="185">
        <f>'Projected ABP RECs'!L181+'Indexed REC Activities'!P97</f>
        <v>0</v>
      </c>
      <c r="V149" s="185">
        <f>'Projected ABP RECs'!M181+'Indexed REC Activities'!Q97</f>
        <v>0</v>
      </c>
      <c r="W149" s="185">
        <f>'Projected ABP RECs'!N181+'Indexed REC Activities'!R97</f>
        <v>0</v>
      </c>
      <c r="X149" s="185">
        <f>'Projected ABP RECs'!O181+'Indexed REC Activities'!S97</f>
        <v>284601.00281465106</v>
      </c>
      <c r="Y149" s="185">
        <f>'Projected ABP RECs'!P181+'Indexed REC Activities'!T97</f>
        <v>740654.93538522883</v>
      </c>
      <c r="Z149" s="185">
        <f>'Projected ABP RECs'!Q181+'Indexed REC Activities'!U97</f>
        <v>909827.59547830268</v>
      </c>
      <c r="AA149" s="185">
        <f>'Projected ABP RECs'!R181+'Indexed REC Activities'!V97</f>
        <v>2705278.4575009113</v>
      </c>
      <c r="AB149" s="185">
        <f>'Projected ABP RECs'!S181+'Indexed REC Activities'!W97</f>
        <v>4496752.0652134065</v>
      </c>
      <c r="AC149" s="185">
        <f>'Projected ABP RECs'!T181+'Indexed REC Activities'!X97</f>
        <v>4484268.3048873395</v>
      </c>
      <c r="AD149" s="185">
        <f>'Projected ABP RECs'!U181+'Indexed REC Activities'!Y97</f>
        <v>4471846.9633629024</v>
      </c>
      <c r="AE149" s="185" t="e">
        <f>'Projected ABP RECs'!#REF!+'Indexed REC Activities'!Z97</f>
        <v>#REF!</v>
      </c>
      <c r="AF149" s="185"/>
    </row>
    <row r="150" spans="3:32" x14ac:dyDescent="0.35">
      <c r="C150" s="180" t="s">
        <v>271</v>
      </c>
      <c r="D150" s="181">
        <f>'REC Spend projected'!O13</f>
        <v>50000000</v>
      </c>
      <c r="E150" s="181">
        <f>'REC Spend projected'!N13</f>
        <v>0</v>
      </c>
      <c r="F150" s="181">
        <f>'REC Spend projected'!M13</f>
        <v>16920397.12592769</v>
      </c>
      <c r="G150" s="181">
        <f t="shared" si="18"/>
        <v>66920397.125927687</v>
      </c>
      <c r="J150" s="1" t="s">
        <v>100</v>
      </c>
      <c r="L150" s="185">
        <f>'Projected ABP RECs'!C182</f>
        <v>0</v>
      </c>
      <c r="M150" s="185">
        <f>'Projected ABP RECs'!D182</f>
        <v>0</v>
      </c>
      <c r="N150" s="185">
        <f>'Projected ABP RECs'!E182</f>
        <v>0</v>
      </c>
      <c r="O150" s="185">
        <f>'Projected ABP RECs'!F182+'Indexed REC Activities'!J98</f>
        <v>0</v>
      </c>
      <c r="P150" s="185">
        <f>'Projected ABP RECs'!G182+'Indexed REC Activities'!K98</f>
        <v>0</v>
      </c>
      <c r="Q150" s="185">
        <f>'Projected ABP RECs'!H182+'Indexed REC Activities'!L98</f>
        <v>0</v>
      </c>
      <c r="R150" s="185">
        <f>'Projected ABP RECs'!I182+'Indexed REC Activities'!M98</f>
        <v>0</v>
      </c>
      <c r="S150" s="185">
        <f>'Projected ABP RECs'!J182+'Indexed REC Activities'!N98</f>
        <v>0</v>
      </c>
      <c r="T150" s="185">
        <f>'Projected ABP RECs'!K182+'Indexed REC Activities'!O98</f>
        <v>0</v>
      </c>
      <c r="U150" s="185">
        <f>'Projected ABP RECs'!L182+'Indexed REC Activities'!P98</f>
        <v>0</v>
      </c>
      <c r="V150" s="185">
        <f>'Projected ABP RECs'!M182+'Indexed REC Activities'!Q98</f>
        <v>0</v>
      </c>
      <c r="W150" s="185">
        <f>'Projected ABP RECs'!N182+'Indexed REC Activities'!R98</f>
        <v>0</v>
      </c>
      <c r="X150" s="185">
        <f>'Projected ABP RECs'!O182+'Indexed REC Activities'!S98</f>
        <v>0</v>
      </c>
      <c r="Y150" s="185">
        <f>'Projected ABP RECs'!P182+'Indexed REC Activities'!T98</f>
        <v>0</v>
      </c>
      <c r="Z150" s="185">
        <f>'Projected ABP RECs'!Q182+'Indexed REC Activities'!U98</f>
        <v>284601.00281465106</v>
      </c>
      <c r="AA150" s="185">
        <f>'Projected ABP RECs'!R182+'Indexed REC Activities'!V98</f>
        <v>740654.93538522883</v>
      </c>
      <c r="AB150" s="185">
        <f>'Projected ABP RECs'!S182+'Indexed REC Activities'!W98</f>
        <v>909827.59547830268</v>
      </c>
      <c r="AC150" s="185">
        <f>'Projected ABP RECs'!T182+'Indexed REC Activities'!X98</f>
        <v>2705278.4575009113</v>
      </c>
      <c r="AD150" s="185">
        <f>'Projected ABP RECs'!U182+'Indexed REC Activities'!Y98</f>
        <v>4496752.0652134065</v>
      </c>
      <c r="AE150" s="185" t="e">
        <f>'Projected ABP RECs'!#REF!+'Indexed REC Activities'!Z98</f>
        <v>#REF!</v>
      </c>
      <c r="AF150" s="185"/>
    </row>
    <row r="151" spans="3:32" x14ac:dyDescent="0.35">
      <c r="C151" s="180" t="s">
        <v>272</v>
      </c>
      <c r="D151" s="181">
        <f>'REC Spend projected'!O14</f>
        <v>50000000</v>
      </c>
      <c r="E151" s="181">
        <f>'REC Spend projected'!N14</f>
        <v>10000000</v>
      </c>
      <c r="F151" s="181">
        <f>'REC Spend projected'!M14</f>
        <v>17023386.929470729</v>
      </c>
      <c r="G151" s="181">
        <f t="shared" si="18"/>
        <v>77023386.929470733</v>
      </c>
      <c r="J151" s="1" t="s">
        <v>101</v>
      </c>
      <c r="L151" s="185">
        <f>'Projected ABP RECs'!C183</f>
        <v>0</v>
      </c>
      <c r="M151" s="185">
        <f>'Projected ABP RECs'!D183</f>
        <v>0</v>
      </c>
      <c r="N151" s="185">
        <f>'Projected ABP RECs'!E183</f>
        <v>0</v>
      </c>
      <c r="O151" s="185">
        <f>'Projected ABP RECs'!F183+'Indexed REC Activities'!J99</f>
        <v>0</v>
      </c>
      <c r="P151" s="185">
        <f>'Projected ABP RECs'!G183+'Indexed REC Activities'!K99</f>
        <v>0</v>
      </c>
      <c r="Q151" s="185">
        <f>'Projected ABP RECs'!H183+'Indexed REC Activities'!L99</f>
        <v>0</v>
      </c>
      <c r="R151" s="185">
        <f>'Projected ABP RECs'!I183+'Indexed REC Activities'!M99</f>
        <v>0</v>
      </c>
      <c r="S151" s="185">
        <f>'Projected ABP RECs'!J183+'Indexed REC Activities'!N99</f>
        <v>0</v>
      </c>
      <c r="T151" s="185">
        <f>'Projected ABP RECs'!K183+'Indexed REC Activities'!O99</f>
        <v>0</v>
      </c>
      <c r="U151" s="185">
        <f>'Projected ABP RECs'!L183+'Indexed REC Activities'!P99</f>
        <v>0</v>
      </c>
      <c r="V151" s="185">
        <f>'Projected ABP RECs'!M183+'Indexed REC Activities'!Q99</f>
        <v>0</v>
      </c>
      <c r="W151" s="185">
        <f>'Projected ABP RECs'!N183+'Indexed REC Activities'!R99</f>
        <v>0</v>
      </c>
      <c r="X151" s="185">
        <f>'Projected ABP RECs'!O183+'Indexed REC Activities'!S99</f>
        <v>0</v>
      </c>
      <c r="Y151" s="185">
        <f>'Projected ABP RECs'!P183+'Indexed REC Activities'!T99</f>
        <v>0</v>
      </c>
      <c r="Z151" s="185">
        <f>'Projected ABP RECs'!Q183+'Indexed REC Activities'!U99</f>
        <v>0</v>
      </c>
      <c r="AA151" s="185">
        <f>'Projected ABP RECs'!R183+'Indexed REC Activities'!V99</f>
        <v>0</v>
      </c>
      <c r="AB151" s="185">
        <f>'Projected ABP RECs'!S183+'Indexed REC Activities'!W99</f>
        <v>569202.00562930212</v>
      </c>
      <c r="AC151" s="185">
        <f>'Projected ABP RECs'!T183+'Indexed REC Activities'!X99</f>
        <v>912107.86514115555</v>
      </c>
      <c r="AD151" s="185">
        <f>'Projected ABP RECs'!U183+'Indexed REC Activities'!Y99</f>
        <v>907547.32581544982</v>
      </c>
      <c r="AE151" s="185" t="e">
        <f>'Projected ABP RECs'!#REF!+'Indexed REC Activities'!Z99</f>
        <v>#REF!</v>
      </c>
      <c r="AF151" s="185"/>
    </row>
    <row r="152" spans="3:32" x14ac:dyDescent="0.35">
      <c r="C152" s="32" t="s">
        <v>273</v>
      </c>
      <c r="D152" s="181">
        <f>'REC Spend projected'!O15</f>
        <v>50000000</v>
      </c>
      <c r="E152" s="181">
        <f>'REC Spend projected'!N15</f>
        <v>0</v>
      </c>
      <c r="F152" s="181">
        <f>'REC Spend projected'!M15</f>
        <v>17120451.256649822</v>
      </c>
      <c r="G152" s="181">
        <f t="shared" si="18"/>
        <v>67120451.256649822</v>
      </c>
      <c r="J152" s="172" t="s">
        <v>345</v>
      </c>
      <c r="K152" s="172">
        <v>19057298.322986744</v>
      </c>
      <c r="L152" s="172">
        <v>15939021.812910251</v>
      </c>
      <c r="M152" s="172">
        <v>16882727.808818541</v>
      </c>
      <c r="N152" s="172">
        <v>19494260.094797742</v>
      </c>
      <c r="O152" s="172">
        <v>23088050.394313909</v>
      </c>
      <c r="P152" s="172">
        <v>26625257.689334787</v>
      </c>
      <c r="Q152" s="172">
        <v>30404169.597892165</v>
      </c>
      <c r="R152" s="172">
        <v>31757671.091924891</v>
      </c>
      <c r="S152" s="172">
        <v>35055517.307059526</v>
      </c>
      <c r="T152" s="172">
        <v>36792550.972112834</v>
      </c>
      <c r="U152" s="172">
        <v>38774563.089039281</v>
      </c>
      <c r="V152" s="172">
        <v>40555232.159669481</v>
      </c>
      <c r="W152" s="172">
        <v>45712915.004466057</v>
      </c>
      <c r="X152" s="172">
        <v>47286918.200264931</v>
      </c>
      <c r="Y152" s="172">
        <v>49230410.172374822</v>
      </c>
      <c r="Z152" s="172">
        <v>51094143.697269</v>
      </c>
      <c r="AA152" s="172">
        <v>52953914.169608571</v>
      </c>
      <c r="AB152" s="172">
        <v>53167461.800252028</v>
      </c>
      <c r="AC152" s="172">
        <v>53384333.07021378</v>
      </c>
    </row>
    <row r="153" spans="3:32" x14ac:dyDescent="0.35">
      <c r="C153" s="180" t="s">
        <v>274</v>
      </c>
      <c r="D153" s="181">
        <f>'REC Spend projected'!O16</f>
        <v>50000000</v>
      </c>
      <c r="E153" s="181">
        <f>'REC Spend projected'!N16</f>
        <v>0</v>
      </c>
      <c r="F153" s="181">
        <f>'REC Spend projected'!M16</f>
        <v>17234402.603198845</v>
      </c>
      <c r="G153" s="181">
        <f t="shared" si="18"/>
        <v>67234402.603198841</v>
      </c>
      <c r="J153" s="172"/>
      <c r="K153" s="172"/>
      <c r="L153" s="172"/>
      <c r="M153" s="172"/>
      <c r="N153" s="172"/>
      <c r="O153" s="172"/>
      <c r="P153" s="172"/>
      <c r="Q153" s="172"/>
      <c r="R153" s="172"/>
    </row>
    <row r="154" spans="3:32" x14ac:dyDescent="0.35">
      <c r="C154" s="180" t="s">
        <v>275</v>
      </c>
      <c r="D154" s="181">
        <f>'REC Spend projected'!O17</f>
        <v>50000000</v>
      </c>
      <c r="E154" s="181">
        <f>'REC Spend projected'!N17</f>
        <v>0</v>
      </c>
      <c r="F154" s="181">
        <f>'REC Spend projected'!M17</f>
        <v>17289396.046359867</v>
      </c>
      <c r="G154" s="181">
        <f t="shared" si="18"/>
        <v>67289396.046359867</v>
      </c>
      <c r="J154" s="172"/>
      <c r="K154" s="172"/>
      <c r="L154" s="172"/>
      <c r="M154" s="172"/>
      <c r="N154" s="172"/>
      <c r="O154" s="172"/>
      <c r="P154" s="172"/>
      <c r="Q154" s="172"/>
      <c r="R154" s="172"/>
    </row>
    <row r="155" spans="3:32" x14ac:dyDescent="0.35">
      <c r="C155" s="180" t="s">
        <v>276</v>
      </c>
      <c r="D155" s="181">
        <f>'REC Spend projected'!O18</f>
        <v>50000000</v>
      </c>
      <c r="E155" s="181">
        <f>'REC Spend projected'!N18</f>
        <v>0</v>
      </c>
      <c r="F155" s="181">
        <f>'REC Spend projected'!M18</f>
        <v>17378693.799014561</v>
      </c>
      <c r="G155" s="181">
        <f t="shared" si="18"/>
        <v>67378693.799014568</v>
      </c>
      <c r="J155" s="172"/>
      <c r="K155" s="172"/>
      <c r="L155" s="172"/>
      <c r="M155" s="172"/>
      <c r="N155" s="172"/>
      <c r="O155" s="172"/>
      <c r="P155" s="172"/>
      <c r="Q155" s="172"/>
      <c r="R155" s="172"/>
    </row>
    <row r="156" spans="3:32" x14ac:dyDescent="0.35">
      <c r="C156" s="180" t="s">
        <v>277</v>
      </c>
      <c r="D156" s="181">
        <f>'REC Spend projected'!O19</f>
        <v>50000000</v>
      </c>
      <c r="E156" s="181">
        <f>'REC Spend projected'!N19</f>
        <v>0</v>
      </c>
      <c r="F156" s="181">
        <f>'REC Spend projected'!M19</f>
        <v>17444210.839039307</v>
      </c>
      <c r="G156" s="181">
        <f t="shared" si="18"/>
        <v>67444210.839039311</v>
      </c>
      <c r="J156" s="172"/>
      <c r="K156" s="172"/>
      <c r="L156" s="172"/>
      <c r="M156" s="172"/>
      <c r="N156" s="172"/>
      <c r="O156" s="172"/>
      <c r="P156" s="172"/>
      <c r="Q156" s="172"/>
      <c r="R156" s="172"/>
    </row>
    <row r="157" spans="3:32" x14ac:dyDescent="0.35">
      <c r="C157" s="180" t="s">
        <v>278</v>
      </c>
      <c r="D157" s="181">
        <f>'REC Spend projected'!O20</f>
        <v>50000000</v>
      </c>
      <c r="E157" s="181">
        <f>'REC Spend projected'!N20</f>
        <v>0</v>
      </c>
      <c r="F157" s="181">
        <f>'REC Spend projected'!M20</f>
        <v>17522169.661825232</v>
      </c>
      <c r="G157" s="181">
        <f t="shared" si="18"/>
        <v>67522169.66182524</v>
      </c>
      <c r="J157" s="172"/>
      <c r="K157" s="172"/>
      <c r="L157" s="172"/>
      <c r="M157" s="172"/>
      <c r="N157" s="172"/>
      <c r="O157" s="172"/>
      <c r="P157" s="172"/>
      <c r="Q157" s="172"/>
      <c r="R157" s="172"/>
    </row>
    <row r="158" spans="3:32" x14ac:dyDescent="0.35">
      <c r="C158" s="180" t="s">
        <v>279</v>
      </c>
      <c r="D158" s="181">
        <f>'REC Spend projected'!O21</f>
        <v>50000000</v>
      </c>
      <c r="E158" s="181">
        <f>'REC Spend projected'!N21</f>
        <v>0</v>
      </c>
      <c r="F158" s="181">
        <f>'REC Spend projected'!M21</f>
        <v>17559698.762090176</v>
      </c>
      <c r="G158" s="181">
        <f t="shared" si="18"/>
        <v>67559698.762090176</v>
      </c>
      <c r="J158" s="172"/>
      <c r="K158" s="172"/>
      <c r="L158" s="172"/>
      <c r="M158" s="172"/>
      <c r="N158" s="172"/>
      <c r="O158" s="172"/>
      <c r="P158" s="172"/>
      <c r="Q158" s="172"/>
      <c r="R158" s="172"/>
    </row>
    <row r="159" spans="3:32" x14ac:dyDescent="0.35">
      <c r="C159" s="180" t="s">
        <v>280</v>
      </c>
      <c r="D159" s="181">
        <f>'REC Spend projected'!O22</f>
        <v>50000000</v>
      </c>
      <c r="E159" s="181">
        <f>'REC Spend projected'!N22</f>
        <v>0</v>
      </c>
      <c r="F159" s="181">
        <f>'REC Spend projected'!M22</f>
        <v>17642751.566603485</v>
      </c>
      <c r="G159" s="181">
        <f t="shared" si="18"/>
        <v>67642751.566603482</v>
      </c>
      <c r="J159" s="172"/>
      <c r="K159" s="172"/>
      <c r="L159" s="172"/>
      <c r="M159" s="172"/>
      <c r="N159" s="172"/>
      <c r="O159" s="172"/>
      <c r="P159" s="172"/>
      <c r="Q159" s="172"/>
      <c r="R159" s="172"/>
    </row>
    <row r="160" spans="3:32" x14ac:dyDescent="0.35">
      <c r="C160" s="180" t="s">
        <v>281</v>
      </c>
      <c r="D160" s="181">
        <f>'REC Spend projected'!O23</f>
        <v>50000000</v>
      </c>
      <c r="E160" s="181">
        <f>'REC Spend projected'!N23</f>
        <v>0</v>
      </c>
      <c r="F160" s="181">
        <f>'REC Spend projected'!M23</f>
        <v>17710238.723197304</v>
      </c>
      <c r="G160" s="181">
        <f t="shared" si="18"/>
        <v>67710238.723197311</v>
      </c>
      <c r="J160" s="172"/>
      <c r="K160" s="172"/>
      <c r="L160" s="172"/>
      <c r="M160" s="172"/>
      <c r="N160" s="172"/>
      <c r="O160" s="172"/>
      <c r="P160" s="172"/>
      <c r="Q160" s="172"/>
      <c r="R160" s="172"/>
    </row>
    <row r="161" spans="2:18" x14ac:dyDescent="0.35">
      <c r="C161" s="180" t="s">
        <v>282</v>
      </c>
      <c r="D161" s="181">
        <f>'REC Spend projected'!O24</f>
        <v>50000000</v>
      </c>
      <c r="E161" s="181">
        <f>'REC Spend projected'!N24</f>
        <v>0</v>
      </c>
      <c r="F161" s="181">
        <f>'REC Spend projected'!M24</f>
        <v>17790826.711418759</v>
      </c>
      <c r="G161" s="181">
        <f t="shared" si="18"/>
        <v>67790826.711418763</v>
      </c>
      <c r="J161" s="172"/>
      <c r="K161" s="172"/>
      <c r="L161" s="172"/>
      <c r="M161" s="172"/>
      <c r="N161" s="172"/>
      <c r="O161" s="172"/>
      <c r="P161" s="172"/>
      <c r="Q161" s="172"/>
      <c r="R161" s="172"/>
    </row>
    <row r="162" spans="2:18" x14ac:dyDescent="0.35">
      <c r="C162" s="180" t="s">
        <v>283</v>
      </c>
      <c r="D162" s="181">
        <f>'REC Spend projected'!O25</f>
        <v>50000000</v>
      </c>
      <c r="E162" s="181">
        <f>'REC Spend projected'!N25</f>
        <v>0</v>
      </c>
      <c r="F162" s="181">
        <f>'REC Spend projected'!M25</f>
        <v>17846294.061737649</v>
      </c>
      <c r="G162" s="181">
        <f t="shared" si="18"/>
        <v>67846294.061737657</v>
      </c>
      <c r="J162" s="172"/>
      <c r="K162" s="172"/>
      <c r="L162" s="172"/>
      <c r="M162" s="172"/>
      <c r="N162" s="172"/>
      <c r="O162" s="172"/>
      <c r="P162" s="172"/>
      <c r="Q162" s="172"/>
      <c r="R162" s="172"/>
    </row>
    <row r="163" spans="2:18" x14ac:dyDescent="0.35">
      <c r="C163" s="180" t="s">
        <v>284</v>
      </c>
      <c r="D163" s="181">
        <f>'REC Spend projected'!O26</f>
        <v>50000000</v>
      </c>
      <c r="E163" s="181">
        <f>'REC Spend projected'!N26</f>
        <v>0</v>
      </c>
      <c r="F163" s="181">
        <f>'REC Spend projected'!M26</f>
        <v>17902792.457592066</v>
      </c>
      <c r="G163" s="181">
        <f t="shared" si="18"/>
        <v>67902792.45759207</v>
      </c>
      <c r="J163" s="172"/>
      <c r="K163" s="172"/>
      <c r="L163" s="172"/>
      <c r="M163" s="172"/>
      <c r="N163" s="172"/>
      <c r="O163" s="172"/>
      <c r="P163" s="172"/>
      <c r="Q163" s="172"/>
      <c r="R163" s="172"/>
    </row>
    <row r="164" spans="2:18" x14ac:dyDescent="0.35">
      <c r="F164" s="39"/>
      <c r="J164" s="172"/>
      <c r="K164" s="172"/>
      <c r="L164" s="172"/>
      <c r="M164" s="172"/>
      <c r="N164" s="172"/>
      <c r="O164" s="172"/>
      <c r="P164" s="172"/>
      <c r="Q164" s="172"/>
      <c r="R164" s="172"/>
    </row>
    <row r="165" spans="2:18" x14ac:dyDescent="0.35">
      <c r="B165" s="33" t="s">
        <v>312</v>
      </c>
      <c r="F165" s="39"/>
      <c r="J165" s="172"/>
    </row>
    <row r="166" spans="2:18" ht="29" x14ac:dyDescent="0.35">
      <c r="C166" s="15" t="s">
        <v>1</v>
      </c>
      <c r="D166" s="15" t="s">
        <v>313</v>
      </c>
      <c r="E166" s="15" t="s">
        <v>314</v>
      </c>
      <c r="F166" s="15" t="s">
        <v>315</v>
      </c>
      <c r="H166" s="258"/>
      <c r="I166" s="258"/>
    </row>
    <row r="167" spans="2:18" x14ac:dyDescent="0.35">
      <c r="C167" s="180" t="s">
        <v>262</v>
      </c>
      <c r="D167" s="28">
        <f>E5</f>
        <v>778217.89229999995</v>
      </c>
      <c r="E167" s="223">
        <f>D5</f>
        <v>2560409</v>
      </c>
      <c r="F167" s="37">
        <f>F5</f>
        <v>3338626.8922999999</v>
      </c>
      <c r="H167" s="52"/>
      <c r="J167" s="258"/>
      <c r="K167" s="258"/>
    </row>
    <row r="168" spans="2:18" x14ac:dyDescent="0.35">
      <c r="C168" s="180" t="s">
        <v>263</v>
      </c>
      <c r="D168" s="28">
        <f t="shared" ref="D168:D189" si="19">E6</f>
        <v>2090131.1079333334</v>
      </c>
      <c r="E168" s="223">
        <f t="shared" ref="E168:E189" si="20">D6</f>
        <v>3895928</v>
      </c>
      <c r="F168" s="37">
        <f t="shared" ref="F168:F189" si="21">F6</f>
        <v>5986059.1079333331</v>
      </c>
      <c r="H168" s="52"/>
      <c r="I168" s="172"/>
    </row>
    <row r="169" spans="2:18" x14ac:dyDescent="0.35">
      <c r="C169" s="180" t="s">
        <v>264</v>
      </c>
      <c r="D169" s="28">
        <f t="shared" si="19"/>
        <v>3341140.2002666667</v>
      </c>
      <c r="E169" s="223">
        <f t="shared" si="20"/>
        <v>3895928</v>
      </c>
      <c r="F169" s="37">
        <f t="shared" si="21"/>
        <v>7237068.2002666667</v>
      </c>
      <c r="H169" s="52"/>
      <c r="I169" s="172"/>
      <c r="J169" s="21"/>
      <c r="K169" s="39"/>
    </row>
    <row r="170" spans="2:18" x14ac:dyDescent="0.35">
      <c r="C170" s="180" t="s">
        <v>265</v>
      </c>
      <c r="D170" s="28">
        <f t="shared" si="19"/>
        <v>3954904.9221383333</v>
      </c>
      <c r="E170" s="223">
        <f t="shared" si="20"/>
        <v>3895928</v>
      </c>
      <c r="F170" s="37">
        <f t="shared" si="21"/>
        <v>7850832.9221383333</v>
      </c>
      <c r="H170" s="52"/>
      <c r="I170" s="172"/>
      <c r="J170" s="21"/>
      <c r="K170" s="39"/>
    </row>
    <row r="171" spans="2:18" x14ac:dyDescent="0.35">
      <c r="C171" s="180" t="s">
        <v>266</v>
      </c>
      <c r="D171" s="28">
        <f t="shared" si="19"/>
        <v>4647179.2654006416</v>
      </c>
      <c r="E171" s="223">
        <f t="shared" si="20"/>
        <v>3895928</v>
      </c>
      <c r="F171" s="37">
        <f t="shared" si="21"/>
        <v>8543107.2654006407</v>
      </c>
      <c r="H171" s="52"/>
      <c r="I171" s="172"/>
      <c r="J171" s="21"/>
      <c r="K171" s="39"/>
    </row>
    <row r="172" spans="2:18" x14ac:dyDescent="0.35">
      <c r="C172" s="180" t="s">
        <v>267</v>
      </c>
      <c r="D172" s="28">
        <f t="shared" si="19"/>
        <v>8242776.2219466381</v>
      </c>
      <c r="E172" s="223">
        <f t="shared" si="20"/>
        <v>4355928</v>
      </c>
      <c r="F172" s="37">
        <f t="shared" si="21"/>
        <v>12598704.221946638</v>
      </c>
      <c r="H172" s="52"/>
      <c r="I172" s="172"/>
      <c r="J172" s="21"/>
      <c r="K172" s="39"/>
    </row>
    <row r="173" spans="2:18" x14ac:dyDescent="0.35">
      <c r="C173" s="180" t="s">
        <v>268</v>
      </c>
      <c r="D173" s="28">
        <f t="shared" si="19"/>
        <v>10568146.828709906</v>
      </c>
      <c r="E173" s="223">
        <f t="shared" si="20"/>
        <v>4355928</v>
      </c>
      <c r="F173" s="37">
        <f t="shared" si="21"/>
        <v>14924074.828709906</v>
      </c>
      <c r="H173" s="52"/>
      <c r="I173" s="172"/>
      <c r="J173" s="21"/>
      <c r="K173" s="39"/>
    </row>
    <row r="174" spans="2:18" x14ac:dyDescent="0.35">
      <c r="C174" s="180" t="s">
        <v>269</v>
      </c>
      <c r="D174" s="28">
        <f t="shared" si="19"/>
        <v>10525251.007439354</v>
      </c>
      <c r="E174" s="223">
        <f t="shared" si="20"/>
        <v>5184391</v>
      </c>
      <c r="F174" s="37">
        <f t="shared" si="21"/>
        <v>15709642.007439354</v>
      </c>
      <c r="H174" s="52"/>
      <c r="I174" s="172"/>
      <c r="J174" s="21"/>
      <c r="K174" s="39"/>
    </row>
    <row r="175" spans="2:18" x14ac:dyDescent="0.35">
      <c r="C175" s="180" t="s">
        <v>270</v>
      </c>
      <c r="D175" s="28">
        <f t="shared" si="19"/>
        <v>10482691.185275158</v>
      </c>
      <c r="E175" s="223">
        <f t="shared" si="20"/>
        <v>5184391</v>
      </c>
      <c r="F175" s="37">
        <f t="shared" si="21"/>
        <v>15667082.185275158</v>
      </c>
      <c r="H175" s="52"/>
      <c r="I175" s="172"/>
      <c r="J175" s="21"/>
      <c r="K175" s="39"/>
    </row>
    <row r="176" spans="2:18" x14ac:dyDescent="0.35">
      <c r="C176" s="180" t="s">
        <v>271</v>
      </c>
      <c r="D176" s="28">
        <f t="shared" si="19"/>
        <v>10440363.817221783</v>
      </c>
      <c r="E176" s="223">
        <f t="shared" si="20"/>
        <v>5184391</v>
      </c>
      <c r="F176" s="37">
        <f t="shared" si="21"/>
        <v>15624754.817221783</v>
      </c>
      <c r="H176" s="52"/>
      <c r="I176" s="172"/>
      <c r="J176" s="21"/>
      <c r="K176" s="39"/>
    </row>
    <row r="177" spans="2:11" x14ac:dyDescent="0.35">
      <c r="C177" s="180" t="s">
        <v>272</v>
      </c>
      <c r="D177" s="28">
        <f t="shared" si="19"/>
        <v>10398251.361008674</v>
      </c>
      <c r="E177" s="223">
        <f t="shared" si="20"/>
        <v>5184391</v>
      </c>
      <c r="F177" s="37">
        <f t="shared" si="21"/>
        <v>15582642.361008674</v>
      </c>
      <c r="H177" s="52"/>
      <c r="I177" s="172"/>
      <c r="J177" s="21"/>
      <c r="K177" s="39"/>
    </row>
    <row r="178" spans="2:11" x14ac:dyDescent="0.35">
      <c r="C178" s="180" t="s">
        <v>273</v>
      </c>
      <c r="D178" s="28">
        <f t="shared" si="19"/>
        <v>10356420.27707663</v>
      </c>
      <c r="E178" s="223">
        <f t="shared" si="20"/>
        <v>5184391</v>
      </c>
      <c r="F178" s="37">
        <f t="shared" si="21"/>
        <v>15540811.27707663</v>
      </c>
      <c r="H178" s="52"/>
      <c r="I178" s="172"/>
      <c r="J178" s="21"/>
      <c r="K178" s="39"/>
    </row>
    <row r="179" spans="2:11" x14ac:dyDescent="0.35">
      <c r="C179" s="180" t="s">
        <v>274</v>
      </c>
      <c r="D179" s="28">
        <f t="shared" si="19"/>
        <v>10283086.028564248</v>
      </c>
      <c r="E179" s="223">
        <f t="shared" si="20"/>
        <v>3353982</v>
      </c>
      <c r="F179" s="37">
        <f t="shared" si="21"/>
        <v>13637068.028564248</v>
      </c>
      <c r="H179" s="52"/>
      <c r="I179" s="172"/>
      <c r="J179" s="21"/>
      <c r="K179" s="39"/>
    </row>
    <row r="180" spans="2:11" x14ac:dyDescent="0.35">
      <c r="C180" s="180" t="s">
        <v>275</v>
      </c>
      <c r="D180" s="28">
        <f t="shared" si="19"/>
        <v>10241357.081294425</v>
      </c>
      <c r="E180" s="223">
        <f t="shared" si="20"/>
        <v>2923982</v>
      </c>
      <c r="F180" s="37">
        <f t="shared" si="21"/>
        <v>13165339.081294425</v>
      </c>
      <c r="H180" s="52"/>
      <c r="I180" s="172"/>
      <c r="J180" s="21"/>
      <c r="K180" s="39"/>
    </row>
    <row r="181" spans="2:11" x14ac:dyDescent="0.35">
      <c r="C181" s="180" t="s">
        <v>276</v>
      </c>
      <c r="D181" s="28">
        <f t="shared" si="19"/>
        <v>9656289.9037609547</v>
      </c>
      <c r="E181" s="223">
        <f t="shared" si="20"/>
        <v>2923982</v>
      </c>
      <c r="F181" s="37">
        <f t="shared" si="21"/>
        <v>12580271.903760955</v>
      </c>
      <c r="H181" s="52"/>
      <c r="I181" s="172"/>
      <c r="J181" s="21"/>
      <c r="K181" s="39"/>
    </row>
    <row r="182" spans="2:11" x14ac:dyDescent="0.35">
      <c r="C182" s="180" t="s">
        <v>277</v>
      </c>
      <c r="D182" s="28">
        <f t="shared" si="19"/>
        <v>9539379.6748151481</v>
      </c>
      <c r="E182" s="223">
        <f t="shared" si="20"/>
        <v>2623982</v>
      </c>
      <c r="F182" s="37">
        <f t="shared" si="21"/>
        <v>12163361.674815148</v>
      </c>
      <c r="H182" s="52"/>
      <c r="I182" s="172"/>
      <c r="J182" s="21"/>
      <c r="K182" s="39"/>
    </row>
    <row r="183" spans="2:11" x14ac:dyDescent="0.35">
      <c r="C183" s="180" t="s">
        <v>278</v>
      </c>
      <c r="D183" s="28">
        <f t="shared" si="19"/>
        <v>7153874.1705525732</v>
      </c>
      <c r="E183" s="223">
        <f t="shared" si="20"/>
        <v>1288463</v>
      </c>
      <c r="F183" s="37">
        <f t="shared" si="21"/>
        <v>8442337.1705525741</v>
      </c>
      <c r="H183" s="52"/>
      <c r="I183" s="172"/>
      <c r="J183" s="21"/>
      <c r="K183" s="39"/>
    </row>
    <row r="184" spans="2:11" x14ac:dyDescent="0.35">
      <c r="C184" s="180" t="s">
        <v>279</v>
      </c>
      <c r="D184" s="28">
        <f t="shared" si="19"/>
        <v>6928863.1396998111</v>
      </c>
      <c r="E184" s="223">
        <f t="shared" si="20"/>
        <v>1288463</v>
      </c>
      <c r="F184" s="37">
        <f t="shared" si="21"/>
        <v>8217326.1396998111</v>
      </c>
      <c r="H184" s="52"/>
      <c r="I184" s="172"/>
      <c r="J184" s="21"/>
      <c r="K184" s="39"/>
    </row>
    <row r="185" spans="2:11" x14ac:dyDescent="0.35">
      <c r="C185" s="180" t="s">
        <v>280</v>
      </c>
      <c r="D185" s="28">
        <f t="shared" si="19"/>
        <v>6511832.7790013114</v>
      </c>
      <c r="E185" s="223">
        <f t="shared" si="20"/>
        <v>1288463</v>
      </c>
      <c r="F185" s="37">
        <f t="shared" si="21"/>
        <v>7800295.7790013114</v>
      </c>
      <c r="H185" s="52"/>
      <c r="I185" s="172"/>
      <c r="J185" s="21"/>
      <c r="K185" s="39"/>
    </row>
    <row r="186" spans="2:11" x14ac:dyDescent="0.35">
      <c r="C186" s="180" t="s">
        <v>281</v>
      </c>
      <c r="D186" s="28">
        <f t="shared" si="19"/>
        <v>6164456.5701063052</v>
      </c>
      <c r="E186" s="223">
        <f t="shared" si="20"/>
        <v>1288463</v>
      </c>
      <c r="F186" s="37">
        <f t="shared" si="21"/>
        <v>7452919.5701063052</v>
      </c>
      <c r="H186" s="52"/>
      <c r="I186" s="172"/>
      <c r="J186" s="21"/>
      <c r="K186" s="39"/>
    </row>
    <row r="187" spans="2:11" x14ac:dyDescent="0.35">
      <c r="C187" s="180" t="s">
        <v>282</v>
      </c>
      <c r="D187" s="28">
        <f t="shared" si="19"/>
        <v>5903649.9972557733</v>
      </c>
      <c r="E187" s="223">
        <f t="shared" si="20"/>
        <v>1288463</v>
      </c>
      <c r="F187" s="37">
        <f t="shared" si="21"/>
        <v>7192112.9972557733</v>
      </c>
      <c r="H187" s="52"/>
      <c r="I187" s="172"/>
      <c r="J187" s="21"/>
      <c r="K187" s="39"/>
    </row>
    <row r="188" spans="2:11" x14ac:dyDescent="0.35">
      <c r="C188" s="180" t="s">
        <v>283</v>
      </c>
      <c r="D188" s="28">
        <f t="shared" si="19"/>
        <v>5874119.5472694943</v>
      </c>
      <c r="E188" s="223">
        <f t="shared" si="20"/>
        <v>1288463</v>
      </c>
      <c r="F188" s="37">
        <f t="shared" si="21"/>
        <v>7162582.5472694943</v>
      </c>
      <c r="H188" s="52"/>
      <c r="I188" s="172"/>
      <c r="J188" s="21"/>
      <c r="K188" s="39"/>
    </row>
    <row r="189" spans="2:11" x14ac:dyDescent="0.35">
      <c r="C189" s="180" t="s">
        <v>284</v>
      </c>
      <c r="D189" s="28">
        <f t="shared" si="19"/>
        <v>5844690.7095331466</v>
      </c>
      <c r="E189" s="223">
        <f t="shared" si="20"/>
        <v>1288463</v>
      </c>
      <c r="F189" s="37">
        <f t="shared" si="21"/>
        <v>7133153.7095331466</v>
      </c>
      <c r="H189" s="52"/>
      <c r="I189" s="172"/>
      <c r="J189" s="21"/>
      <c r="K189" s="39"/>
    </row>
    <row r="190" spans="2:11" x14ac:dyDescent="0.35">
      <c r="J190" s="21"/>
      <c r="K190" s="39"/>
    </row>
    <row r="192" spans="2:11" ht="15" thickBot="1" x14ac:dyDescent="0.4">
      <c r="B192" t="s">
        <v>316</v>
      </c>
    </row>
    <row r="193" spans="2:8" ht="44" thickBot="1" x14ac:dyDescent="0.4">
      <c r="C193" s="224" t="s">
        <v>3</v>
      </c>
      <c r="D193" s="226" t="s">
        <v>317</v>
      </c>
      <c r="E193" s="226" t="s">
        <v>318</v>
      </c>
      <c r="F193" s="226" t="s">
        <v>319</v>
      </c>
      <c r="G193" s="225" t="s">
        <v>320</v>
      </c>
    </row>
    <row r="194" spans="2:8" ht="15" thickBot="1" x14ac:dyDescent="0.4">
      <c r="C194" s="227" t="s">
        <v>321</v>
      </c>
      <c r="D194" s="228">
        <f>'Collections and ACP'!E43</f>
        <v>33963264.598822832</v>
      </c>
      <c r="E194" s="229">
        <v>4.5754999999999999</v>
      </c>
      <c r="F194" s="230">
        <f>E194*D194</f>
        <v>155398917.17191386</v>
      </c>
      <c r="G194" s="231">
        <f>D194/$D$197</f>
        <v>0.28917572081192372</v>
      </c>
    </row>
    <row r="195" spans="2:8" ht="15" thickBot="1" x14ac:dyDescent="0.4">
      <c r="C195" s="227" t="s">
        <v>43</v>
      </c>
      <c r="D195" s="228">
        <f>'Collections and ACP'!E76</f>
        <v>82956872.015999988</v>
      </c>
      <c r="E195" s="229">
        <v>5.0247999999999999</v>
      </c>
      <c r="F195" s="230">
        <f>E195*D195</f>
        <v>416841690.5059967</v>
      </c>
      <c r="G195" s="231">
        <f>D195/$D$197</f>
        <v>0.70632530602964361</v>
      </c>
    </row>
    <row r="196" spans="2:8" ht="15" thickBot="1" x14ac:dyDescent="0.4">
      <c r="C196" s="232" t="s">
        <v>322</v>
      </c>
      <c r="D196" s="228">
        <f>'Collections and ACP'!E109</f>
        <v>528397.803846856</v>
      </c>
      <c r="E196" s="229">
        <v>2.625</v>
      </c>
      <c r="F196" s="230">
        <f>E196*D196</f>
        <v>1387044.2350979969</v>
      </c>
      <c r="G196" s="231">
        <f>D196/$D$197</f>
        <v>4.4989731584327173E-3</v>
      </c>
    </row>
    <row r="197" spans="2:8" x14ac:dyDescent="0.35">
      <c r="D197" s="21">
        <f>SUM(D194:D196)</f>
        <v>117448534.41866967</v>
      </c>
    </row>
    <row r="201" spans="2:8" ht="15" thickBot="1" x14ac:dyDescent="0.4"/>
    <row r="202" spans="2:8" ht="25.5" thickBot="1" x14ac:dyDescent="0.4">
      <c r="B202" t="s">
        <v>334</v>
      </c>
      <c r="C202" s="234" t="s">
        <v>1</v>
      </c>
      <c r="D202" s="235" t="s">
        <v>323</v>
      </c>
      <c r="E202" s="235" t="s">
        <v>324</v>
      </c>
      <c r="F202" s="235" t="s">
        <v>325</v>
      </c>
      <c r="G202" s="235" t="s">
        <v>326</v>
      </c>
      <c r="H202" s="235" t="s">
        <v>327</v>
      </c>
    </row>
    <row r="203" spans="2:8" x14ac:dyDescent="0.35">
      <c r="C203" s="180" t="s">
        <v>265</v>
      </c>
      <c r="D203" s="182">
        <f>'REC Spend projected'!AA7</f>
        <v>607245523.52481246</v>
      </c>
      <c r="E203" s="182">
        <f>'REC Spend projected'!AB7</f>
        <v>577421569.61571968</v>
      </c>
      <c r="F203" s="182">
        <f>'REC Spend projected'!AC7</f>
        <v>1184667093.140532</v>
      </c>
      <c r="G203" s="182">
        <f>'REC Spend projected'!AD7</f>
        <v>580010851.14522338</v>
      </c>
      <c r="H203" s="182">
        <f>'REC Spend projected'!AE7</f>
        <v>604656241.99530864</v>
      </c>
    </row>
    <row r="204" spans="2:8" x14ac:dyDescent="0.35">
      <c r="C204" s="180" t="s">
        <v>266</v>
      </c>
      <c r="D204" s="182">
        <f>'REC Spend projected'!AA8</f>
        <v>604656241.99530864</v>
      </c>
      <c r="E204" s="182">
        <f>'REC Spend projected'!AB8</f>
        <v>573627651.91300857</v>
      </c>
      <c r="F204" s="182">
        <f>'REC Spend projected'!AC8</f>
        <v>1178283893.9083171</v>
      </c>
      <c r="G204" s="182">
        <f>'REC Spend projected'!AD8</f>
        <v>709641263.45823836</v>
      </c>
      <c r="H204" s="182">
        <f>'REC Spend projected'!AE8</f>
        <v>468642630.45007873</v>
      </c>
    </row>
    <row r="205" spans="2:8" x14ac:dyDescent="0.35">
      <c r="C205" s="180" t="s">
        <v>267</v>
      </c>
      <c r="D205" s="182">
        <f>'REC Spend projected'!AA9</f>
        <v>468642630.45007873</v>
      </c>
      <c r="E205" s="182">
        <f>'REC Spend projected'!AB9</f>
        <v>566583113.01991129</v>
      </c>
      <c r="F205" s="182">
        <f>'REC Spend projected'!AC9</f>
        <v>1035225743.46999</v>
      </c>
      <c r="G205" s="182">
        <f>'REC Spend projected'!AD9</f>
        <v>701971160.10792232</v>
      </c>
      <c r="H205" s="182">
        <f>'REC Spend projected'!AE9</f>
        <v>333254583.3620677</v>
      </c>
    </row>
    <row r="206" spans="2:8" x14ac:dyDescent="0.35">
      <c r="C206" s="180" t="s">
        <v>268</v>
      </c>
      <c r="D206" s="182">
        <f>'REC Spend projected'!AA10</f>
        <v>333254583.3620677</v>
      </c>
      <c r="E206" s="182">
        <f>'REC Spend projected'!AB10</f>
        <v>562960379.98664391</v>
      </c>
      <c r="F206" s="182">
        <f>'REC Spend projected'!AC10</f>
        <v>896214963.34871161</v>
      </c>
      <c r="G206" s="182">
        <f>'REC Spend projected'!AD10</f>
        <v>692621237.88362324</v>
      </c>
      <c r="H206" s="182">
        <f>'REC Spend projected'!AE10</f>
        <v>203593725.46508837</v>
      </c>
    </row>
    <row r="207" spans="2:8" x14ac:dyDescent="0.35">
      <c r="C207" s="180" t="s">
        <v>269</v>
      </c>
      <c r="D207" s="182">
        <f>'REC Spend projected'!AA11</f>
        <v>203593725.46508837</v>
      </c>
      <c r="E207" s="182">
        <f>'REC Spend projected'!AB11</f>
        <v>562080155.30901098</v>
      </c>
      <c r="F207" s="182">
        <f>'REC Spend projected'!AC11</f>
        <v>765673880.77409935</v>
      </c>
      <c r="G207" s="182">
        <f>'REC Spend projected'!AD11</f>
        <v>733782381.66767502</v>
      </c>
      <c r="H207" s="182">
        <f>'REC Spend projected'!AE11</f>
        <v>31891499.106424332</v>
      </c>
    </row>
    <row r="208" spans="2:8" x14ac:dyDescent="0.35">
      <c r="C208" s="180" t="s">
        <v>270</v>
      </c>
      <c r="D208" s="182">
        <f>'REC Spend projected'!AA12</f>
        <v>31891499.106424332</v>
      </c>
      <c r="E208" s="182">
        <f>'REC Spend projected'!AB12</f>
        <v>563547565.58719575</v>
      </c>
      <c r="F208" s="182">
        <f>'REC Spend projected'!AC12</f>
        <v>595439064.69362009</v>
      </c>
      <c r="G208" s="182">
        <f>'REC Spend projected'!AD12</f>
        <v>762784031.73719716</v>
      </c>
      <c r="H208" s="182">
        <f>'REC Spend projected'!AE12</f>
        <v>-167344967.04357708</v>
      </c>
    </row>
    <row r="209" spans="3:8" x14ac:dyDescent="0.35">
      <c r="C209" s="180" t="s">
        <v>271</v>
      </c>
      <c r="D209" s="182">
        <f>'REC Spend projected'!AA13</f>
        <v>-167344967.04357708</v>
      </c>
      <c r="E209" s="182">
        <f>'REC Spend projected'!AB13</f>
        <v>564013237.53092301</v>
      </c>
      <c r="F209" s="182">
        <f>'REC Spend projected'!AC13</f>
        <v>396668270.48734593</v>
      </c>
      <c r="G209" s="182">
        <f>'REC Spend projected'!AD13</f>
        <v>810496346.80119896</v>
      </c>
      <c r="H209" s="182">
        <f>'REC Spend projected'!AE13</f>
        <v>-413828076.31385303</v>
      </c>
    </row>
    <row r="210" spans="3:8" x14ac:dyDescent="0.35">
      <c r="C210" s="180" t="s">
        <v>272</v>
      </c>
      <c r="D210" s="182">
        <f>'REC Spend projected'!AA14</f>
        <v>-413828076.31385303</v>
      </c>
      <c r="E210" s="182">
        <f>'REC Spend projected'!AB14</f>
        <v>567446230.98235762</v>
      </c>
      <c r="F210" s="182">
        <f>'REC Spend projected'!AC14</f>
        <v>153618154.6685046</v>
      </c>
      <c r="G210" s="182">
        <f>'REC Spend projected'!AD14</f>
        <v>829824898.07352304</v>
      </c>
      <c r="H210" s="182">
        <f>'REC Spend projected'!AE14</f>
        <v>-676206743.40501845</v>
      </c>
    </row>
    <row r="211" spans="3:8" x14ac:dyDescent="0.35">
      <c r="C211" s="180" t="s">
        <v>273</v>
      </c>
      <c r="D211" s="182">
        <f>'REC Spend projected'!AA15</f>
        <v>-676206743.40501845</v>
      </c>
      <c r="E211" s="182">
        <f>'REC Spend projected'!AB15</f>
        <v>570681708.55499411</v>
      </c>
      <c r="F211" s="182">
        <f>'REC Spend projected'!AC15</f>
        <v>-105525034.85002434</v>
      </c>
      <c r="G211" s="182">
        <f>'REC Spend projected'!AD15</f>
        <v>827747590.75691891</v>
      </c>
      <c r="H211" s="182">
        <f>'REC Spend projected'!AE15</f>
        <v>-933272625.60694325</v>
      </c>
    </row>
    <row r="212" spans="3:8" x14ac:dyDescent="0.35">
      <c r="C212" s="180" t="s">
        <v>274</v>
      </c>
      <c r="D212" s="182">
        <f>'REC Spend projected'!AA16</f>
        <v>-933272625.60694325</v>
      </c>
      <c r="E212" s="182">
        <f>'REC Spend projected'!AB16</f>
        <v>574480086.77329481</v>
      </c>
      <c r="F212" s="182">
        <f>'REC Spend projected'!AC16</f>
        <v>-358792538.83364844</v>
      </c>
      <c r="G212" s="182">
        <f>'REC Spend projected'!AD16</f>
        <v>919493547.59527254</v>
      </c>
      <c r="H212" s="182">
        <f>'REC Spend projected'!AE16</f>
        <v>-1278286086.428921</v>
      </c>
    </row>
    <row r="213" spans="3:8" x14ac:dyDescent="0.35">
      <c r="C213" s="180" t="s">
        <v>275</v>
      </c>
      <c r="D213" s="182">
        <f>'REC Spend projected'!AA17</f>
        <v>-1278286086.428921</v>
      </c>
      <c r="E213" s="182">
        <f>'REC Spend projected'!AB17</f>
        <v>576313201.54532886</v>
      </c>
      <c r="F213" s="182">
        <f>'REC Spend projected'!AC17</f>
        <v>-701972884.88359213</v>
      </c>
      <c r="G213" s="182">
        <f>'REC Spend projected'!AD17</f>
        <v>868937832.83322966</v>
      </c>
      <c r="H213" s="182">
        <f>'REC Spend projected'!AE17</f>
        <v>-1570910717.7168217</v>
      </c>
    </row>
    <row r="214" spans="3:8" x14ac:dyDescent="0.35">
      <c r="C214" s="180" t="s">
        <v>276</v>
      </c>
      <c r="D214" s="182">
        <f>'REC Spend projected'!AA18</f>
        <v>-1570910717.7168217</v>
      </c>
      <c r="E214" s="182">
        <f>'REC Spend projected'!AB18</f>
        <v>579289793.30048537</v>
      </c>
      <c r="F214" s="182">
        <f>'REC Spend projected'!AC18</f>
        <v>-991620924.4163363</v>
      </c>
      <c r="G214" s="182">
        <f>'REC Spend projected'!AD18</f>
        <v>821158794.80104458</v>
      </c>
      <c r="H214" s="182">
        <f>'REC Spend projected'!AE18</f>
        <v>-1812779719.217381</v>
      </c>
    </row>
    <row r="215" spans="3:8" x14ac:dyDescent="0.35">
      <c r="C215" s="180" t="s">
        <v>277</v>
      </c>
      <c r="D215" s="182">
        <f>'REC Spend projected'!AA19</f>
        <v>-1812779719.217381</v>
      </c>
      <c r="E215" s="182">
        <f>'REC Spend projected'!AB19</f>
        <v>581473694.63464355</v>
      </c>
      <c r="F215" s="182">
        <f>'REC Spend projected'!AC19</f>
        <v>-1231306024.5827374</v>
      </c>
      <c r="G215" s="182">
        <f>'REC Spend projected'!AD19</f>
        <v>733371843.55661058</v>
      </c>
      <c r="H215" s="182">
        <f>'REC Spend projected'!AE19</f>
        <v>-1964677868.139348</v>
      </c>
    </row>
    <row r="216" spans="3:8" x14ac:dyDescent="0.35">
      <c r="C216" s="180" t="s">
        <v>278</v>
      </c>
      <c r="D216" s="182">
        <f>'REC Spend projected'!AA20</f>
        <v>-1964677868.139348</v>
      </c>
      <c r="E216" s="182">
        <f>'REC Spend projected'!AB20</f>
        <v>584072322.06084108</v>
      </c>
      <c r="F216" s="182">
        <f>'REC Spend projected'!AC20</f>
        <v>-1380605546.0785069</v>
      </c>
      <c r="G216" s="182">
        <f>'REC Spend projected'!AD20</f>
        <v>657761437.08567381</v>
      </c>
      <c r="H216" s="182">
        <f>'REC Spend projected'!AE20</f>
        <v>-2038366983.1641808</v>
      </c>
    </row>
    <row r="217" spans="3:8" x14ac:dyDescent="0.35">
      <c r="C217" s="180" t="s">
        <v>279</v>
      </c>
      <c r="D217" s="182">
        <f>'REC Spend projected'!AA21</f>
        <v>-2038366983.1641808</v>
      </c>
      <c r="E217" s="182">
        <f>'REC Spend projected'!AB21</f>
        <v>585323292.06967258</v>
      </c>
      <c r="F217" s="182">
        <f>'REC Spend projected'!AC21</f>
        <v>-1453043691.0945082</v>
      </c>
      <c r="G217" s="182">
        <f>'REC Spend projected'!AD21</f>
        <v>593278063.7240051</v>
      </c>
      <c r="H217" s="182">
        <f>'REC Spend projected'!AE21</f>
        <v>-2046321754.8185134</v>
      </c>
    </row>
    <row r="218" spans="3:8" x14ac:dyDescent="0.35">
      <c r="C218" s="180" t="s">
        <v>280</v>
      </c>
      <c r="D218" s="182">
        <f>'REC Spend projected'!AA22</f>
        <v>-2046321754.8185134</v>
      </c>
      <c r="E218" s="182">
        <f>'REC Spend projected'!AB22</f>
        <v>588091718.88678288</v>
      </c>
      <c r="F218" s="182">
        <f>'REC Spend projected'!AC22</f>
        <v>-1458230035.9317305</v>
      </c>
      <c r="G218" s="182">
        <f>'REC Spend projected'!AD22</f>
        <v>529966830.77675653</v>
      </c>
      <c r="H218" s="182">
        <f>'REC Spend projected'!AE22</f>
        <v>-1988196866.708487</v>
      </c>
    </row>
    <row r="219" spans="3:8" x14ac:dyDescent="0.35">
      <c r="C219" s="180" t="s">
        <v>281</v>
      </c>
      <c r="D219" s="182">
        <f>'REC Spend projected'!AA23</f>
        <v>-1988196866.708487</v>
      </c>
      <c r="E219" s="182">
        <f>'REC Spend projected'!AB23</f>
        <v>590341290.77324343</v>
      </c>
      <c r="F219" s="182">
        <f>'REC Spend projected'!AC23</f>
        <v>-1397855575.9352436</v>
      </c>
      <c r="G219" s="182">
        <f>'REC Spend projected'!AD23</f>
        <v>471146587.31129265</v>
      </c>
      <c r="H219" s="182">
        <f>'REC Spend projected'!AE23</f>
        <v>-1869002163.2465363</v>
      </c>
    </row>
    <row r="220" spans="3:8" x14ac:dyDescent="0.35">
      <c r="C220" s="180" t="s">
        <v>282</v>
      </c>
      <c r="D220" s="182">
        <f>'REC Spend projected'!AA24</f>
        <v>-1869002163.2465363</v>
      </c>
      <c r="E220" s="182">
        <f>'REC Spend projected'!AB24</f>
        <v>593027557.04729199</v>
      </c>
      <c r="F220" s="182">
        <f>'REC Spend projected'!AC24</f>
        <v>-1275974606.1992443</v>
      </c>
      <c r="G220" s="182">
        <f>'REC Spend projected'!AD24</f>
        <v>422250344.52624875</v>
      </c>
      <c r="H220" s="182">
        <f>'REC Spend projected'!AE24</f>
        <v>-1698224950.725493</v>
      </c>
    </row>
    <row r="221" spans="3:8" x14ac:dyDescent="0.35">
      <c r="C221" s="180" t="s">
        <v>283</v>
      </c>
      <c r="D221" s="182">
        <f>'REC Spend projected'!AA25</f>
        <v>-1698224950.725493</v>
      </c>
      <c r="E221" s="182">
        <f>'REC Spend projected'!AB25</f>
        <v>594876468.72458827</v>
      </c>
      <c r="F221" s="182">
        <f>'REC Spend projected'!AC25</f>
        <v>-1103348482.0009046</v>
      </c>
      <c r="G221" s="182">
        <f>'REC Spend projected'!AD25</f>
        <v>298177572.74249494</v>
      </c>
      <c r="H221" s="182">
        <f>'REC Spend projected'!AE25</f>
        <v>-1401526054.7433996</v>
      </c>
    </row>
    <row r="222" spans="3:8" x14ac:dyDescent="0.35">
      <c r="C222" s="180" t="s">
        <v>284</v>
      </c>
      <c r="D222" s="182">
        <f>'REC Spend projected'!AA26</f>
        <v>-1401526054.7433996</v>
      </c>
      <c r="E222" s="182">
        <f>'REC Spend projected'!AB26</f>
        <v>596759748.58640218</v>
      </c>
      <c r="F222" s="182">
        <f>'REC Spend projected'!AC26</f>
        <v>-804766306.15699744</v>
      </c>
      <c r="G222" s="182">
        <f>'REC Spend projected'!AD26</f>
        <v>160802326.97217959</v>
      </c>
      <c r="H222" s="182">
        <f>'REC Spend projected'!AE26</f>
        <v>-965568633.12917709</v>
      </c>
    </row>
    <row r="225" spans="2:8" x14ac:dyDescent="0.35">
      <c r="B225" t="s">
        <v>328</v>
      </c>
      <c r="C225" s="236" t="s">
        <v>1</v>
      </c>
      <c r="D225" s="236" t="s">
        <v>329</v>
      </c>
      <c r="E225" s="236" t="s">
        <v>330</v>
      </c>
      <c r="F225" s="236" t="s">
        <v>331</v>
      </c>
    </row>
    <row r="226" spans="2:8" x14ac:dyDescent="0.35">
      <c r="C226" s="180" t="s">
        <v>265</v>
      </c>
      <c r="D226" s="182">
        <v>604656241.99530864</v>
      </c>
      <c r="E226" s="182">
        <v>604656241.99530864</v>
      </c>
      <c r="F226" s="182">
        <v>604656241.99530864</v>
      </c>
      <c r="G226" s="4"/>
      <c r="H226" t="s">
        <v>332</v>
      </c>
    </row>
    <row r="227" spans="2:8" x14ac:dyDescent="0.35">
      <c r="C227" s="180" t="s">
        <v>266</v>
      </c>
      <c r="D227" s="182">
        <v>468642630.45007873</v>
      </c>
      <c r="E227" s="182">
        <v>482723674.84044647</v>
      </c>
      <c r="F227" s="182">
        <v>454561586.05971098</v>
      </c>
      <c r="H227" t="s">
        <v>333</v>
      </c>
    </row>
    <row r="228" spans="2:8" x14ac:dyDescent="0.35">
      <c r="C228" s="180" t="s">
        <v>267</v>
      </c>
      <c r="D228" s="182">
        <v>333254583.3620677</v>
      </c>
      <c r="E228" s="182">
        <v>377730043.76061523</v>
      </c>
      <c r="F228" s="182">
        <v>288779122.96352005</v>
      </c>
    </row>
    <row r="229" spans="2:8" x14ac:dyDescent="0.35">
      <c r="C229" s="180" t="s">
        <v>268</v>
      </c>
      <c r="D229" s="182">
        <v>203593725.46508837</v>
      </c>
      <c r="E229" s="182">
        <v>284316562.82055759</v>
      </c>
      <c r="F229" s="182">
        <v>122870888.1096189</v>
      </c>
    </row>
    <row r="230" spans="2:8" x14ac:dyDescent="0.35">
      <c r="C230" s="180" t="s">
        <v>269</v>
      </c>
      <c r="D230" s="182">
        <v>31891499.106424332</v>
      </c>
      <c r="E230" s="182">
        <v>189825569.13809967</v>
      </c>
      <c r="F230" s="182">
        <v>-126042570.92525125</v>
      </c>
    </row>
    <row r="231" spans="2:8" x14ac:dyDescent="0.35">
      <c r="C231" s="180" t="s">
        <v>270</v>
      </c>
      <c r="D231" s="182">
        <v>-167344967.04357708</v>
      </c>
      <c r="E231" s="182">
        <v>95257334.579501987</v>
      </c>
      <c r="F231" s="182">
        <v>-429947268.66665649</v>
      </c>
    </row>
    <row r="232" spans="2:8" x14ac:dyDescent="0.35">
      <c r="C232" s="180" t="s">
        <v>271</v>
      </c>
      <c r="D232" s="182">
        <v>-413828076.31385303</v>
      </c>
      <c r="E232" s="182">
        <v>-17321068.729015946</v>
      </c>
      <c r="F232" s="182">
        <v>-810335083.89869046</v>
      </c>
    </row>
    <row r="233" spans="2:8" x14ac:dyDescent="0.35">
      <c r="C233" s="180" t="s">
        <v>272</v>
      </c>
      <c r="D233" s="182">
        <v>-676206743.40501845</v>
      </c>
      <c r="E233" s="182">
        <v>-112886492.49810696</v>
      </c>
      <c r="F233" s="182">
        <v>-1239526994.3119302</v>
      </c>
    </row>
    <row r="234" spans="2:8" x14ac:dyDescent="0.35">
      <c r="C234" s="180" t="s">
        <v>273</v>
      </c>
      <c r="D234" s="182">
        <v>-933272625.60694325</v>
      </c>
      <c r="E234" s="182">
        <v>-183813439.54228592</v>
      </c>
      <c r="F234" s="182">
        <v>-1682731811.6716006</v>
      </c>
    </row>
    <row r="235" spans="2:8" x14ac:dyDescent="0.35">
      <c r="C235" s="180" t="s">
        <v>274</v>
      </c>
      <c r="D235" s="182">
        <v>-1278286086.428921</v>
      </c>
      <c r="E235" s="182">
        <v>-329318165.70337951</v>
      </c>
      <c r="F235" s="182">
        <v>-2227254007.1544628</v>
      </c>
    </row>
    <row r="236" spans="2:8" x14ac:dyDescent="0.35">
      <c r="C236" s="180" t="s">
        <v>275</v>
      </c>
      <c r="D236" s="182">
        <v>-1570910717.7168217</v>
      </c>
      <c r="E236" s="182">
        <v>-422330881.20032537</v>
      </c>
      <c r="F236" s="182">
        <v>-2719490554.2333193</v>
      </c>
    </row>
    <row r="237" spans="2:8" x14ac:dyDescent="0.35">
      <c r="C237" s="180" t="s">
        <v>276</v>
      </c>
      <c r="D237" s="182">
        <v>-1812779719.217381</v>
      </c>
      <c r="E237" s="182">
        <v>-447680864.14543927</v>
      </c>
      <c r="F237" s="182">
        <v>-3177878574.2893238</v>
      </c>
    </row>
    <row r="238" spans="2:8" x14ac:dyDescent="0.35">
      <c r="C238" s="180" t="s">
        <v>277</v>
      </c>
      <c r="D238" s="182">
        <v>-1964677868.139348</v>
      </c>
      <c r="E238" s="182">
        <v>-351142033.75452673</v>
      </c>
      <c r="F238" s="182">
        <v>-3578213702.5241709</v>
      </c>
    </row>
    <row r="239" spans="2:8" x14ac:dyDescent="0.35">
      <c r="C239" s="180" t="s">
        <v>278</v>
      </c>
      <c r="D239" s="182">
        <v>-2038366983.1641808</v>
      </c>
      <c r="E239" s="182">
        <v>-167468269.52080619</v>
      </c>
      <c r="F239" s="182">
        <v>-3909265696.8075571</v>
      </c>
    </row>
    <row r="240" spans="2:8" x14ac:dyDescent="0.35">
      <c r="C240" s="180" t="s">
        <v>279</v>
      </c>
      <c r="D240" s="182">
        <v>-2046321754.8185134</v>
      </c>
      <c r="E240" s="182">
        <v>100399685.50890219</v>
      </c>
      <c r="F240" s="182">
        <v>-4193043195.1459308</v>
      </c>
    </row>
    <row r="241" spans="3:6" x14ac:dyDescent="0.35">
      <c r="C241" s="180" t="s">
        <v>280</v>
      </c>
      <c r="D241" s="182">
        <v>-1988196866.708487</v>
      </c>
      <c r="E241" s="182">
        <v>453465425.51983714</v>
      </c>
      <c r="F241" s="182">
        <v>-4429859158.9368134</v>
      </c>
    </row>
    <row r="242" spans="3:6" x14ac:dyDescent="0.35">
      <c r="C242" s="180" t="s">
        <v>281</v>
      </c>
      <c r="D242" s="182">
        <v>-1869002163.2465363</v>
      </c>
      <c r="E242" s="182">
        <v>886170951.81474829</v>
      </c>
      <c r="F242" s="182">
        <v>-4624175278.3078232</v>
      </c>
    </row>
    <row r="243" spans="3:6" x14ac:dyDescent="0.35">
      <c r="C243" s="180" t="s">
        <v>282</v>
      </c>
      <c r="D243" s="182">
        <v>-1698224950.725493</v>
      </c>
      <c r="E243" s="182">
        <v>1389278146.1640034</v>
      </c>
      <c r="F243" s="182">
        <v>-4785728047.6149921</v>
      </c>
    </row>
    <row r="244" spans="3:6" x14ac:dyDescent="0.35">
      <c r="C244" s="180" t="s">
        <v>283</v>
      </c>
      <c r="D244" s="182">
        <v>-1401526054.7433996</v>
      </c>
      <c r="E244" s="182">
        <v>2050672018.7957058</v>
      </c>
      <c r="F244" s="182">
        <v>-4853724128.2825079</v>
      </c>
    </row>
    <row r="245" spans="3:6" x14ac:dyDescent="0.35">
      <c r="C245" s="180" t="s">
        <v>284</v>
      </c>
      <c r="D245" s="182">
        <v>-965568633.12917709</v>
      </c>
      <c r="E245" s="182">
        <v>2859581186.906673</v>
      </c>
      <c r="F245" s="182">
        <v>-4790718453.1650305</v>
      </c>
    </row>
  </sheetData>
  <mergeCells count="4">
    <mergeCell ref="C58:C59"/>
    <mergeCell ref="D58:E58"/>
    <mergeCell ref="F58:G58"/>
    <mergeCell ref="H58:I58"/>
  </mergeCells>
  <phoneticPr fontId="13" type="noConversion"/>
  <hyperlinks>
    <hyperlink ref="D193" location="_ftn1" display="_ftn1" xr:uid="{990F3C04-FDF9-4C55-A792-C7210237C7DE}"/>
    <hyperlink ref="E193" location="_ftn2" display="_ftn2" xr:uid="{926B6FB1-9714-46D0-8048-07331A1AF539}"/>
    <hyperlink ref="F193" location="_ftn3" display="_ftn3" xr:uid="{17F3EAC8-164F-404E-9F70-4BA588F9115B}"/>
    <hyperlink ref="C196" location="_ftn4" display="_ftn4" xr:uid="{7AC0BF0F-3BB2-45C1-8339-C7AB2CE36FB2}"/>
  </hyperlinks>
  <printOptions horizontalCentered="1" verticalCentered="1"/>
  <pageMargins left="0.7" right="0.7" top="0.75" bottom="0.75" header="0.3" footer="0.3"/>
  <pageSetup scale="40" orientation="landscape" r:id="rId1"/>
  <headerFooter>
    <oddHeader>&amp;A</oddHeader>
  </headerFooter>
  <rowBreaks count="1" manualBreakCount="1">
    <brk id="84" max="16383" man="1"/>
  </rowBreaks>
  <customProperties>
    <customPr name="GU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FF027-ED16-483C-9250-E109D7860407}">
  <dimension ref="B1:AA175"/>
  <sheetViews>
    <sheetView topLeftCell="A9" zoomScale="90" zoomScaleNormal="90" workbookViewId="0">
      <selection activeCell="V4" sqref="V4:AA26"/>
    </sheetView>
  </sheetViews>
  <sheetFormatPr defaultRowHeight="14.5" x14ac:dyDescent="0.35"/>
  <cols>
    <col min="1" max="1" width="4.453125" customWidth="1"/>
    <col min="2" max="2" width="10.54296875" bestFit="1" customWidth="1"/>
    <col min="3" max="3" width="13.453125" bestFit="1" customWidth="1"/>
    <col min="4" max="4" width="14.453125" bestFit="1" customWidth="1"/>
    <col min="5" max="5" width="13.54296875" customWidth="1"/>
    <col min="6" max="6" width="15" bestFit="1" customWidth="1"/>
    <col min="7" max="7" width="17.54296875" bestFit="1" customWidth="1"/>
    <col min="8" max="8" width="14.453125" bestFit="1" customWidth="1"/>
    <col min="9" max="9" width="13.54296875" bestFit="1" customWidth="1"/>
    <col min="10" max="10" width="14.54296875" bestFit="1" customWidth="1"/>
    <col min="11" max="12" width="13.453125" bestFit="1" customWidth="1"/>
    <col min="13" max="13" width="14.54296875" bestFit="1" customWidth="1"/>
    <col min="14" max="14" width="16.1796875" bestFit="1" customWidth="1"/>
    <col min="15" max="15" width="16.1796875" customWidth="1"/>
    <col min="16" max="17" width="15.54296875" bestFit="1" customWidth="1"/>
    <col min="18" max="18" width="22.453125" bestFit="1" customWidth="1"/>
    <col min="19" max="19" width="16.1796875" bestFit="1" customWidth="1"/>
    <col min="20" max="20" width="14.54296875" bestFit="1" customWidth="1"/>
    <col min="21" max="21" width="14.453125" bestFit="1" customWidth="1"/>
    <col min="22" max="22" width="14.54296875" bestFit="1" customWidth="1"/>
    <col min="23" max="23" width="13.453125" bestFit="1" customWidth="1"/>
    <col min="24" max="24" width="16.1796875" bestFit="1" customWidth="1"/>
    <col min="25" max="25" width="13.81640625" bestFit="1" customWidth="1"/>
    <col min="26" max="26" width="12.54296875" bestFit="1" customWidth="1"/>
    <col min="27" max="27" width="42.81640625" bestFit="1" customWidth="1"/>
  </cols>
  <sheetData>
    <row r="1" spans="2:27" ht="15" thickBot="1" x14ac:dyDescent="0.4">
      <c r="B1" s="1" t="s">
        <v>0</v>
      </c>
    </row>
    <row r="2" spans="2:27" ht="15" thickBot="1" x14ac:dyDescent="0.4">
      <c r="B2" s="317"/>
      <c r="C2" s="318"/>
      <c r="D2" s="318"/>
      <c r="E2" s="319"/>
      <c r="F2" s="320"/>
      <c r="G2" s="318"/>
      <c r="H2" s="321"/>
      <c r="I2" s="322"/>
      <c r="J2" s="323"/>
      <c r="K2" s="322"/>
      <c r="L2" s="81"/>
      <c r="M2" s="241"/>
      <c r="N2" s="242"/>
      <c r="O2" s="242"/>
      <c r="P2" s="241"/>
      <c r="Q2" s="241"/>
      <c r="R2" s="241"/>
      <c r="S2" s="241"/>
    </row>
    <row r="3" spans="2:27" ht="63.65" customHeight="1" thickBot="1" x14ac:dyDescent="0.4">
      <c r="B3" s="82" t="s">
        <v>1</v>
      </c>
      <c r="C3" s="83" t="s">
        <v>231</v>
      </c>
      <c r="D3" s="83" t="s">
        <v>232</v>
      </c>
      <c r="E3" s="84" t="s">
        <v>172</v>
      </c>
      <c r="F3" s="84" t="s">
        <v>93</v>
      </c>
      <c r="G3" s="84" t="s">
        <v>94</v>
      </c>
      <c r="H3" s="84" t="s">
        <v>95</v>
      </c>
      <c r="I3" s="84" t="s">
        <v>96</v>
      </c>
      <c r="J3" s="84" t="s">
        <v>97</v>
      </c>
      <c r="K3" s="84" t="s">
        <v>98</v>
      </c>
      <c r="L3" s="84" t="s">
        <v>99</v>
      </c>
      <c r="M3" s="84" t="s">
        <v>100</v>
      </c>
      <c r="N3" s="202" t="s">
        <v>101</v>
      </c>
      <c r="O3" s="202" t="s">
        <v>233</v>
      </c>
      <c r="P3" s="84" t="s">
        <v>234</v>
      </c>
      <c r="Q3" s="84" t="s">
        <v>235</v>
      </c>
      <c r="R3" s="84" t="s">
        <v>236</v>
      </c>
      <c r="S3" s="84" t="s">
        <v>228</v>
      </c>
      <c r="U3" s="86" t="s">
        <v>1</v>
      </c>
      <c r="V3" s="85" t="s">
        <v>186</v>
      </c>
      <c r="W3" s="85" t="s">
        <v>237</v>
      </c>
      <c r="X3" s="85" t="s">
        <v>93</v>
      </c>
      <c r="Y3" s="85" t="s">
        <v>238</v>
      </c>
      <c r="Z3" s="85" t="s">
        <v>239</v>
      </c>
      <c r="AA3" s="85" t="s">
        <v>240</v>
      </c>
    </row>
    <row r="4" spans="2:27" ht="15" thickBot="1" x14ac:dyDescent="0.4">
      <c r="B4" s="87" t="s">
        <v>17</v>
      </c>
      <c r="C4" s="88">
        <f>SUM('ABP Under Contract'!K4:P4)</f>
        <v>216567147.48600045</v>
      </c>
      <c r="D4" s="88">
        <f>'REC Spend projected'!H4+'REC Spend projected'!I4+'REC Spend projected'!J4+'REC Spend projected'!K4+'REC Spend projected'!L4</f>
        <v>36245650.070711426</v>
      </c>
      <c r="E4" s="89"/>
      <c r="F4" s="88"/>
      <c r="G4" s="88"/>
      <c r="H4" s="88"/>
      <c r="I4" s="88"/>
      <c r="J4" s="88"/>
      <c r="K4" s="88"/>
      <c r="L4" s="88"/>
      <c r="M4" s="88"/>
      <c r="N4" s="88"/>
      <c r="O4" s="88">
        <f>SUM(G4:N4)</f>
        <v>0</v>
      </c>
      <c r="P4" s="88">
        <f>'REC Spend projected'!M4+'REC Spend projected'!N4+'REC Spend projected'!N4+'REC Spend projected'!O4</f>
        <v>18018880.058405567</v>
      </c>
      <c r="Q4" s="88">
        <f>C4+D4+E4+F4+O4+P4</f>
        <v>270831677.61511743</v>
      </c>
      <c r="R4" s="88">
        <f>'REC Spend projected'!AA4</f>
        <v>293790554.98094952</v>
      </c>
      <c r="S4" s="88">
        <f>'REC Spend projected'!AE4</f>
        <v>248194878.09590167</v>
      </c>
      <c r="T4" s="91"/>
      <c r="U4" s="87" t="s">
        <v>17</v>
      </c>
      <c r="V4" s="222">
        <f>SUM(C4:D4)</f>
        <v>252812797.55671188</v>
      </c>
      <c r="W4" s="222">
        <f>E4</f>
        <v>0</v>
      </c>
      <c r="X4" s="222">
        <f>F4</f>
        <v>0</v>
      </c>
      <c r="Y4" s="222">
        <f>SUM(G4:N4)</f>
        <v>0</v>
      </c>
      <c r="Z4" s="222">
        <f t="shared" ref="Z4" si="0">P4</f>
        <v>18018880.058405567</v>
      </c>
      <c r="AA4" s="222">
        <f t="shared" ref="AA4:AA26" si="1">R4</f>
        <v>293790554.98094952</v>
      </c>
    </row>
    <row r="5" spans="2:27" ht="15" thickBot="1" x14ac:dyDescent="0.4">
      <c r="B5" s="87" t="s">
        <v>18</v>
      </c>
      <c r="C5" s="88">
        <f>SUM('ABP Under Contract'!K5:P5)</f>
        <v>206866678.69800001</v>
      </c>
      <c r="D5" s="88">
        <f>'REC Spend projected'!H5+'REC Spend projected'!I5+'REC Spend projected'!J5+'REC Spend projected'!K5+'REC Spend projected'!L5</f>
        <v>43402846.540514499</v>
      </c>
      <c r="E5" s="89"/>
      <c r="F5" s="88"/>
      <c r="G5" s="88"/>
      <c r="H5" s="88"/>
      <c r="I5" s="88"/>
      <c r="J5" s="88"/>
      <c r="K5" s="88"/>
      <c r="L5" s="88"/>
      <c r="M5" s="88"/>
      <c r="N5" s="88"/>
      <c r="O5" s="88">
        <f t="shared" ref="O5:O26" si="2">SUM(G5:N5)</f>
        <v>0</v>
      </c>
      <c r="P5" s="88">
        <f>'REC Spend projected'!M5+'REC Spend projected'!N5+'REC Spend projected'!N5+'REC Spend projected'!O5</f>
        <v>83942135.092404008</v>
      </c>
      <c r="Q5" s="88">
        <f t="shared" ref="Q5:Q26" si="3">C5+D5+E5+F5+O5+P5</f>
        <v>334211660.33091855</v>
      </c>
      <c r="R5" s="88">
        <f>'REC Spend projected'!AA5</f>
        <v>248194878.09590167</v>
      </c>
      <c r="S5" s="88">
        <f>'REC Spend projected'!AE5</f>
        <v>388721054.17845035</v>
      </c>
      <c r="T5" s="91"/>
      <c r="U5" s="87" t="s">
        <v>18</v>
      </c>
      <c r="V5" s="222">
        <f t="shared" ref="V5:V26" si="4">SUM(C5:D5)</f>
        <v>250269525.23851451</v>
      </c>
      <c r="W5" s="222">
        <f t="shared" ref="W5:W26" si="5">E5</f>
        <v>0</v>
      </c>
      <c r="X5" s="222">
        <f t="shared" ref="X5:X26" si="6">F5</f>
        <v>0</v>
      </c>
      <c r="Y5" s="222">
        <f t="shared" ref="Y5:Y26" si="7">SUM(G5:N5)</f>
        <v>0</v>
      </c>
      <c r="Z5" s="222">
        <f t="shared" ref="Z5:Z26" si="8">P5</f>
        <v>83942135.092404008</v>
      </c>
      <c r="AA5" s="222">
        <f t="shared" si="1"/>
        <v>248194878.09590167</v>
      </c>
    </row>
    <row r="6" spans="2:27" ht="15" thickBot="1" x14ac:dyDescent="0.4">
      <c r="B6" s="87" t="s">
        <v>19</v>
      </c>
      <c r="C6" s="88">
        <f>SUM('ABP Under Contract'!K6:P6)</f>
        <v>256276878.40999979</v>
      </c>
      <c r="D6" s="88">
        <f>'REC Spend projected'!H6+'REC Spend projected'!I6+'REC Spend projected'!J6+'REC Spend projected'!K6+'REC Spend projected'!L6</f>
        <v>45037755.807743326</v>
      </c>
      <c r="E6" s="89"/>
      <c r="F6" s="88"/>
      <c r="G6" s="88">
        <f>'REC Spend projected'!Q6+'REC Spend projected'!R6+'REC Spend projected'!S6+'REC Spend projected'!T6+'REC Spend projected'!U6+'REC Spend projected'!V6</f>
        <v>0</v>
      </c>
      <c r="H6" s="88"/>
      <c r="I6" s="88"/>
      <c r="J6" s="88"/>
      <c r="K6" s="88"/>
      <c r="L6" s="88"/>
      <c r="M6" s="88"/>
      <c r="N6" s="88"/>
      <c r="O6" s="88">
        <f t="shared" si="2"/>
        <v>0</v>
      </c>
      <c r="P6" s="88">
        <f>'REC Spend projected'!M6+'REC Spend projected'!N6+'REC Spend projected'!N6+'REC Spend projected'!O6</f>
        <v>67623889.800951704</v>
      </c>
      <c r="Q6" s="88">
        <f t="shared" si="3"/>
        <v>368938524.01869482</v>
      </c>
      <c r="R6" s="88">
        <f>'REC Spend projected'!AA6</f>
        <v>388721054.17845035</v>
      </c>
      <c r="S6" s="88">
        <f>'REC Spend projected'!AE6</f>
        <v>607245523.52481246</v>
      </c>
      <c r="T6" s="91"/>
      <c r="U6" s="87" t="s">
        <v>19</v>
      </c>
      <c r="V6" s="222">
        <f t="shared" si="4"/>
        <v>301314634.2177431</v>
      </c>
      <c r="W6" s="222">
        <f t="shared" si="5"/>
        <v>0</v>
      </c>
      <c r="X6" s="222">
        <f t="shared" si="6"/>
        <v>0</v>
      </c>
      <c r="Y6" s="222">
        <f t="shared" si="7"/>
        <v>0</v>
      </c>
      <c r="Z6" s="222">
        <f t="shared" si="8"/>
        <v>67623889.800951704</v>
      </c>
      <c r="AA6" s="222">
        <f t="shared" si="1"/>
        <v>388721054.17845035</v>
      </c>
    </row>
    <row r="7" spans="2:27" ht="15" thickBot="1" x14ac:dyDescent="0.4">
      <c r="B7" s="87" t="s">
        <v>20</v>
      </c>
      <c r="C7" s="88">
        <f>SUM('ABP Under Contract'!K7:P7)</f>
        <v>472372282.49383223</v>
      </c>
      <c r="D7" s="88">
        <f>'REC Spend projected'!H7+'REC Spend projected'!I7+'REC Spend projected'!J7+'REC Spend projected'!K7+'REC Spend projected'!L7</f>
        <v>40315921.562919624</v>
      </c>
      <c r="E7" s="89"/>
      <c r="F7" s="88"/>
      <c r="G7" s="88"/>
      <c r="H7" s="94"/>
      <c r="I7" s="94"/>
      <c r="J7" s="94"/>
      <c r="K7" s="94"/>
      <c r="L7" s="94"/>
      <c r="M7" s="88"/>
      <c r="N7" s="88"/>
      <c r="O7" s="88">
        <f t="shared" si="2"/>
        <v>0</v>
      </c>
      <c r="P7" s="88">
        <f>'REC Spend projected'!M7+'REC Spend projected'!N7+'REC Spend projected'!N7+'REC Spend projected'!O7</f>
        <v>67322647.088471591</v>
      </c>
      <c r="Q7" s="88">
        <f t="shared" si="3"/>
        <v>580010851.14522338</v>
      </c>
      <c r="R7" s="88">
        <f>'REC Spend projected'!AA7</f>
        <v>607245523.52481246</v>
      </c>
      <c r="S7" s="88">
        <f>'REC Spend projected'!AE7</f>
        <v>604656241.99530864</v>
      </c>
      <c r="T7" s="91"/>
      <c r="U7" s="87" t="s">
        <v>20</v>
      </c>
      <c r="V7" s="222">
        <f t="shared" si="4"/>
        <v>512688204.05675185</v>
      </c>
      <c r="W7" s="222">
        <f t="shared" si="5"/>
        <v>0</v>
      </c>
      <c r="X7" s="222">
        <f t="shared" si="6"/>
        <v>0</v>
      </c>
      <c r="Y7" s="222">
        <f t="shared" si="7"/>
        <v>0</v>
      </c>
      <c r="Z7" s="222">
        <f t="shared" si="8"/>
        <v>67322647.088471591</v>
      </c>
      <c r="AA7" s="222">
        <f t="shared" si="1"/>
        <v>607245523.52481246</v>
      </c>
    </row>
    <row r="8" spans="2:27" ht="15" thickBot="1" x14ac:dyDescent="0.4">
      <c r="B8" s="87" t="s">
        <v>22</v>
      </c>
      <c r="C8" s="88">
        <f>SUM('ABP Under Contract'!K8:P8)</f>
        <v>329109174.42458338</v>
      </c>
      <c r="D8" s="88">
        <f>'REC Spend projected'!H8+'REC Spend projected'!I8+'REC Spend projected'!J8+'REC Spend projected'!K8+'REC Spend projected'!L8</f>
        <v>78625644.527877629</v>
      </c>
      <c r="E8" s="89">
        <f>'Projected ABP Spend'!B186</f>
        <v>6634162.8171102703</v>
      </c>
      <c r="F8" s="88"/>
      <c r="G8" s="88"/>
      <c r="H8" s="88"/>
      <c r="I8" s="88"/>
      <c r="J8" s="88"/>
      <c r="K8" s="88"/>
      <c r="L8" s="88"/>
      <c r="M8" s="88"/>
      <c r="N8" s="88"/>
      <c r="O8" s="88">
        <f t="shared" si="2"/>
        <v>0</v>
      </c>
      <c r="P8" s="88">
        <f>'REC Spend projected'!M8+'REC Spend projected'!N8+'REC Spend projected'!N8+'REC Spend projected'!O8</f>
        <v>87208829.557390258</v>
      </c>
      <c r="Q8" s="88">
        <f t="shared" si="3"/>
        <v>501577811.32696158</v>
      </c>
      <c r="R8" s="88">
        <f>'REC Spend projected'!AA8</f>
        <v>604656241.99530864</v>
      </c>
      <c r="S8" s="88">
        <f>'REC Spend projected'!AE8</f>
        <v>468642630.45007873</v>
      </c>
      <c r="T8" s="91"/>
      <c r="U8" s="87" t="s">
        <v>22</v>
      </c>
      <c r="V8" s="222">
        <f t="shared" si="4"/>
        <v>407734818.952461</v>
      </c>
      <c r="W8" s="222">
        <f>E8</f>
        <v>6634162.8171102703</v>
      </c>
      <c r="X8" s="222">
        <f t="shared" si="6"/>
        <v>0</v>
      </c>
      <c r="Y8" s="222">
        <f t="shared" si="7"/>
        <v>0</v>
      </c>
      <c r="Z8" s="222">
        <f t="shared" si="8"/>
        <v>87208829.557390258</v>
      </c>
      <c r="AA8" s="222">
        <f t="shared" si="1"/>
        <v>604656241.99530864</v>
      </c>
    </row>
    <row r="9" spans="2:27" ht="15" thickBot="1" x14ac:dyDescent="0.4">
      <c r="B9" s="87" t="s">
        <v>23</v>
      </c>
      <c r="C9" s="88">
        <f>SUM('ABP Under Contract'!K9:P9)</f>
        <v>330371144.91825032</v>
      </c>
      <c r="D9" s="88">
        <f>'REC Spend projected'!H9+'REC Spend projected'!I9+'REC Spend projected'!J9+'REC Spend projected'!K9+'REC Spend projected'!L9</f>
        <v>122478211.24635768</v>
      </c>
      <c r="E9" s="89">
        <f>'Projected ABP Spend'!B187</f>
        <v>20413382.996844385</v>
      </c>
      <c r="F9" s="88">
        <f>'Projected ABP Spend'!C186</f>
        <v>0</v>
      </c>
      <c r="G9" s="88"/>
      <c r="H9" s="94"/>
      <c r="I9" s="94"/>
      <c r="J9" s="94"/>
      <c r="K9" s="94"/>
      <c r="L9" s="94"/>
      <c r="M9" s="88"/>
      <c r="N9" s="88"/>
      <c r="O9" s="88">
        <f t="shared" si="2"/>
        <v>0</v>
      </c>
      <c r="P9" s="88">
        <f>'REC Spend projected'!M9+'REC Spend projected'!N9+'REC Spend projected'!N9+'REC Spend projected'!O9</f>
        <v>66997493.390597343</v>
      </c>
      <c r="Q9" s="88">
        <f t="shared" si="3"/>
        <v>540260232.55204976</v>
      </c>
      <c r="R9" s="88">
        <f>'REC Spend projected'!AA9</f>
        <v>468642630.45007873</v>
      </c>
      <c r="S9" s="88">
        <f>'REC Spend projected'!AE9</f>
        <v>333254583.3620677</v>
      </c>
      <c r="T9" s="91"/>
      <c r="U9" s="87" t="s">
        <v>23</v>
      </c>
      <c r="V9" s="222">
        <f t="shared" si="4"/>
        <v>452849356.164608</v>
      </c>
      <c r="W9" s="222">
        <f t="shared" si="5"/>
        <v>20413382.996844385</v>
      </c>
      <c r="X9" s="222">
        <f t="shared" si="6"/>
        <v>0</v>
      </c>
      <c r="Y9" s="222">
        <f t="shared" si="7"/>
        <v>0</v>
      </c>
      <c r="Z9" s="222">
        <f t="shared" si="8"/>
        <v>66997493.390597343</v>
      </c>
      <c r="AA9" s="222">
        <f t="shared" si="1"/>
        <v>468642630.45007873</v>
      </c>
    </row>
    <row r="10" spans="2:27" ht="15" thickBot="1" x14ac:dyDescent="0.4">
      <c r="B10" s="87" t="s">
        <v>24</v>
      </c>
      <c r="C10" s="88">
        <f>SUM('ABP Under Contract'!K10:P10)</f>
        <v>191269411.35841674</v>
      </c>
      <c r="D10" s="88">
        <f>'REC Spend projected'!H10+'REC Spend projected'!I10+'REC Spend projected'!J10+'REC Spend projected'!K10+'REC Spend projected'!L10</f>
        <v>130947897.27383934</v>
      </c>
      <c r="E10" s="89">
        <f>'Projected ABP Spend'!B188</f>
        <v>20342644.072940961</v>
      </c>
      <c r="F10" s="88">
        <f>'Projected ABP Spend'!C187</f>
        <v>204284231.95154271</v>
      </c>
      <c r="G10" s="88"/>
      <c r="H10" s="88"/>
      <c r="I10" s="88"/>
      <c r="J10" s="88"/>
      <c r="K10" s="88"/>
      <c r="L10" s="88"/>
      <c r="M10" s="88"/>
      <c r="N10" s="88"/>
      <c r="O10" s="88">
        <f>SUM(G10:N10)</f>
        <v>0</v>
      </c>
      <c r="P10" s="88">
        <f>'REC Spend projected'!M10+'REC Spend projected'!N10+'REC Spend projected'!N10+'REC Spend projected'!O10</f>
        <v>66888811.399599314</v>
      </c>
      <c r="Q10" s="88">
        <f t="shared" si="3"/>
        <v>613732996.05633903</v>
      </c>
      <c r="R10" s="88">
        <f>'REC Spend projected'!AA10</f>
        <v>333254583.3620677</v>
      </c>
      <c r="S10" s="88">
        <f>'REC Spend projected'!AE10</f>
        <v>203593725.46508837</v>
      </c>
      <c r="T10" s="91"/>
      <c r="U10" s="87" t="s">
        <v>24</v>
      </c>
      <c r="V10" s="222">
        <f t="shared" si="4"/>
        <v>322217308.63225609</v>
      </c>
      <c r="W10" s="222">
        <f>E10</f>
        <v>20342644.072940961</v>
      </c>
      <c r="X10" s="222">
        <f t="shared" si="6"/>
        <v>204284231.95154271</v>
      </c>
      <c r="Y10" s="222">
        <f t="shared" si="7"/>
        <v>0</v>
      </c>
      <c r="Z10" s="222">
        <f t="shared" si="8"/>
        <v>66888811.399599314</v>
      </c>
      <c r="AA10" s="222">
        <f t="shared" si="1"/>
        <v>333254583.3620677</v>
      </c>
    </row>
    <row r="11" spans="2:27" ht="15" thickBot="1" x14ac:dyDescent="0.4">
      <c r="B11" s="87" t="s">
        <v>25</v>
      </c>
      <c r="C11" s="88">
        <f>SUM('ABP Under Contract'!K11:P11)</f>
        <v>168235411.58641675</v>
      </c>
      <c r="D11" s="88">
        <f>'REC Spend projected'!H11+'REC Spend projected'!I11+'REC Spend projected'!J11+'REC Spend projected'!K11+'REC Spend projected'!L11</f>
        <v>119946176.15084335</v>
      </c>
      <c r="E11" s="89">
        <f>'Projected ABP Spend'!B189+'Indexed REC Spend'!H102</f>
        <v>20272258.843657054</v>
      </c>
      <c r="F11" s="88">
        <f>'Projected ABP Spend'!C188+'Indexed REC Spend'!H102</f>
        <v>257496414.97674048</v>
      </c>
      <c r="G11" s="88">
        <f>'Projected ABP Spend'!D188+'Indexed REC Spend'!I102</f>
        <v>37110065.908214293</v>
      </c>
      <c r="H11" s="88">
        <f>'Projected ABP Spend'!E188+'Indexed REC Spend'!J102</f>
        <v>0</v>
      </c>
      <c r="I11" s="88">
        <f>'Projected ABP Spend'!F188+'Indexed REC Spend'!K102</f>
        <v>0</v>
      </c>
      <c r="J11" s="88">
        <f>'Projected ABP Spend'!G188+'Indexed REC Spend'!L102</f>
        <v>0</v>
      </c>
      <c r="K11" s="88">
        <f>'Projected ABP Spend'!H188+'Indexed REC Spend'!M102</f>
        <v>0</v>
      </c>
      <c r="L11" s="88">
        <f>'Projected ABP Spend'!I188+'Indexed REC Spend'!N102</f>
        <v>0</v>
      </c>
      <c r="M11" s="88">
        <f>'Projected ABP Spend'!J188+'Indexed REC Spend'!O102</f>
        <v>0</v>
      </c>
      <c r="N11" s="88">
        <f>'Projected ABP Spend'!K188+'Indexed REC Spend'!P102</f>
        <v>0</v>
      </c>
      <c r="O11" s="88">
        <f t="shared" si="2"/>
        <v>37110065.908214293</v>
      </c>
      <c r="P11" s="88">
        <f>'REC Spend projected'!M11+'REC Spend projected'!N11+'REC Spend projected'!N11+'REC Spend projected'!O11</f>
        <v>86862404.659270331</v>
      </c>
      <c r="Q11" s="88">
        <f t="shared" si="3"/>
        <v>689922732.12514234</v>
      </c>
      <c r="R11" s="88">
        <f>'REC Spend projected'!AA11</f>
        <v>203593725.46508837</v>
      </c>
      <c r="S11" s="88">
        <f>'REC Spend projected'!AE11</f>
        <v>31891499.106424332</v>
      </c>
      <c r="T11" s="91"/>
      <c r="U11" s="87" t="s">
        <v>25</v>
      </c>
      <c r="V11" s="222">
        <f t="shared" si="4"/>
        <v>288181587.7372601</v>
      </c>
      <c r="W11" s="222">
        <f t="shared" si="5"/>
        <v>20272258.843657054</v>
      </c>
      <c r="X11" s="222">
        <f t="shared" si="6"/>
        <v>257496414.97674048</v>
      </c>
      <c r="Y11" s="222">
        <f t="shared" si="7"/>
        <v>37110065.908214293</v>
      </c>
      <c r="Z11" s="222">
        <f t="shared" si="8"/>
        <v>86862404.659270331</v>
      </c>
      <c r="AA11" s="222">
        <f t="shared" si="1"/>
        <v>203593725.46508837</v>
      </c>
    </row>
    <row r="12" spans="2:27" ht="15" thickBot="1" x14ac:dyDescent="0.4">
      <c r="B12" s="90" t="s">
        <v>26</v>
      </c>
      <c r="C12" s="88">
        <f>SUM('ABP Under Contract'!K12:P12)</f>
        <v>149431703.75641668</v>
      </c>
      <c r="D12" s="88">
        <f>'REC Spend projected'!H12+'REC Spend projected'!I12+'REC Spend projected'!J12+'REC Spend projected'!K12+'REC Spend projected'!L12</f>
        <v>118449742.59532848</v>
      </c>
      <c r="E12" s="89">
        <f>'Projected ABP Spend'!B190+'Indexed REC Spend'!H103</f>
        <v>20202225.540519565</v>
      </c>
      <c r="F12" s="88">
        <f>'Projected ABP Spend'!C189+'Indexed REC Spend'!H103</f>
        <v>119886791.65324765</v>
      </c>
      <c r="G12" s="88">
        <f>'Projected ABP Spend'!D189+'Indexed REC Spend'!I103</f>
        <v>239880819.40541947</v>
      </c>
      <c r="H12" s="88">
        <f>'Projected ABP Spend'!E189+'Indexed REC Spend'!J103</f>
        <v>0</v>
      </c>
      <c r="I12" s="88">
        <f>'Projected ABP Spend'!F189+'Indexed REC Spend'!K103</f>
        <v>0</v>
      </c>
      <c r="J12" s="88">
        <f>'Projected ABP Spend'!G189+'Indexed REC Spend'!L103</f>
        <v>0</v>
      </c>
      <c r="K12" s="88">
        <f>'Projected ABP Spend'!H189+'Indexed REC Spend'!M103</f>
        <v>0</v>
      </c>
      <c r="L12" s="88">
        <f>'Projected ABP Spend'!I189+'Indexed REC Spend'!N103</f>
        <v>0</v>
      </c>
      <c r="M12" s="88">
        <f>'Projected ABP Spend'!J189+'Indexed REC Spend'!O103</f>
        <v>0</v>
      </c>
      <c r="N12" s="88">
        <f>'Projected ABP Spend'!K189+'Indexed REC Spend'!P103</f>
        <v>0</v>
      </c>
      <c r="O12" s="88">
        <f t="shared" si="2"/>
        <v>239880819.40541947</v>
      </c>
      <c r="P12" s="88">
        <f>'REC Spend projected'!M12+'REC Spend projected'!N12+'REC Spend projected'!N12+'REC Spend projected'!O12</f>
        <v>66906426.967615873</v>
      </c>
      <c r="Q12" s="88">
        <f t="shared" si="3"/>
        <v>714757709.91854763</v>
      </c>
      <c r="R12" s="88">
        <f>'REC Spend projected'!AA12</f>
        <v>31891499.106424332</v>
      </c>
      <c r="S12" s="88">
        <f>'REC Spend projected'!AE12</f>
        <v>-167344967.04357708</v>
      </c>
      <c r="T12" s="91"/>
      <c r="U12" s="90" t="s">
        <v>26</v>
      </c>
      <c r="V12" s="222">
        <f t="shared" si="4"/>
        <v>267881446.35174516</v>
      </c>
      <c r="W12" s="222">
        <f t="shared" si="5"/>
        <v>20202225.540519565</v>
      </c>
      <c r="X12" s="222">
        <f t="shared" si="6"/>
        <v>119886791.65324765</v>
      </c>
      <c r="Y12" s="222">
        <f t="shared" si="7"/>
        <v>239880819.40541947</v>
      </c>
      <c r="Z12" s="222">
        <f t="shared" si="8"/>
        <v>66906426.967615873</v>
      </c>
      <c r="AA12" s="222">
        <f t="shared" si="1"/>
        <v>31891499.106424332</v>
      </c>
    </row>
    <row r="13" spans="2:27" ht="15" thickBot="1" x14ac:dyDescent="0.4">
      <c r="B13" s="87" t="s">
        <v>27</v>
      </c>
      <c r="C13" s="88">
        <f>SUM('ABP Under Contract'!K13:P13)</f>
        <v>147751634.79308334</v>
      </c>
      <c r="D13" s="88">
        <f>'REC Spend projected'!H13+'REC Spend projected'!I13+'REC Spend projected'!J13+'REC Spend projected'!K13+'REC Spend projected'!L13</f>
        <v>102187449.29999152</v>
      </c>
      <c r="E13" s="89">
        <f>'Projected ABP Spend'!B191+'Indexed REC Spend'!H104</f>
        <v>20132542.403897766</v>
      </c>
      <c r="F13" s="88">
        <f>'Projected ABP Spend'!C190+'Indexed REC Spend'!H104</f>
        <v>119367538.15672907</v>
      </c>
      <c r="G13" s="88">
        <f>'Projected ABP Spend'!D190+'Indexed REC Spend'!I104</f>
        <v>286365772.35704452</v>
      </c>
      <c r="H13" s="88">
        <f>'Projected ABP Spend'!E190+'Indexed REC Spend'!J104</f>
        <v>23241330.456349153</v>
      </c>
      <c r="I13" s="88">
        <f>'Projected ABP Spend'!F190+'Indexed REC Spend'!K104</f>
        <v>0</v>
      </c>
      <c r="J13" s="88">
        <f>'Projected ABP Spend'!G190+'Indexed REC Spend'!L104</f>
        <v>0</v>
      </c>
      <c r="K13" s="88">
        <f>'Projected ABP Spend'!H190+'Indexed REC Spend'!M104</f>
        <v>0</v>
      </c>
      <c r="L13" s="88">
        <f>'Projected ABP Spend'!I190+'Indexed REC Spend'!N104</f>
        <v>0</v>
      </c>
      <c r="M13" s="88">
        <f>'Projected ABP Spend'!J190+'Indexed REC Spend'!O104</f>
        <v>0</v>
      </c>
      <c r="N13" s="88">
        <f>'Projected ABP Spend'!K190+'Indexed REC Spend'!P104</f>
        <v>0</v>
      </c>
      <c r="O13" s="88">
        <f t="shared" si="2"/>
        <v>309607102.81339365</v>
      </c>
      <c r="P13" s="88">
        <f>'REC Spend projected'!M13+'REC Spend projected'!N13+'REC Spend projected'!N13+'REC Spend projected'!O13</f>
        <v>66920397.125927687</v>
      </c>
      <c r="Q13" s="88">
        <f t="shared" si="3"/>
        <v>765966664.59302306</v>
      </c>
      <c r="R13" s="88">
        <f>'REC Spend projected'!AA13</f>
        <v>-167344967.04357708</v>
      </c>
      <c r="S13" s="88">
        <f>'REC Spend projected'!AE13</f>
        <v>-413828076.31385303</v>
      </c>
      <c r="T13" s="91"/>
      <c r="U13" s="87" t="s">
        <v>27</v>
      </c>
      <c r="V13" s="222">
        <f t="shared" si="4"/>
        <v>249939084.09307486</v>
      </c>
      <c r="W13" s="222">
        <f t="shared" si="5"/>
        <v>20132542.403897766</v>
      </c>
      <c r="X13" s="222">
        <f t="shared" si="6"/>
        <v>119367538.15672907</v>
      </c>
      <c r="Y13" s="222">
        <f t="shared" si="7"/>
        <v>309607102.81339365</v>
      </c>
      <c r="Z13" s="222">
        <f t="shared" si="8"/>
        <v>66920397.125927687</v>
      </c>
      <c r="AA13" s="222">
        <f t="shared" si="1"/>
        <v>-167344967.04357708</v>
      </c>
    </row>
    <row r="14" spans="2:27" ht="15" thickBot="1" x14ac:dyDescent="0.4">
      <c r="B14" s="87" t="s">
        <v>28</v>
      </c>
      <c r="C14" s="88">
        <f>SUM('ABP Under Contract'!K14:P14)</f>
        <v>144391245.13983333</v>
      </c>
      <c r="D14" s="88">
        <f>'REC Spend projected'!H14+'REC Spend projected'!I14+'REC Spend projected'!J14+'REC Spend projected'!K14+'REC Spend projected'!L14</f>
        <v>108104423.52360602</v>
      </c>
      <c r="E14" s="89">
        <f>'Projected ABP Spend'!B192+'Indexed REC Spend'!H105</f>
        <v>20063207.682959076</v>
      </c>
      <c r="F14" s="88">
        <f>'Projected ABP Spend'!C191+'Indexed REC Spend'!H105</f>
        <v>119149982.88322468</v>
      </c>
      <c r="G14" s="88">
        <f>'Projected ABP Spend'!D191+'Indexed REC Spend'!I105</f>
        <v>125850259.12772524</v>
      </c>
      <c r="H14" s="88">
        <f>'Projected ABP Spend'!E191+'Indexed REC Spend'!J105</f>
        <v>196520310.80669355</v>
      </c>
      <c r="I14" s="88">
        <f>'Projected ABP Spend'!F191+'Indexed REC Spend'!K105</f>
        <v>0</v>
      </c>
      <c r="J14" s="88">
        <f>'Projected ABP Spend'!G191+'Indexed REC Spend'!L105</f>
        <v>0</v>
      </c>
      <c r="K14" s="88">
        <f>'Projected ABP Spend'!H191+'Indexed REC Spend'!M105</f>
        <v>0</v>
      </c>
      <c r="L14" s="88">
        <f>'Projected ABP Spend'!I191+'Indexed REC Spend'!N105</f>
        <v>0</v>
      </c>
      <c r="M14" s="88">
        <f>'Projected ABP Spend'!J191+'Indexed REC Spend'!O105</f>
        <v>0</v>
      </c>
      <c r="N14" s="88">
        <f>'Projected ABP Spend'!K191+'Indexed REC Spend'!P105</f>
        <v>0</v>
      </c>
      <c r="O14" s="88">
        <f t="shared" si="2"/>
        <v>322370569.9344188</v>
      </c>
      <c r="P14" s="88">
        <f>'REC Spend projected'!M14+'REC Spend projected'!N14+'REC Spend projected'!N14+'REC Spend projected'!O14</f>
        <v>87023386.929470733</v>
      </c>
      <c r="Q14" s="88">
        <f t="shared" si="3"/>
        <v>801102816.09351265</v>
      </c>
      <c r="R14" s="88">
        <f>'REC Spend projected'!AA14</f>
        <v>-413828076.31385303</v>
      </c>
      <c r="S14" s="88">
        <f>'REC Spend projected'!AE14</f>
        <v>-676206743.40501845</v>
      </c>
      <c r="T14" s="91"/>
      <c r="U14" s="87" t="s">
        <v>28</v>
      </c>
      <c r="V14" s="222">
        <f t="shared" si="4"/>
        <v>252495668.66343933</v>
      </c>
      <c r="W14" s="222">
        <f t="shared" si="5"/>
        <v>20063207.682959076</v>
      </c>
      <c r="X14" s="222">
        <f t="shared" si="6"/>
        <v>119149982.88322468</v>
      </c>
      <c r="Y14" s="222">
        <f t="shared" si="7"/>
        <v>322370569.9344188</v>
      </c>
      <c r="Z14" s="222">
        <f t="shared" si="8"/>
        <v>87023386.929470733</v>
      </c>
      <c r="AA14" s="222">
        <f t="shared" si="1"/>
        <v>-413828076.31385303</v>
      </c>
    </row>
    <row r="15" spans="2:27" ht="15" thickBot="1" x14ac:dyDescent="0.4">
      <c r="B15" s="87" t="s">
        <v>29</v>
      </c>
      <c r="C15" s="88">
        <f>SUM('ABP Under Contract'!K15:P15)</f>
        <v>120127809.79316667</v>
      </c>
      <c r="D15" s="88">
        <f>'REC Spend projected'!H15+'REC Spend projected'!I15+'REC Spend projected'!J15+'REC Spend projected'!K15+'REC Spend projected'!L15</f>
        <v>124828656.02397408</v>
      </c>
      <c r="E15" s="89">
        <f>'Projected ABP Spend'!B193+'Indexed REC Spend'!H106</f>
        <v>13728621.41946538</v>
      </c>
      <c r="F15" s="88">
        <f>'Projected ABP Spend'!C192+'Indexed REC Spend'!H106</f>
        <v>118933515.38608779</v>
      </c>
      <c r="G15" s="88">
        <f>'Projected ABP Spend'!D192+'Indexed REC Spend'!I106</f>
        <v>138588411.34678003</v>
      </c>
      <c r="H15" s="88">
        <f>'Projected ABP Spend'!E192+'Indexed REC Spend'!J106</f>
        <v>250876122.75527006</v>
      </c>
      <c r="I15" s="88">
        <f>'Projected ABP Spend'!F192+'Indexed REC Spend'!K106</f>
        <v>11540746.130952429</v>
      </c>
      <c r="J15" s="88">
        <f>'Projected ABP Spend'!G192+'Indexed REC Spend'!L106</f>
        <v>0</v>
      </c>
      <c r="K15" s="88">
        <f>'Projected ABP Spend'!H192+'Indexed REC Spend'!M106</f>
        <v>0</v>
      </c>
      <c r="L15" s="88">
        <f>'Projected ABP Spend'!I192+'Indexed REC Spend'!N106</f>
        <v>0</v>
      </c>
      <c r="M15" s="88">
        <f>'Projected ABP Spend'!J192+'Indexed REC Spend'!O106</f>
        <v>0</v>
      </c>
      <c r="N15" s="88">
        <f>'Projected ABP Spend'!K192+'Indexed REC Spend'!P106</f>
        <v>0</v>
      </c>
      <c r="O15" s="88">
        <f t="shared" si="2"/>
        <v>401005280.23300248</v>
      </c>
      <c r="P15" s="88">
        <f>'REC Spend projected'!M15+'REC Spend projected'!N15+'REC Spend projected'!N15+'REC Spend projected'!O15</f>
        <v>67120451.256649822</v>
      </c>
      <c r="Q15" s="88">
        <f t="shared" si="3"/>
        <v>845744334.11234629</v>
      </c>
      <c r="R15" s="88">
        <f>'REC Spend projected'!AA15</f>
        <v>-676206743.40501845</v>
      </c>
      <c r="S15" s="88">
        <f>'REC Spend projected'!AE15</f>
        <v>-933272625.60694325</v>
      </c>
      <c r="T15" s="91"/>
      <c r="U15" s="87" t="s">
        <v>29</v>
      </c>
      <c r="V15" s="222">
        <f t="shared" si="4"/>
        <v>244956465.81714076</v>
      </c>
      <c r="W15" s="222">
        <f t="shared" si="5"/>
        <v>13728621.41946538</v>
      </c>
      <c r="X15" s="222">
        <f t="shared" si="6"/>
        <v>118933515.38608779</v>
      </c>
      <c r="Y15" s="222">
        <f t="shared" si="7"/>
        <v>401005280.23300248</v>
      </c>
      <c r="Z15" s="222">
        <f t="shared" si="8"/>
        <v>67120451.256649822</v>
      </c>
      <c r="AA15" s="222">
        <f t="shared" si="1"/>
        <v>-676206743.40501845</v>
      </c>
    </row>
    <row r="16" spans="2:27" ht="15" thickBot="1" x14ac:dyDescent="0.4">
      <c r="B16" s="87" t="s">
        <v>30</v>
      </c>
      <c r="C16" s="88">
        <f>SUM('ABP Under Contract'!K16:P16)</f>
        <v>95159580.779999971</v>
      </c>
      <c r="D16" s="88">
        <f>'REC Spend projected'!H16+'REC Spend projected'!I16+'REC Spend projected'!J16+'REC Spend projected'!K16+'REC Spend projected'!L16</f>
        <v>123878718.67849769</v>
      </c>
      <c r="E16" s="89">
        <f>'Projected ABP Spend'!B194+'Indexed REC Spend'!H107</f>
        <v>13659978.312368052</v>
      </c>
      <c r="F16" s="88">
        <f>'Projected ABP Spend'!C193+'Indexed REC Spend'!H107</f>
        <v>118718130.2264366</v>
      </c>
      <c r="G16" s="88">
        <f>'Projected ABP Spend'!D193+'Indexed REC Spend'!I107</f>
        <v>174800151.32546276</v>
      </c>
      <c r="H16" s="88">
        <f>'Projected ABP Spend'!E193+'Indexed REC Spend'!J107</f>
        <v>159303939.99749732</v>
      </c>
      <c r="I16" s="88">
        <f>'Projected ABP Spend'!F193+'Indexed REC Spend'!K107</f>
        <v>205374728.23671785</v>
      </c>
      <c r="J16" s="88">
        <f>'Projected ABP Spend'!G193+'Indexed REC Spend'!L107</f>
        <v>0</v>
      </c>
      <c r="K16" s="88">
        <f>'Projected ABP Spend'!H193+'Indexed REC Spend'!M107</f>
        <v>0</v>
      </c>
      <c r="L16" s="88">
        <f>'Projected ABP Spend'!I193+'Indexed REC Spend'!N107</f>
        <v>0</v>
      </c>
      <c r="M16" s="88">
        <f>'Projected ABP Spend'!J193+'Indexed REC Spend'!O107</f>
        <v>0</v>
      </c>
      <c r="N16" s="88">
        <f>'Projected ABP Spend'!K193+'Indexed REC Spend'!P107</f>
        <v>0</v>
      </c>
      <c r="O16" s="88">
        <f t="shared" si="2"/>
        <v>539478819.55967796</v>
      </c>
      <c r="P16" s="88">
        <f>'REC Spend projected'!M16+'REC Spend projected'!N16+'REC Spend projected'!N16+'REC Spend projected'!O16</f>
        <v>67234402.603198841</v>
      </c>
      <c r="Q16" s="88">
        <f t="shared" si="3"/>
        <v>958129630.16017914</v>
      </c>
      <c r="R16" s="88">
        <f>'REC Spend projected'!AA16</f>
        <v>-933272625.60694325</v>
      </c>
      <c r="S16" s="88">
        <f>'REC Spend projected'!AE16</f>
        <v>-1278286086.428921</v>
      </c>
      <c r="T16" s="91"/>
      <c r="U16" s="87" t="s">
        <v>30</v>
      </c>
      <c r="V16" s="222">
        <f t="shared" si="4"/>
        <v>219038299.45849764</v>
      </c>
      <c r="W16" s="222">
        <f t="shared" si="5"/>
        <v>13659978.312368052</v>
      </c>
      <c r="X16" s="222">
        <f t="shared" si="6"/>
        <v>118718130.2264366</v>
      </c>
      <c r="Y16" s="222">
        <f t="shared" si="7"/>
        <v>539478819.55967796</v>
      </c>
      <c r="Z16" s="222">
        <f t="shared" si="8"/>
        <v>67234402.603198841</v>
      </c>
      <c r="AA16" s="222">
        <f t="shared" si="1"/>
        <v>-933272625.60694325</v>
      </c>
    </row>
    <row r="17" spans="2:27" ht="15" thickBot="1" x14ac:dyDescent="0.4">
      <c r="B17" s="87" t="s">
        <v>31</v>
      </c>
      <c r="C17" s="88">
        <f>SUM('ABP Under Contract'!K17:P17)</f>
        <v>94683832.709999993</v>
      </c>
      <c r="D17" s="88">
        <f>'REC Spend projected'!H17+'REC Spend projected'!I17+'REC Spend projected'!J17+'REC Spend projected'!K17+'REC Spend projected'!L17</f>
        <v>115579675.61025737</v>
      </c>
      <c r="E17" s="89">
        <f>'Projected ABP Spend'!B195+'Indexed REC Spend'!H108</f>
        <v>13591678.420806212</v>
      </c>
      <c r="F17" s="88">
        <f>'Projected ABP Spend'!C194+'Indexed REC Spend'!H108</f>
        <v>85124747.710290551</v>
      </c>
      <c r="G17" s="88">
        <f>'Projected ABP Spend'!D194+'Indexed REC Spend'!I108</f>
        <v>182347919.16889074</v>
      </c>
      <c r="H17" s="88">
        <f>'Projected ABP Spend'!E194+'Indexed REC Spend'!J108</f>
        <v>164180554.26148275</v>
      </c>
      <c r="I17" s="88">
        <f>'Projected ABP Spend'!F194+'Indexed REC Spend'!K108</f>
        <v>246741745.24300921</v>
      </c>
      <c r="J17" s="88">
        <f>'Projected ABP Spend'!G194+'Indexed REC Spend'!L108</f>
        <v>15395803.571428567</v>
      </c>
      <c r="K17" s="88">
        <f>'Projected ABP Spend'!H194+'Indexed REC Spend'!M108</f>
        <v>0</v>
      </c>
      <c r="L17" s="88">
        <f>'Projected ABP Spend'!I194+'Indexed REC Spend'!N108</f>
        <v>0</v>
      </c>
      <c r="M17" s="88">
        <f>'Projected ABP Spend'!J194+'Indexed REC Spend'!O108</f>
        <v>0</v>
      </c>
      <c r="N17" s="88">
        <f>'Projected ABP Spend'!K194+'Indexed REC Spend'!P108</f>
        <v>0</v>
      </c>
      <c r="O17" s="88">
        <f t="shared" si="2"/>
        <v>608666022.2448113</v>
      </c>
      <c r="P17" s="88">
        <f>'REC Spend projected'!M17+'REC Spend projected'!N17+'REC Spend projected'!N17+'REC Spend projected'!O17</f>
        <v>67289396.046359867</v>
      </c>
      <c r="Q17" s="88">
        <f t="shared" si="3"/>
        <v>984935352.74252534</v>
      </c>
      <c r="R17" s="88">
        <f>'REC Spend projected'!AA17</f>
        <v>-1278286086.428921</v>
      </c>
      <c r="S17" s="88">
        <f>'REC Spend projected'!AE17</f>
        <v>-1570910717.7168217</v>
      </c>
      <c r="T17" s="91"/>
      <c r="U17" s="87" t="s">
        <v>31</v>
      </c>
      <c r="V17" s="222">
        <f t="shared" si="4"/>
        <v>210263508.32025737</v>
      </c>
      <c r="W17" s="222">
        <f t="shared" si="5"/>
        <v>13591678.420806212</v>
      </c>
      <c r="X17" s="222">
        <f t="shared" si="6"/>
        <v>85124747.710290551</v>
      </c>
      <c r="Y17" s="222">
        <f t="shared" si="7"/>
        <v>608666022.2448113</v>
      </c>
      <c r="Z17" s="222">
        <f t="shared" si="8"/>
        <v>67289396.046359867</v>
      </c>
      <c r="AA17" s="222">
        <f t="shared" si="1"/>
        <v>-1278286086.428921</v>
      </c>
    </row>
    <row r="18" spans="2:27" ht="15" thickBot="1" x14ac:dyDescent="0.4">
      <c r="B18" s="87" t="s">
        <v>32</v>
      </c>
      <c r="C18" s="88">
        <f>SUM('ABP Under Contract'!K18:P18)</f>
        <v>94210348.480000004</v>
      </c>
      <c r="D18" s="88">
        <f>'REC Spend projected'!H18+'REC Spend projected'!I18+'REC Spend projected'!J18+'REC Spend projected'!K18+'REC Spend projected'!L18</f>
        <v>102116354.77414417</v>
      </c>
      <c r="E18" s="89">
        <f>'Projected ABP Spend'!B196+'Indexed REC Spend'!H109</f>
        <v>13523720.028702181</v>
      </c>
      <c r="F18" s="88">
        <f>'Projected ABP Spend'!C195+'Indexed REC Spend'!H109</f>
        <v>47544386.511424586</v>
      </c>
      <c r="G18" s="88">
        <f>'Projected ABP Spend'!D195+'Indexed REC Spend'!I109</f>
        <v>168531739.42438403</v>
      </c>
      <c r="H18" s="88">
        <f>'Projected ABP Spend'!E195+'Indexed REC Spend'!J109</f>
        <v>154443406.9255344</v>
      </c>
      <c r="I18" s="88">
        <f>'Projected ABP Spend'!F195+'Indexed REC Spend'!K109</f>
        <v>132364483.45198277</v>
      </c>
      <c r="J18" s="88">
        <f>'Projected ABP Spend'!G195+'Indexed REC Spend'!L109</f>
        <v>173961044.85040045</v>
      </c>
      <c r="K18" s="88">
        <f>'Projected ABP Spend'!H195+'Indexed REC Spend'!M109</f>
        <v>0</v>
      </c>
      <c r="L18" s="88">
        <f>'Projected ABP Spend'!I195+'Indexed REC Spend'!N109</f>
        <v>0</v>
      </c>
      <c r="M18" s="88">
        <f>'Projected ABP Spend'!J195+'Indexed REC Spend'!O109</f>
        <v>0</v>
      </c>
      <c r="N18" s="88">
        <f>'Projected ABP Spend'!K195+'Indexed REC Spend'!P109</f>
        <v>0</v>
      </c>
      <c r="O18" s="88">
        <f t="shared" si="2"/>
        <v>629300674.65230167</v>
      </c>
      <c r="P18" s="88">
        <f>'REC Spend projected'!M18+'REC Spend projected'!N18+'REC Spend projected'!N18+'REC Spend projected'!O18</f>
        <v>67378693.799014568</v>
      </c>
      <c r="Q18" s="88">
        <f t="shared" si="3"/>
        <v>954074178.24558711</v>
      </c>
      <c r="R18" s="88">
        <f>'REC Spend projected'!AA18</f>
        <v>-1570910717.7168217</v>
      </c>
      <c r="S18" s="88">
        <f>'REC Spend projected'!AE18</f>
        <v>-1812779719.217381</v>
      </c>
      <c r="T18" s="91"/>
      <c r="U18" s="87" t="s">
        <v>32</v>
      </c>
      <c r="V18" s="222">
        <f t="shared" si="4"/>
        <v>196326703.25414419</v>
      </c>
      <c r="W18" s="222">
        <f t="shared" si="5"/>
        <v>13523720.028702181</v>
      </c>
      <c r="X18" s="222">
        <f t="shared" si="6"/>
        <v>47544386.511424586</v>
      </c>
      <c r="Y18" s="222">
        <f t="shared" si="7"/>
        <v>629300674.65230167</v>
      </c>
      <c r="Z18" s="222">
        <f t="shared" si="8"/>
        <v>67378693.799014568</v>
      </c>
      <c r="AA18" s="222">
        <f t="shared" si="1"/>
        <v>-1570910717.7168217</v>
      </c>
    </row>
    <row r="19" spans="2:27" ht="15" thickBot="1" x14ac:dyDescent="0.4">
      <c r="B19" s="87" t="s">
        <v>33</v>
      </c>
      <c r="C19" s="88">
        <f>SUM('ABP Under Contract'!K19:P19)</f>
        <v>93739148.289999992</v>
      </c>
      <c r="D19" s="88">
        <f>'REC Spend projected'!H19+'REC Spend projected'!I19+'REC Spend projected'!J19+'REC Spend projected'!K19+'REC Spend projected'!L19</f>
        <v>89750399.238758385</v>
      </c>
      <c r="E19" s="89">
        <f>'Projected ABP Spend'!B197+'Indexed REC Spend'!H110</f>
        <v>13456101.42855867</v>
      </c>
      <c r="F19" s="88">
        <f>'Projected ABP Spend'!C196+'Indexed REC Spend'!H110</f>
        <v>42221931.334830657</v>
      </c>
      <c r="G19" s="88">
        <f>'Projected ABP Spend'!D196+'Indexed REC Spend'!I110</f>
        <v>109188012.4550309</v>
      </c>
      <c r="H19" s="88">
        <f>'Projected ABP Spend'!E196+'Indexed REC Spend'!J110</f>
        <v>134454231.87143287</v>
      </c>
      <c r="I19" s="88">
        <f>'Projected ABP Spend'!F196+'Indexed REC Spend'!K110</f>
        <v>118152037.82999244</v>
      </c>
      <c r="J19" s="88">
        <f>'Projected ABP Spend'!G196+'Indexed REC Spend'!L110</f>
        <v>132447792.50319335</v>
      </c>
      <c r="K19" s="88">
        <f>'Projected ABP Spend'!H196+'Indexed REC Spend'!M110</f>
        <v>8961214.2857142873</v>
      </c>
      <c r="L19" s="88">
        <f>'Projected ABP Spend'!I196+'Indexed REC Spend'!N110</f>
        <v>0</v>
      </c>
      <c r="M19" s="88">
        <f>'Projected ABP Spend'!J196+'Indexed REC Spend'!O110</f>
        <v>0</v>
      </c>
      <c r="N19" s="88">
        <f>'Projected ABP Spend'!K196+'Indexed REC Spend'!P110</f>
        <v>0</v>
      </c>
      <c r="O19" s="88">
        <f t="shared" si="2"/>
        <v>503203288.94536388</v>
      </c>
      <c r="P19" s="88">
        <f>'REC Spend projected'!M19+'REC Spend projected'!N19+'REC Spend projected'!N19+'REC Spend projected'!O19</f>
        <v>67444210.839039311</v>
      </c>
      <c r="Q19" s="88">
        <f t="shared" si="3"/>
        <v>809815080.07655096</v>
      </c>
      <c r="R19" s="88">
        <f>'REC Spend projected'!AA19</f>
        <v>-1812779719.217381</v>
      </c>
      <c r="S19" s="88">
        <f>'REC Spend projected'!AE19</f>
        <v>-1964677868.139348</v>
      </c>
      <c r="T19" s="91"/>
      <c r="U19" s="87" t="s">
        <v>33</v>
      </c>
      <c r="V19" s="222">
        <f t="shared" si="4"/>
        <v>183489547.52875838</v>
      </c>
      <c r="W19" s="222">
        <f t="shared" si="5"/>
        <v>13456101.42855867</v>
      </c>
      <c r="X19" s="222">
        <f t="shared" si="6"/>
        <v>42221931.334830657</v>
      </c>
      <c r="Y19" s="222">
        <f t="shared" si="7"/>
        <v>503203288.94536388</v>
      </c>
      <c r="Z19" s="222">
        <f t="shared" si="8"/>
        <v>67444210.839039311</v>
      </c>
      <c r="AA19" s="222">
        <f t="shared" si="1"/>
        <v>-1812779719.217381</v>
      </c>
    </row>
    <row r="20" spans="2:27" ht="15" thickBot="1" x14ac:dyDescent="0.4">
      <c r="B20" s="87" t="s">
        <v>34</v>
      </c>
      <c r="C20" s="88">
        <f>SUM('ABP Under Contract'!K20:P20)</f>
        <v>93270665.320000023</v>
      </c>
      <c r="D20" s="88">
        <f>'REC Spend projected'!H20+'REC Spend projected'!I20+'REC Spend projected'!J20+'REC Spend projected'!K20+'REC Spend projected'!L20</f>
        <v>71100602.095324069</v>
      </c>
      <c r="E20" s="89">
        <f>'Projected ABP Spend'!B198+'Indexed REC Spend'!H111</f>
        <v>13388820.921415877</v>
      </c>
      <c r="F20" s="88">
        <f>'Projected ABP Spend'!C197+'Indexed REC Spend'!H111</f>
        <v>42010821.678156503</v>
      </c>
      <c r="G20" s="88">
        <f>'Projected ABP Spend'!D197+'Indexed REC Spend'!I111</f>
        <v>55842024.909542345</v>
      </c>
      <c r="H20" s="88">
        <f>'Projected ABP Spend'!E197+'Indexed REC Spend'!J111</f>
        <v>121212049.92489898</v>
      </c>
      <c r="I20" s="88">
        <f>'Projected ABP Spend'!F197+'Indexed REC Spend'!K111</f>
        <v>108875677.13883539</v>
      </c>
      <c r="J20" s="88">
        <f>'Projected ABP Spend'!G197+'Indexed REC Spend'!L111</f>
        <v>77205587.522509903</v>
      </c>
      <c r="K20" s="88">
        <f>'Projected ABP Spend'!H197+'Indexed REC Spend'!M111</f>
        <v>80040631.892461315</v>
      </c>
      <c r="L20" s="88">
        <f>'Projected ABP Spend'!I197+'Indexed REC Spend'!N111</f>
        <v>0</v>
      </c>
      <c r="M20" s="88">
        <f>'Projected ABP Spend'!J197+'Indexed REC Spend'!O111</f>
        <v>0</v>
      </c>
      <c r="N20" s="88">
        <f>'Projected ABP Spend'!K197+'Indexed REC Spend'!P111</f>
        <v>0</v>
      </c>
      <c r="O20" s="88">
        <f t="shared" si="2"/>
        <v>443175971.38824797</v>
      </c>
      <c r="P20" s="88">
        <f>'REC Spend projected'!M20+'REC Spend projected'!N20+'REC Spend projected'!N20+'REC Spend projected'!O20</f>
        <v>67522169.66182524</v>
      </c>
      <c r="Q20" s="88">
        <f t="shared" si="3"/>
        <v>730469051.06496954</v>
      </c>
      <c r="R20" s="88">
        <f>'REC Spend projected'!AA20</f>
        <v>-1964677868.139348</v>
      </c>
      <c r="S20" s="88">
        <f>'REC Spend projected'!AE20</f>
        <v>-2038366983.1641808</v>
      </c>
      <c r="T20" s="91"/>
      <c r="U20" s="87" t="s">
        <v>34</v>
      </c>
      <c r="V20" s="222">
        <f t="shared" si="4"/>
        <v>164371267.41532409</v>
      </c>
      <c r="W20" s="222">
        <f t="shared" si="5"/>
        <v>13388820.921415877</v>
      </c>
      <c r="X20" s="222">
        <f t="shared" si="6"/>
        <v>42010821.678156503</v>
      </c>
      <c r="Y20" s="222">
        <f t="shared" si="7"/>
        <v>443175971.38824797</v>
      </c>
      <c r="Z20" s="222">
        <f t="shared" si="8"/>
        <v>67522169.66182524</v>
      </c>
      <c r="AA20" s="222">
        <f t="shared" si="1"/>
        <v>-1964677868.139348</v>
      </c>
    </row>
    <row r="21" spans="2:27" ht="15" thickBot="1" x14ac:dyDescent="0.4">
      <c r="B21" s="87" t="s">
        <v>35</v>
      </c>
      <c r="C21" s="88">
        <f>SUM('ABP Under Contract'!K21:P21)</f>
        <v>92804264.210000008</v>
      </c>
      <c r="D21" s="88">
        <f>'REC Spend projected'!H21+'REC Spend projected'!I21+'REC Spend projected'!J21+'REC Spend projected'!K21+'REC Spend projected'!L21</f>
        <v>57911425.743519291</v>
      </c>
      <c r="E21" s="89">
        <f>'Projected ABP Spend'!B199+'Indexed REC Spend'!H112</f>
        <v>13321876.816808797</v>
      </c>
      <c r="F21" s="88">
        <f>'Projected ABP Spend'!C198+'Indexed REC Spend'!H112</f>
        <v>41800767.569765717</v>
      </c>
      <c r="G21" s="88">
        <f>'Projected ABP Spend'!D198+'Indexed REC Spend'!I112</f>
        <v>36203086.175324388</v>
      </c>
      <c r="H21" s="88">
        <f>'Projected ABP Spend'!E198+'Indexed REC Spend'!J112</f>
        <v>82399740.160170123</v>
      </c>
      <c r="I21" s="88">
        <f>'Projected ABP Spend'!F198+'Indexed REC Spend'!K112</f>
        <v>101536474.56810562</v>
      </c>
      <c r="J21" s="88">
        <f>'Projected ABP Spend'!G198+'Indexed REC Spend'!L112</f>
        <v>72405513.916410863</v>
      </c>
      <c r="K21" s="88">
        <f>'Projected ABP Spend'!H198+'Indexed REC Spend'!M112</f>
        <v>93135868.723197699</v>
      </c>
      <c r="L21" s="88">
        <f>'Projected ABP Spend'!I198+'Indexed REC Spend'!N112</f>
        <v>3821696.4285714356</v>
      </c>
      <c r="M21" s="88">
        <f>'Projected ABP Spend'!J198+'Indexed REC Spend'!O112</f>
        <v>0</v>
      </c>
      <c r="N21" s="88">
        <f>'Projected ABP Spend'!K198+'Indexed REC Spend'!P112</f>
        <v>0</v>
      </c>
      <c r="O21" s="88">
        <f t="shared" si="2"/>
        <v>389502379.97178018</v>
      </c>
      <c r="P21" s="88">
        <f>'REC Spend projected'!M21+'REC Spend projected'!N21+'REC Spend projected'!N21+'REC Spend projected'!O21</f>
        <v>67559698.762090176</v>
      </c>
      <c r="Q21" s="88">
        <f t="shared" si="3"/>
        <v>662900413.07396412</v>
      </c>
      <c r="R21" s="88">
        <f>'REC Spend projected'!AA21</f>
        <v>-2038366983.1641808</v>
      </c>
      <c r="S21" s="88">
        <f>'REC Spend projected'!AE21</f>
        <v>-2046321754.8185134</v>
      </c>
      <c r="T21" s="91"/>
      <c r="U21" s="87" t="s">
        <v>35</v>
      </c>
      <c r="V21" s="222">
        <f t="shared" si="4"/>
        <v>150715689.95351928</v>
      </c>
      <c r="W21" s="222">
        <f t="shared" si="5"/>
        <v>13321876.816808797</v>
      </c>
      <c r="X21" s="222">
        <f t="shared" si="6"/>
        <v>41800767.569765717</v>
      </c>
      <c r="Y21" s="222">
        <f t="shared" si="7"/>
        <v>389502379.97178018</v>
      </c>
      <c r="Z21" s="222">
        <f t="shared" si="8"/>
        <v>67559698.762090176</v>
      </c>
      <c r="AA21" s="222">
        <f t="shared" si="1"/>
        <v>-2038366983.1641808</v>
      </c>
    </row>
    <row r="22" spans="2:27" ht="15" thickBot="1" x14ac:dyDescent="0.4">
      <c r="B22" s="87" t="s">
        <v>36</v>
      </c>
      <c r="C22" s="88">
        <f>SUM('ABP Under Contract'!K22:P22)</f>
        <v>92339656.240000039</v>
      </c>
      <c r="D22" s="88">
        <f>'REC Spend projected'!H22+'REC Spend projected'!I22+'REC Spend projected'!J22+'REC Spend projected'!K22+'REC Spend projected'!L22</f>
        <v>51844829.029496558</v>
      </c>
      <c r="E22" s="89">
        <f>'Projected ABP Spend'!B200+'Indexed REC Spend'!H113</f>
        <v>13255267.432724753</v>
      </c>
      <c r="F22" s="88">
        <f>'Projected ABP Spend'!C199+'Indexed REC Spend'!H113</f>
        <v>41591763.73191689</v>
      </c>
      <c r="G22" s="88">
        <f>'Projected ABP Spend'!D199+'Indexed REC Spend'!I113</f>
        <v>20606211.197576169</v>
      </c>
      <c r="H22" s="88">
        <f>'Projected ABP Spend'!E199+'Indexed REC Spend'!J113</f>
        <v>39750891.312706247</v>
      </c>
      <c r="I22" s="88">
        <f>'Projected ABP Spend'!F199+'Indexed REC Spend'!K113</f>
        <v>93884258.500758201</v>
      </c>
      <c r="J22" s="88">
        <f>'Projected ABP Spend'!G199+'Indexed REC Spend'!L113</f>
        <v>67517627.647593081</v>
      </c>
      <c r="K22" s="88">
        <f>'Projected ABP Spend'!H199+'Indexed REC Spend'!M113</f>
        <v>42601232.608709164</v>
      </c>
      <c r="L22" s="88">
        <f>'Projected ABP Spend'!I199+'Indexed REC Spend'!N113</f>
        <v>65448963.989489205</v>
      </c>
      <c r="M22" s="88">
        <f>'Projected ABP Spend'!J199+'Indexed REC Spend'!O113</f>
        <v>0</v>
      </c>
      <c r="N22" s="88">
        <f>'Projected ABP Spend'!K199+'Indexed REC Spend'!P113</f>
        <v>0</v>
      </c>
      <c r="O22" s="88">
        <f t="shared" si="2"/>
        <v>329809185.25683206</v>
      </c>
      <c r="P22" s="88">
        <f>'REC Spend projected'!M22+'REC Spend projected'!N22+'REC Spend projected'!N22+'REC Spend projected'!O22</f>
        <v>67642751.566603482</v>
      </c>
      <c r="Q22" s="88">
        <f t="shared" si="3"/>
        <v>596483453.25757384</v>
      </c>
      <c r="R22" s="88">
        <f>'REC Spend projected'!AA22</f>
        <v>-2046321754.8185134</v>
      </c>
      <c r="S22" s="88">
        <f>'REC Spend projected'!AE22</f>
        <v>-1988196866.708487</v>
      </c>
      <c r="T22" s="91"/>
      <c r="U22" s="87" t="s">
        <v>36</v>
      </c>
      <c r="V22" s="222">
        <f t="shared" si="4"/>
        <v>144184485.26949659</v>
      </c>
      <c r="W22" s="222">
        <f t="shared" si="5"/>
        <v>13255267.432724753</v>
      </c>
      <c r="X22" s="222">
        <f t="shared" si="6"/>
        <v>41591763.73191689</v>
      </c>
      <c r="Y22" s="222">
        <f t="shared" si="7"/>
        <v>329809185.25683206</v>
      </c>
      <c r="Z22" s="222">
        <f t="shared" si="8"/>
        <v>67642751.566603482</v>
      </c>
      <c r="AA22" s="222">
        <f t="shared" si="1"/>
        <v>-2046321754.8185134</v>
      </c>
    </row>
    <row r="23" spans="2:27" ht="15" thickBot="1" x14ac:dyDescent="0.4">
      <c r="B23" s="87" t="s">
        <v>37</v>
      </c>
      <c r="C23" s="88">
        <f>SUM('ABP Under Contract'!K23:P23)</f>
        <v>91878445.420000002</v>
      </c>
      <c r="D23" s="88">
        <f>'REC Spend projected'!H23+'REC Spend projected'!I23+'REC Spend projected'!J23+'REC Spend projected'!K23+'REC Spend projected'!L23</f>
        <v>46273941.959102981</v>
      </c>
      <c r="E23" s="89">
        <f>'Projected ABP Spend'!B201+'Indexed REC Spend'!H114</f>
        <v>13188991.09556113</v>
      </c>
      <c r="F23" s="88">
        <f>'Projected ABP Spend'!C200+'Indexed REC Spend'!H114</f>
        <v>41383804.913257301</v>
      </c>
      <c r="G23" s="88">
        <f>'Projected ABP Spend'!D200+'Indexed REC Spend'!I114</f>
        <v>7634076.7763610817</v>
      </c>
      <c r="H23" s="88">
        <f>'Projected ABP Spend'!E200+'Indexed REC Spend'!J114</f>
        <v>26333640.527396295</v>
      </c>
      <c r="I23" s="88">
        <f>'Projected ABP Spend'!F200+'Indexed REC Spend'!K114</f>
        <v>61382483.90491119</v>
      </c>
      <c r="J23" s="88">
        <f>'Projected ABP Spend'!G200+'Indexed REC Spend'!L114</f>
        <v>63446050.373400316</v>
      </c>
      <c r="K23" s="88">
        <f>'Projected ABP Spend'!H200+'Indexed REC Spend'!M114</f>
        <v>38457105.182816498</v>
      </c>
      <c r="L23" s="88">
        <f>'Projected ABP Spend'!I200+'Indexed REC Spend'!N114</f>
        <v>77761319.066643387</v>
      </c>
      <c r="M23" s="88">
        <f>'Projected ABP Spend'!J200+'Indexed REC Spend'!O114</f>
        <v>-524678.57142858463</v>
      </c>
      <c r="N23" s="88">
        <f>'Projected ABP Spend'!K200+'Indexed REC Spend'!P114</f>
        <v>0</v>
      </c>
      <c r="O23" s="88">
        <f t="shared" si="2"/>
        <v>274489997.26010019</v>
      </c>
      <c r="P23" s="88">
        <f>'REC Spend projected'!M23+'REC Spend projected'!N23+'REC Spend projected'!N23+'REC Spend projected'!O23</f>
        <v>67710238.723197311</v>
      </c>
      <c r="Q23" s="88">
        <f t="shared" si="3"/>
        <v>534925419.37121892</v>
      </c>
      <c r="R23" s="88">
        <f>'REC Spend projected'!AA23</f>
        <v>-1988196866.708487</v>
      </c>
      <c r="S23" s="88">
        <f>'REC Spend projected'!AE23</f>
        <v>-1869002163.2465363</v>
      </c>
      <c r="T23" s="91"/>
      <c r="U23" s="87" t="s">
        <v>37</v>
      </c>
      <c r="V23" s="222">
        <f t="shared" si="4"/>
        <v>138152387.37910298</v>
      </c>
      <c r="W23" s="222">
        <f t="shared" si="5"/>
        <v>13188991.09556113</v>
      </c>
      <c r="X23" s="222">
        <f t="shared" si="6"/>
        <v>41383804.913257301</v>
      </c>
      <c r="Y23" s="222">
        <f t="shared" si="7"/>
        <v>274489997.26010019</v>
      </c>
      <c r="Z23" s="222">
        <f t="shared" si="8"/>
        <v>67710238.723197311</v>
      </c>
      <c r="AA23" s="222">
        <f t="shared" si="1"/>
        <v>-1988196866.708487</v>
      </c>
    </row>
    <row r="24" spans="2:27" ht="15" thickBot="1" x14ac:dyDescent="0.4">
      <c r="B24" s="87" t="s">
        <v>38</v>
      </c>
      <c r="C24" s="88">
        <f>SUM('ABP Under Contract'!K24:P24)</f>
        <v>91418878.689999968</v>
      </c>
      <c r="D24" s="88">
        <f>'REC Spend projected'!H24+'REC Spend projected'!I24+'REC Spend projected'!J24+'REC Spend projected'!K24+'REC Spend projected'!L24</f>
        <v>39154531.336603925</v>
      </c>
      <c r="E24" s="89">
        <f>'Projected ABP Spend'!B202+'Indexed REC Spend'!H115</f>
        <v>13123046.140083324</v>
      </c>
      <c r="F24" s="88">
        <f>'Projected ABP Spend'!C201+'Indexed REC Spend'!H115</f>
        <v>41176885.888691016</v>
      </c>
      <c r="G24" s="88">
        <f>'Projected ABP Spend'!D201+'Indexed REC Spend'!I115</f>
        <v>-4322300.573657684</v>
      </c>
      <c r="H24" s="88">
        <f>'Projected ABP Spend'!E201+'Indexed REC Spend'!J115</f>
        <v>17972615.952818625</v>
      </c>
      <c r="I24" s="88">
        <f>'Projected ABP Spend'!F201+'Indexed REC Spend'!K115</f>
        <v>26257877.535752907</v>
      </c>
      <c r="J24" s="88">
        <f>'Projected ABP Spend'!G201+'Indexed REC Spend'!L115</f>
        <v>59694323.865388066</v>
      </c>
      <c r="K24" s="88">
        <f>'Projected ABP Spend'!H201+'Indexed REC Spend'!M115</f>
        <v>34734031.13799005</v>
      </c>
      <c r="L24" s="88">
        <f>'Projected ABP Spend'!I201+'Indexed REC Spend'!N115</f>
        <v>31936764.205410205</v>
      </c>
      <c r="M24" s="88">
        <f>'Projected ABP Spend'!J201+'Indexed REC Spend'!O115</f>
        <v>52968844.300268799</v>
      </c>
      <c r="N24" s="88">
        <f>'Projected ABP Spend'!K201+'Indexed REC Spend'!P115</f>
        <v>0</v>
      </c>
      <c r="O24" s="88">
        <f t="shared" si="2"/>
        <v>219242156.42397097</v>
      </c>
      <c r="P24" s="88">
        <f>'REC Spend projected'!M24+'REC Spend projected'!N24+'REC Spend projected'!N24+'REC Spend projected'!O24</f>
        <v>67790826.711418763</v>
      </c>
      <c r="Q24" s="88">
        <f t="shared" si="3"/>
        <v>471906325.19076794</v>
      </c>
      <c r="R24" s="88">
        <f>'REC Spend projected'!AA24</f>
        <v>-1869002163.2465363</v>
      </c>
      <c r="S24" s="88">
        <f>'REC Spend projected'!AE24</f>
        <v>-1698224950.725493</v>
      </c>
      <c r="T24" s="91"/>
      <c r="U24" s="87" t="s">
        <v>38</v>
      </c>
      <c r="V24" s="222">
        <f t="shared" si="4"/>
        <v>130573410.02660389</v>
      </c>
      <c r="W24" s="222">
        <f t="shared" si="5"/>
        <v>13123046.140083324</v>
      </c>
      <c r="X24" s="222">
        <f t="shared" si="6"/>
        <v>41176885.888691016</v>
      </c>
      <c r="Y24" s="222">
        <f t="shared" si="7"/>
        <v>219242156.42397097</v>
      </c>
      <c r="Z24" s="222">
        <f t="shared" si="8"/>
        <v>67790826.711418763</v>
      </c>
      <c r="AA24" s="222">
        <f t="shared" si="1"/>
        <v>-1869002163.2465363</v>
      </c>
    </row>
    <row r="25" spans="2:27" ht="15" thickBot="1" x14ac:dyDescent="0.4">
      <c r="B25" s="87" t="s">
        <v>39</v>
      </c>
      <c r="C25" s="88">
        <f>SUM('ABP Under Contract'!K25:P25)</f>
        <v>90962308.839999974</v>
      </c>
      <c r="D25" s="88">
        <f>'REC Spend projected'!H25+'REC Spend projected'!I25+'REC Spend projected'!J25+'REC Spend projected'!K25+'REC Spend projected'!L25</f>
        <v>33327937.210552733</v>
      </c>
      <c r="E25" s="89">
        <f>'Projected ABP Spend'!B203+'Indexed REC Spend'!H116</f>
        <v>13057430.909382908</v>
      </c>
      <c r="F25" s="88">
        <f>'Projected ABP Spend'!C202+'Indexed REC Spend'!H116</f>
        <v>40971001.459247559</v>
      </c>
      <c r="G25" s="88">
        <f>'Projected ABP Spend'!D202+'Indexed REC Spend'!I116</f>
        <v>-19728910.295649678</v>
      </c>
      <c r="H25" s="88">
        <f>'Projected ABP Spend'!E202+'Indexed REC Spend'!J116</f>
        <v>7233464.5077454075</v>
      </c>
      <c r="I25" s="88">
        <f>'Projected ABP Spend'!F202+'Indexed REC Spend'!K116</f>
        <v>14725581.090270694</v>
      </c>
      <c r="J25" s="88">
        <f>'Projected ABP Spend'!G202+'Indexed REC Spend'!L116</f>
        <v>30812093.517118204</v>
      </c>
      <c r="K25" s="88">
        <f>'Projected ABP Spend'!H202+'Indexed REC Spend'!M116</f>
        <v>18211050.576880835</v>
      </c>
      <c r="L25" s="88">
        <f>'Projected ABP Spend'!I202+'Indexed REC Spend'!N116</f>
        <v>27049651.247715272</v>
      </c>
      <c r="M25" s="88">
        <f>'Projected ABP Spend'!J202+'Indexed REC Spend'!O116</f>
        <v>63243358.454860494</v>
      </c>
      <c r="N25" s="88">
        <f>'Projected ABP Spend'!K202+'Indexed REC Spend'!P116</f>
        <v>-4705267.8571428526</v>
      </c>
      <c r="O25" s="88">
        <f t="shared" si="2"/>
        <v>136841021.24179834</v>
      </c>
      <c r="P25" s="88">
        <f>'REC Spend projected'!M25+'REC Spend projected'!N25+'REC Spend projected'!N25+'REC Spend projected'!O25</f>
        <v>67846294.061737657</v>
      </c>
      <c r="Q25" s="88">
        <f t="shared" si="3"/>
        <v>383005993.72271919</v>
      </c>
      <c r="R25" s="88">
        <f>'REC Spend projected'!AA25</f>
        <v>-1698224950.725493</v>
      </c>
      <c r="S25" s="88">
        <f>'REC Spend projected'!AE25</f>
        <v>-1401526054.7433996</v>
      </c>
      <c r="T25" s="91"/>
      <c r="U25" s="87" t="s">
        <v>39</v>
      </c>
      <c r="V25" s="222">
        <f t="shared" si="4"/>
        <v>124290246.05055271</v>
      </c>
      <c r="W25" s="222">
        <f t="shared" si="5"/>
        <v>13057430.909382908</v>
      </c>
      <c r="X25" s="222">
        <f t="shared" si="6"/>
        <v>40971001.459247559</v>
      </c>
      <c r="Y25" s="222">
        <f t="shared" si="7"/>
        <v>136841021.24179834</v>
      </c>
      <c r="Z25" s="222">
        <f t="shared" si="8"/>
        <v>67846294.061737657</v>
      </c>
      <c r="AA25" s="222">
        <f t="shared" si="1"/>
        <v>-1698224950.725493</v>
      </c>
    </row>
    <row r="26" spans="2:27" ht="15" thickBot="1" x14ac:dyDescent="0.4">
      <c r="B26" s="87" t="s">
        <v>40</v>
      </c>
      <c r="C26" s="88">
        <f>SUM('ABP Under Contract'!K26:P26)</f>
        <v>90507161.460000008</v>
      </c>
      <c r="D26" s="88">
        <f>'REC Spend projected'!H26+'REC Spend projected'!I26+'REC Spend projected'!J26+'REC Spend projected'!K26+'REC Spend projected'!L26</f>
        <v>-52208605.137226567</v>
      </c>
      <c r="E26" s="89">
        <f>'Projected ABP Spend'!B204+'Indexed REC Spend'!H117</f>
        <v>12992143.754835993</v>
      </c>
      <c r="F26" s="88">
        <f>'Projected ABP Spend'!C203+'Indexed REC Spend'!H117</f>
        <v>40766146.451951325</v>
      </c>
      <c r="G26" s="88">
        <f>'Projected ABP Spend'!D203+'Indexed REC Spend'!I117</f>
        <v>-32377507.925436005</v>
      </c>
      <c r="H26" s="88">
        <f>'Projected ABP Spend'!E203+'Indexed REC Spend'!J117</f>
        <v>-1583013.5112931132</v>
      </c>
      <c r="I26" s="88">
        <f>'Projected ABP Spend'!F203+'Indexed REC Spend'!K117</f>
        <v>8533163.5208437592</v>
      </c>
      <c r="J26" s="88">
        <f>'Projected ABP Spend'!G203+'Indexed REC Spend'!L117</f>
        <v>11465612.84751419</v>
      </c>
      <c r="K26" s="88">
        <f>'Projected ABP Spend'!H203+'Indexed REC Spend'!M117</f>
        <v>26034259.257141173</v>
      </c>
      <c r="L26" s="88">
        <f>'Projected ABP Spend'!I203+'Indexed REC Spend'!N117</f>
        <v>23116737.36371804</v>
      </c>
      <c r="M26" s="88">
        <f>'Projected ABP Spend'!J203+'Indexed REC Spend'!O117</f>
        <v>20507582.742337506</v>
      </c>
      <c r="N26" s="88">
        <f>'Projected ABP Spend'!K203+'Indexed REC Spend'!P117</f>
        <v>93014295.937493518</v>
      </c>
      <c r="O26" s="88">
        <f t="shared" si="2"/>
        <v>148711130.23231906</v>
      </c>
      <c r="P26" s="88">
        <f>'REC Spend projected'!M26+'REC Spend projected'!N26+'REC Spend projected'!N26+'REC Spend projected'!O26</f>
        <v>67902792.45759207</v>
      </c>
      <c r="Q26" s="88">
        <f t="shared" si="3"/>
        <v>308670769.21947187</v>
      </c>
      <c r="R26" s="88">
        <f>'REC Spend projected'!AA26</f>
        <v>-1401526054.7433996</v>
      </c>
      <c r="S26" s="88">
        <f>'REC Spend projected'!AE26</f>
        <v>-965568633.12917709</v>
      </c>
      <c r="T26" s="91"/>
      <c r="U26" s="87" t="s">
        <v>40</v>
      </c>
      <c r="V26" s="222">
        <f t="shared" si="4"/>
        <v>38298556.322773442</v>
      </c>
      <c r="W26" s="222">
        <f t="shared" si="5"/>
        <v>12992143.754835993</v>
      </c>
      <c r="X26" s="222">
        <f t="shared" si="6"/>
        <v>40766146.451951325</v>
      </c>
      <c r="Y26" s="222">
        <f t="shared" si="7"/>
        <v>148711130.23231906</v>
      </c>
      <c r="Z26" s="222">
        <f t="shared" si="8"/>
        <v>67902792.45759207</v>
      </c>
      <c r="AA26" s="222">
        <f t="shared" si="1"/>
        <v>-1401526054.7433996</v>
      </c>
    </row>
    <row r="29" spans="2:27" ht="15" thickBot="1" x14ac:dyDescent="0.4">
      <c r="B29" s="1" t="s">
        <v>41</v>
      </c>
    </row>
    <row r="30" spans="2:27" ht="15.75" customHeight="1" thickBot="1" x14ac:dyDescent="0.4">
      <c r="B30" s="317"/>
      <c r="C30" s="318"/>
      <c r="D30" s="318"/>
      <c r="E30" s="319"/>
      <c r="F30" s="320"/>
      <c r="G30" s="324"/>
      <c r="H30" s="321"/>
      <c r="I30" s="322"/>
      <c r="J30" s="321"/>
      <c r="K30" s="322"/>
      <c r="L30" s="81"/>
      <c r="M30" s="241"/>
      <c r="N30" s="241"/>
      <c r="O30" s="241"/>
      <c r="P30" s="241"/>
      <c r="Q30" s="241"/>
      <c r="R30" s="241"/>
      <c r="S30" s="241"/>
    </row>
    <row r="31" spans="2:27" ht="21.5" thickBot="1" x14ac:dyDescent="0.4">
      <c r="B31" s="82" t="s">
        <v>1</v>
      </c>
      <c r="C31" s="83" t="s">
        <v>231</v>
      </c>
      <c r="D31" s="83" t="s">
        <v>232</v>
      </c>
      <c r="E31" s="84" t="s">
        <v>241</v>
      </c>
      <c r="F31" s="84" t="s">
        <v>93</v>
      </c>
      <c r="G31" s="84" t="s">
        <v>94</v>
      </c>
      <c r="H31" s="84" t="s">
        <v>95</v>
      </c>
      <c r="I31" s="84" t="s">
        <v>96</v>
      </c>
      <c r="J31" s="84" t="s">
        <v>97</v>
      </c>
      <c r="K31" s="84" t="s">
        <v>98</v>
      </c>
      <c r="L31" s="84" t="s">
        <v>99</v>
      </c>
      <c r="M31" s="84" t="s">
        <v>100</v>
      </c>
      <c r="N31" s="84" t="s">
        <v>101</v>
      </c>
      <c r="O31" s="84"/>
      <c r="P31" s="84" t="s">
        <v>234</v>
      </c>
      <c r="Q31" s="83" t="s">
        <v>235</v>
      </c>
      <c r="R31" s="83" t="s">
        <v>236</v>
      </c>
      <c r="S31" s="85" t="s">
        <v>228</v>
      </c>
      <c r="U31" s="86" t="s">
        <v>1</v>
      </c>
      <c r="V31" s="85" t="s">
        <v>186</v>
      </c>
      <c r="W31" s="85" t="s">
        <v>242</v>
      </c>
      <c r="X31" s="85" t="s">
        <v>93</v>
      </c>
      <c r="Y31" s="85" t="s">
        <v>238</v>
      </c>
      <c r="Z31" s="85" t="s">
        <v>239</v>
      </c>
      <c r="AA31" s="85" t="s">
        <v>240</v>
      </c>
    </row>
    <row r="32" spans="2:27" ht="15" thickBot="1" x14ac:dyDescent="0.4">
      <c r="B32" s="87" t="s">
        <v>17</v>
      </c>
      <c r="C32" s="88">
        <f>SUM('ABP Under Contract'!K32:P32)</f>
        <v>56125561.975999981</v>
      </c>
      <c r="D32" s="88">
        <f>'REC Spend projected'!H31+'REC Spend projected'!I31+'REC Spend projected'!J31+'REC Spend projected'!K31+'REC Spend projected'!L31</f>
        <v>9118128.2799999993</v>
      </c>
      <c r="E32" s="89"/>
      <c r="F32" s="88">
        <f>F4*'REC Spend projected'!$B$29</f>
        <v>0</v>
      </c>
      <c r="G32" s="88">
        <f>G4*'REC Spend projected'!$B$29</f>
        <v>0</v>
      </c>
      <c r="H32" s="88">
        <f>H4*'REC Spend projected'!$B$29</f>
        <v>0</v>
      </c>
      <c r="I32" s="88">
        <f>I4*'REC Spend projected'!$B$29</f>
        <v>0</v>
      </c>
      <c r="J32" s="88">
        <f>J4*'REC Spend projected'!$B$29</f>
        <v>0</v>
      </c>
      <c r="K32" s="88">
        <f>K4*'REC Spend projected'!$B$29</f>
        <v>0</v>
      </c>
      <c r="L32" s="88">
        <f>L4*'REC Spend projected'!$B$29</f>
        <v>0</v>
      </c>
      <c r="M32" s="88">
        <f>M4*'REC Spend projected'!$B$29</f>
        <v>0</v>
      </c>
      <c r="N32" s="88">
        <f>N4*'REC Spend projected'!$B$29</f>
        <v>0</v>
      </c>
      <c r="O32" s="88"/>
      <c r="P32" s="88">
        <f>P4*'REC Spend projected'!$B$29</f>
        <v>5218525.3698853292</v>
      </c>
      <c r="Q32" s="88">
        <f t="shared" ref="Q32:Q52" si="9">SUM(C32:P32)</f>
        <v>70462215.625885308</v>
      </c>
      <c r="R32" s="88">
        <f>'REC Spend projected'!AA31</f>
        <v>87829264.295962796</v>
      </c>
      <c r="S32" s="88">
        <f>'REC Spend projected'!AE31</f>
        <v>75081522.699389279</v>
      </c>
      <c r="U32" s="87" t="s">
        <v>17</v>
      </c>
      <c r="V32" s="222">
        <f>SUM(C32:D32)</f>
        <v>65243690.255999982</v>
      </c>
      <c r="W32" s="222">
        <f>E32</f>
        <v>0</v>
      </c>
      <c r="X32" s="222">
        <f>F32</f>
        <v>0</v>
      </c>
      <c r="Y32" s="222">
        <f>SUM(G32:N32)</f>
        <v>0</v>
      </c>
      <c r="Z32" s="222">
        <f t="shared" ref="Z32:Z54" si="10">P32</f>
        <v>5218525.3698853292</v>
      </c>
      <c r="AA32" s="222">
        <f t="shared" ref="AA32:AA54" si="11">R32</f>
        <v>87829264.295962796</v>
      </c>
    </row>
    <row r="33" spans="2:27" ht="15" thickBot="1" x14ac:dyDescent="0.4">
      <c r="B33" s="87" t="s">
        <v>18</v>
      </c>
      <c r="C33" s="88">
        <f>SUM('ABP Under Contract'!K33:P33)</f>
        <v>63474112.244000025</v>
      </c>
      <c r="D33" s="88">
        <f>'REC Spend projected'!H32+'REC Spend projected'!I32+'REC Spend projected'!J32+'REC Spend projected'!K32+'REC Spend projected'!L32</f>
        <v>10985217.937169807</v>
      </c>
      <c r="E33" s="89"/>
      <c r="F33" s="88">
        <f>F5*'REC Spend projected'!$B$29</f>
        <v>0</v>
      </c>
      <c r="G33" s="88">
        <f>G5*'REC Spend projected'!$B$29</f>
        <v>0</v>
      </c>
      <c r="H33" s="88">
        <f>H5*'REC Spend projected'!$B$29</f>
        <v>0</v>
      </c>
      <c r="I33" s="88">
        <f>I5*'REC Spend projected'!$B$29</f>
        <v>0</v>
      </c>
      <c r="J33" s="88">
        <f>J5*'REC Spend projected'!$B$29</f>
        <v>0</v>
      </c>
      <c r="K33" s="88">
        <f>K5*'REC Spend projected'!$B$29</f>
        <v>0</v>
      </c>
      <c r="L33" s="88">
        <f>L5*'REC Spend projected'!$B$29</f>
        <v>0</v>
      </c>
      <c r="M33" s="88">
        <f>M5*'REC Spend projected'!$B$29</f>
        <v>0</v>
      </c>
      <c r="N33" s="88">
        <f>N5*'REC Spend projected'!$B$29</f>
        <v>0</v>
      </c>
      <c r="O33" s="88"/>
      <c r="P33" s="88">
        <f>P5*'REC Spend projected'!$B$29</f>
        <v>24310842.858277723</v>
      </c>
      <c r="Q33" s="88">
        <f t="shared" si="9"/>
        <v>98770173.039447561</v>
      </c>
      <c r="R33" s="88">
        <f>'REC Spend projected'!AA32</f>
        <v>75081522.699389279</v>
      </c>
      <c r="S33" s="88">
        <f>'REC Spend projected'!AE32</f>
        <v>115165774.38346711</v>
      </c>
      <c r="U33" s="87" t="s">
        <v>18</v>
      </c>
      <c r="V33" s="222">
        <f t="shared" ref="V33:V54" si="12">SUM(C33:D33)</f>
        <v>74459330.181169838</v>
      </c>
      <c r="W33" s="222">
        <f t="shared" ref="W33:W54" si="13">E33</f>
        <v>0</v>
      </c>
      <c r="X33" s="222">
        <f t="shared" ref="X33:X54" si="14">F33</f>
        <v>0</v>
      </c>
      <c r="Y33" s="222">
        <f t="shared" ref="Y33:Y54" si="15">SUM(G33:N33)</f>
        <v>0</v>
      </c>
      <c r="Z33" s="222">
        <f t="shared" si="10"/>
        <v>24310842.858277723</v>
      </c>
      <c r="AA33" s="222">
        <f t="shared" si="11"/>
        <v>75081522.699389279</v>
      </c>
    </row>
    <row r="34" spans="2:27" ht="15" thickBot="1" x14ac:dyDescent="0.4">
      <c r="B34" s="87" t="s">
        <v>19</v>
      </c>
      <c r="C34" s="88">
        <f>SUM('ABP Under Contract'!K34:P34)</f>
        <v>71213075.000000045</v>
      </c>
      <c r="D34" s="88">
        <f>'REC Spend projected'!H33+'REC Spend projected'!I33+'REC Spend projected'!J33+'REC Spend projected'!K33+'REC Spend projected'!L33</f>
        <v>11508673.347169807</v>
      </c>
      <c r="E34" s="89"/>
      <c r="F34" s="88">
        <f>F6*'REC Spend projected'!$B$29</f>
        <v>0</v>
      </c>
      <c r="G34" s="88">
        <f>G6*'REC Spend projected'!$B$29</f>
        <v>0</v>
      </c>
      <c r="H34" s="88">
        <f>H6*'REC Spend projected'!$B$29</f>
        <v>0</v>
      </c>
      <c r="I34" s="88">
        <f>I6*'REC Spend projected'!$B$29</f>
        <v>0</v>
      </c>
      <c r="J34" s="88">
        <f>J6*'REC Spend projected'!$B$29</f>
        <v>0</v>
      </c>
      <c r="K34" s="88">
        <f>K6*'REC Spend projected'!$B$29</f>
        <v>0</v>
      </c>
      <c r="L34" s="88">
        <f>L6*'REC Spend projected'!$B$29</f>
        <v>0</v>
      </c>
      <c r="M34" s="88">
        <f>M6*'REC Spend projected'!$B$29</f>
        <v>0</v>
      </c>
      <c r="N34" s="88">
        <f>N6*'REC Spend projected'!$B$29</f>
        <v>0</v>
      </c>
      <c r="O34" s="88"/>
      <c r="P34" s="88">
        <f>P6*'REC Spend projected'!$B$29</f>
        <v>19584845.639281254</v>
      </c>
      <c r="Q34" s="88">
        <f t="shared" si="9"/>
        <v>102306593.9864511</v>
      </c>
      <c r="R34" s="88">
        <f>'REC Spend projected'!AA33</f>
        <v>115165774.38346711</v>
      </c>
      <c r="S34" s="88">
        <f>'REC Spend projected'!AE33</f>
        <v>170334148.87402052</v>
      </c>
      <c r="U34" s="87" t="s">
        <v>19</v>
      </c>
      <c r="V34" s="222">
        <f t="shared" si="12"/>
        <v>82721748.347169846</v>
      </c>
      <c r="W34" s="222">
        <f t="shared" si="13"/>
        <v>0</v>
      </c>
      <c r="X34" s="222">
        <f t="shared" si="14"/>
        <v>0</v>
      </c>
      <c r="Y34" s="222">
        <f t="shared" si="15"/>
        <v>0</v>
      </c>
      <c r="Z34" s="222">
        <f t="shared" si="10"/>
        <v>19584845.639281254</v>
      </c>
      <c r="AA34" s="222">
        <f t="shared" si="11"/>
        <v>115165774.38346711</v>
      </c>
    </row>
    <row r="35" spans="2:27" ht="15" thickBot="1" x14ac:dyDescent="0.4">
      <c r="B35" s="87" t="s">
        <v>20</v>
      </c>
      <c r="C35" s="88">
        <f>SUM('ABP Under Contract'!K35:P35)</f>
        <v>97285435.192333341</v>
      </c>
      <c r="D35" s="88">
        <f>'REC Spend projected'!H34+'REC Spend projected'!I34+'REC Spend projected'!J34+'REC Spend projected'!K34+'REC Spend projected'!L34</f>
        <v>10028071.880758878</v>
      </c>
      <c r="E35" s="89"/>
      <c r="F35" s="88">
        <f>F7*'REC Spend projected'!$B$29</f>
        <v>0</v>
      </c>
      <c r="G35" s="88">
        <f>G7*'REC Spend projected'!$B$29</f>
        <v>0</v>
      </c>
      <c r="H35" s="88">
        <f>H7*'REC Spend projected'!$B$29</f>
        <v>0</v>
      </c>
      <c r="I35" s="88">
        <f>I7*'REC Spend projected'!$B$29</f>
        <v>0</v>
      </c>
      <c r="J35" s="88">
        <f>J7*'REC Spend projected'!$B$29</f>
        <v>0</v>
      </c>
      <c r="K35" s="88">
        <f>K7*'REC Spend projected'!$B$29</f>
        <v>0</v>
      </c>
      <c r="L35" s="88">
        <f>L7*'REC Spend projected'!$B$29</f>
        <v>0</v>
      </c>
      <c r="M35" s="88">
        <f>M7*'REC Spend projected'!$B$29</f>
        <v>0</v>
      </c>
      <c r="N35" s="88">
        <f>N7*'REC Spend projected'!$B$29</f>
        <v>0</v>
      </c>
      <c r="O35" s="88"/>
      <c r="P35" s="88">
        <f>P7*'REC Spend projected'!$B$29</f>
        <v>19497601.441391319</v>
      </c>
      <c r="Q35" s="88">
        <f t="shared" si="9"/>
        <v>126811108.51448354</v>
      </c>
      <c r="R35" s="88">
        <f>'REC Spend projected'!AA34</f>
        <v>170334148.87402052</v>
      </c>
      <c r="S35" s="88">
        <f>'REC Spend projected'!AE34</f>
        <v>160964306.23733586</v>
      </c>
      <c r="U35" s="87" t="s">
        <v>20</v>
      </c>
      <c r="V35" s="222">
        <f t="shared" si="12"/>
        <v>107313507.07309222</v>
      </c>
      <c r="W35" s="222">
        <f t="shared" si="13"/>
        <v>0</v>
      </c>
      <c r="X35" s="222">
        <f t="shared" si="14"/>
        <v>0</v>
      </c>
      <c r="Y35" s="222">
        <f t="shared" si="15"/>
        <v>0</v>
      </c>
      <c r="Z35" s="222">
        <f t="shared" si="10"/>
        <v>19497601.441391319</v>
      </c>
      <c r="AA35" s="222">
        <f t="shared" si="11"/>
        <v>170334148.87402052</v>
      </c>
    </row>
    <row r="36" spans="2:27" ht="15" thickBot="1" x14ac:dyDescent="0.4">
      <c r="B36" s="87" t="s">
        <v>22</v>
      </c>
      <c r="C36" s="88">
        <f>SUM('ABP Under Contract'!K36:P36)</f>
        <v>69661117.890833348</v>
      </c>
      <c r="D36" s="88">
        <f>'REC Spend projected'!H35+'REC Spend projected'!I35+'REC Spend projected'!J35+'REC Spend projected'!K35+'REC Spend projected'!L35</f>
        <v>21067845.113266323</v>
      </c>
      <c r="E36" s="89"/>
      <c r="F36" s="88">
        <f>F8*'REC Spend projected'!$B$29</f>
        <v>0</v>
      </c>
      <c r="G36" s="88">
        <f>G8*'REC Spend projected'!$B$29</f>
        <v>0</v>
      </c>
      <c r="H36" s="88">
        <f>H8*'REC Spend projected'!$B$29</f>
        <v>0</v>
      </c>
      <c r="I36" s="88">
        <f>I8*'REC Spend projected'!$B$29</f>
        <v>0</v>
      </c>
      <c r="J36" s="88">
        <f>J8*'REC Spend projected'!$B$29</f>
        <v>0</v>
      </c>
      <c r="K36" s="88">
        <f>K8*'REC Spend projected'!$B$29</f>
        <v>0</v>
      </c>
      <c r="L36" s="88">
        <f>L8*'REC Spend projected'!$B$29</f>
        <v>0</v>
      </c>
      <c r="M36" s="88">
        <f>M8*'REC Spend projected'!$B$29</f>
        <v>0</v>
      </c>
      <c r="N36" s="88">
        <f>N8*'REC Spend projected'!$B$29</f>
        <v>0</v>
      </c>
      <c r="O36" s="88"/>
      <c r="P36" s="88">
        <f>P8*'REC Spend projected'!$B$29</f>
        <v>25256924.295411348</v>
      </c>
      <c r="Q36" s="88">
        <f t="shared" si="9"/>
        <v>115985887.29951102</v>
      </c>
      <c r="R36" s="88">
        <f>'REC Spend projected'!AA35</f>
        <v>160964306.23733586</v>
      </c>
      <c r="S36" s="88">
        <f>'REC Spend projected'!AE35</f>
        <v>180516016.2258386</v>
      </c>
      <c r="U36" s="87" t="s">
        <v>22</v>
      </c>
      <c r="V36" s="222">
        <f t="shared" si="12"/>
        <v>90728963.004099667</v>
      </c>
      <c r="W36" s="222">
        <f t="shared" si="13"/>
        <v>0</v>
      </c>
      <c r="X36" s="222">
        <f t="shared" si="14"/>
        <v>0</v>
      </c>
      <c r="Y36" s="222">
        <f t="shared" si="15"/>
        <v>0</v>
      </c>
      <c r="Z36" s="222">
        <f t="shared" si="10"/>
        <v>25256924.295411348</v>
      </c>
      <c r="AA36" s="222">
        <f t="shared" si="11"/>
        <v>160964306.23733586</v>
      </c>
    </row>
    <row r="37" spans="2:27" ht="15" thickBot="1" x14ac:dyDescent="0.4">
      <c r="B37" s="87" t="s">
        <v>23</v>
      </c>
      <c r="C37" s="88">
        <f>SUM('ABP Under Contract'!K37:P37)</f>
        <v>71071880.71466665</v>
      </c>
      <c r="D37" s="88">
        <f>'REC Spend projected'!H36+'REC Spend projected'!I36+'REC Spend projected'!J36+'REC Spend projected'!K36+'REC Spend projected'!L36</f>
        <v>33528685.56457103</v>
      </c>
      <c r="E37" s="89"/>
      <c r="F37" s="88">
        <f>F9*'REC Spend projected'!$B$29</f>
        <v>0</v>
      </c>
      <c r="G37" s="88">
        <f>G9*'REC Spend projected'!$B$29</f>
        <v>0</v>
      </c>
      <c r="H37" s="88">
        <f>H9*'REC Spend projected'!$B$29</f>
        <v>0</v>
      </c>
      <c r="I37" s="88">
        <f>I9*'REC Spend projected'!$B$29</f>
        <v>0</v>
      </c>
      <c r="J37" s="88">
        <f>J9*'REC Spend projected'!$B$29</f>
        <v>0</v>
      </c>
      <c r="K37" s="88">
        <f>K9*'REC Spend projected'!$B$29</f>
        <v>0</v>
      </c>
      <c r="L37" s="88">
        <f>L9*'REC Spend projected'!$B$29</f>
        <v>0</v>
      </c>
      <c r="M37" s="88">
        <f>M9*'REC Spend projected'!$B$29</f>
        <v>0</v>
      </c>
      <c r="N37" s="88">
        <f>N9*'REC Spend projected'!$B$29</f>
        <v>0</v>
      </c>
      <c r="O37" s="88"/>
      <c r="P37" s="88">
        <f>P9*'REC Spend projected'!$B$29</f>
        <v>19403432.280157723</v>
      </c>
      <c r="Q37" s="88">
        <f t="shared" si="9"/>
        <v>124003998.5593954</v>
      </c>
      <c r="R37" s="88">
        <f>'REC Spend projected'!AA36</f>
        <v>180516016.2258386</v>
      </c>
      <c r="S37" s="88">
        <f>'REC Spend projected'!AE36</f>
        <v>132650250.35606632</v>
      </c>
      <c r="U37" s="87" t="s">
        <v>23</v>
      </c>
      <c r="V37" s="222">
        <f t="shared" si="12"/>
        <v>104600566.27923769</v>
      </c>
      <c r="W37" s="222">
        <f t="shared" si="13"/>
        <v>0</v>
      </c>
      <c r="X37" s="222">
        <f t="shared" si="14"/>
        <v>0</v>
      </c>
      <c r="Y37" s="222">
        <f t="shared" si="15"/>
        <v>0</v>
      </c>
      <c r="Z37" s="222">
        <f t="shared" si="10"/>
        <v>19403432.280157723</v>
      </c>
      <c r="AA37" s="222">
        <f t="shared" si="11"/>
        <v>180516016.2258386</v>
      </c>
    </row>
    <row r="38" spans="2:27" ht="15" thickBot="1" x14ac:dyDescent="0.4">
      <c r="B38" s="87" t="s">
        <v>24</v>
      </c>
      <c r="C38" s="88">
        <f>SUM('ABP Under Contract'!K38:P38)</f>
        <v>51245584.101583324</v>
      </c>
      <c r="D38" s="88">
        <f>'REC Spend projected'!H37+'REC Spend projected'!I37+'REC Spend projected'!J37+'REC Spend projected'!K37+'REC Spend projected'!L37</f>
        <v>35831338.932348251</v>
      </c>
      <c r="E38" s="89"/>
      <c r="F38" s="88">
        <f>F10*'REC Spend projected'!$B$29</f>
        <v>59163635.234330826</v>
      </c>
      <c r="G38" s="88">
        <f>G10*'REC Spend projected'!$B$29</f>
        <v>0</v>
      </c>
      <c r="H38" s="88">
        <f>H10*'REC Spend projected'!$B$29</f>
        <v>0</v>
      </c>
      <c r="I38" s="88">
        <f>I10*'REC Spend projected'!$B$29</f>
        <v>0</v>
      </c>
      <c r="J38" s="88">
        <f>J10*'REC Spend projected'!$B$29</f>
        <v>0</v>
      </c>
      <c r="K38" s="88">
        <f>K10*'REC Spend projected'!$B$29</f>
        <v>0</v>
      </c>
      <c r="L38" s="88">
        <f>L10*'REC Spend projected'!$B$29</f>
        <v>0</v>
      </c>
      <c r="M38" s="88">
        <f>M10*'REC Spend projected'!$B$29</f>
        <v>0</v>
      </c>
      <c r="N38" s="88">
        <f>N10*'REC Spend projected'!$B$29</f>
        <v>0</v>
      </c>
      <c r="O38" s="88"/>
      <c r="P38" s="88">
        <f>P10*'REC Spend projected'!$B$29</f>
        <v>19371956.421201203</v>
      </c>
      <c r="Q38" s="88">
        <f t="shared" si="9"/>
        <v>165612514.68946362</v>
      </c>
      <c r="R38" s="88">
        <f>'REC Spend projected'!AA37</f>
        <v>132650250.35606632</v>
      </c>
      <c r="S38" s="88">
        <f>'REC Spend projected'!AE37</f>
        <v>85894456.975658536</v>
      </c>
      <c r="U38" s="87" t="s">
        <v>24</v>
      </c>
      <c r="V38" s="222">
        <f t="shared" si="12"/>
        <v>87076923.033931583</v>
      </c>
      <c r="W38" s="222">
        <f t="shared" si="13"/>
        <v>0</v>
      </c>
      <c r="X38" s="222">
        <f t="shared" si="14"/>
        <v>59163635.234330826</v>
      </c>
      <c r="Y38" s="222">
        <f t="shared" si="15"/>
        <v>0</v>
      </c>
      <c r="Z38" s="222">
        <f t="shared" si="10"/>
        <v>19371956.421201203</v>
      </c>
      <c r="AA38" s="222">
        <f t="shared" si="11"/>
        <v>132650250.35606632</v>
      </c>
    </row>
    <row r="39" spans="2:27" ht="15" thickBot="1" x14ac:dyDescent="0.4">
      <c r="B39" s="87" t="s">
        <v>25</v>
      </c>
      <c r="C39" s="88">
        <f>SUM('ABP Under Contract'!K39:P39)</f>
        <v>46204849.47558333</v>
      </c>
      <c r="D39" s="88">
        <f>'REC Spend projected'!H38+'REC Spend projected'!I38+'REC Spend projected'!J38+'REC Spend projected'!K38+'REC Spend projected'!L38</f>
        <v>33726777.777917929</v>
      </c>
      <c r="E39" s="89"/>
      <c r="F39" s="88">
        <f>F11*'REC Spend projected'!$B$29</f>
        <v>74574644.475964457</v>
      </c>
      <c r="G39" s="88">
        <f>G11*'REC Spend projected'!$B$29</f>
        <v>10747605.833015865</v>
      </c>
      <c r="H39" s="88">
        <f>H11*'REC Spend projected'!$B$29</f>
        <v>0</v>
      </c>
      <c r="I39" s="88">
        <f>I11*'REC Spend projected'!$B$29</f>
        <v>0</v>
      </c>
      <c r="J39" s="88">
        <f>J11*'REC Spend projected'!$B$29</f>
        <v>0</v>
      </c>
      <c r="K39" s="88">
        <f>K11*'REC Spend projected'!$B$29</f>
        <v>0</v>
      </c>
      <c r="L39" s="88">
        <f>L11*'REC Spend projected'!$B$29</f>
        <v>0</v>
      </c>
      <c r="M39" s="88">
        <f>M11*'REC Spend projected'!$B$29</f>
        <v>0</v>
      </c>
      <c r="N39" s="88">
        <f>N11*'REC Spend projected'!$B$29</f>
        <v>0</v>
      </c>
      <c r="O39" s="88"/>
      <c r="P39" s="88">
        <f>P11*'REC Spend projected'!$B$29</f>
        <v>25156594.69036714</v>
      </c>
      <c r="Q39" s="88">
        <f t="shared" si="9"/>
        <v>190410472.25284871</v>
      </c>
      <c r="R39" s="88">
        <f>'REC Spend projected'!AA38</f>
        <v>85894456.975658536</v>
      </c>
      <c r="S39" s="88">
        <f>'REC Spend projected'!AE38</f>
        <v>27987698.556279987</v>
      </c>
      <c r="U39" s="87" t="s">
        <v>25</v>
      </c>
      <c r="V39" s="222">
        <f t="shared" si="12"/>
        <v>79931627.253501266</v>
      </c>
      <c r="W39" s="222">
        <f t="shared" si="13"/>
        <v>0</v>
      </c>
      <c r="X39" s="222">
        <f t="shared" si="14"/>
        <v>74574644.475964457</v>
      </c>
      <c r="Y39" s="222">
        <f t="shared" si="15"/>
        <v>10747605.833015865</v>
      </c>
      <c r="Z39" s="222">
        <f t="shared" si="10"/>
        <v>25156594.69036714</v>
      </c>
      <c r="AA39" s="222">
        <f t="shared" si="11"/>
        <v>85894456.975658536</v>
      </c>
    </row>
    <row r="40" spans="2:27" ht="15" thickBot="1" x14ac:dyDescent="0.4">
      <c r="B40" s="90" t="s">
        <v>26</v>
      </c>
      <c r="C40" s="88">
        <f>SUM('ABP Under Contract'!K40:P40)</f>
        <v>40838540.085583329</v>
      </c>
      <c r="D40" s="88">
        <f>'REC Spend projected'!H39+'REC Spend projected'!I39+'REC Spend projected'!J39+'REC Spend projected'!K39+'REC Spend projected'!L39</f>
        <v>33294069.961299635</v>
      </c>
      <c r="E40" s="89"/>
      <c r="F40" s="88">
        <f>F12*'REC Spend projected'!$B$29</f>
        <v>34720929.476678573</v>
      </c>
      <c r="G40" s="88">
        <f>G12*'REC Spend projected'!$B$29</f>
        <v>69472916.061290011</v>
      </c>
      <c r="H40" s="88">
        <f>H12*'REC Spend projected'!$B$29</f>
        <v>0</v>
      </c>
      <c r="I40" s="88">
        <f>I12*'REC Spend projected'!$B$29</f>
        <v>0</v>
      </c>
      <c r="J40" s="88">
        <f>J12*'REC Spend projected'!$B$29</f>
        <v>0</v>
      </c>
      <c r="K40" s="88">
        <f>K12*'REC Spend projected'!$B$29</f>
        <v>0</v>
      </c>
      <c r="L40" s="88">
        <f>L12*'REC Spend projected'!$B$29</f>
        <v>0</v>
      </c>
      <c r="M40" s="88">
        <f>M12*'REC Spend projected'!$B$29</f>
        <v>0</v>
      </c>
      <c r="N40" s="88">
        <f>N12*'REC Spend projected'!$B$29</f>
        <v>0</v>
      </c>
      <c r="O40" s="88"/>
      <c r="P40" s="88">
        <f>P12*'REC Spend projected'!$B$29</f>
        <v>19377058.141635623</v>
      </c>
      <c r="Q40" s="88">
        <f t="shared" si="9"/>
        <v>197703513.72648719</v>
      </c>
      <c r="R40" s="88">
        <f>'REC Spend projected'!AA39</f>
        <v>27987698.556279987</v>
      </c>
      <c r="S40" s="88">
        <f>'REC Spend projected'!AE39</f>
        <v>-41215176.265519708</v>
      </c>
      <c r="U40" s="90" t="s">
        <v>26</v>
      </c>
      <c r="V40" s="222">
        <f t="shared" si="12"/>
        <v>74132610.046882957</v>
      </c>
      <c r="W40" s="222">
        <f t="shared" si="13"/>
        <v>0</v>
      </c>
      <c r="X40" s="222">
        <f t="shared" si="14"/>
        <v>34720929.476678573</v>
      </c>
      <c r="Y40" s="222">
        <f t="shared" si="15"/>
        <v>69472916.061290011</v>
      </c>
      <c r="Z40" s="222">
        <f t="shared" si="10"/>
        <v>19377058.141635623</v>
      </c>
      <c r="AA40" s="222">
        <f t="shared" si="11"/>
        <v>27987698.556279987</v>
      </c>
    </row>
    <row r="41" spans="2:27" ht="15" thickBot="1" x14ac:dyDescent="0.4">
      <c r="B41" s="87" t="s">
        <v>27</v>
      </c>
      <c r="C41" s="88">
        <f>SUM('ABP Under Contract'!K41:P41)</f>
        <v>39485868.272249997</v>
      </c>
      <c r="D41" s="88">
        <f>'REC Spend projected'!H40+'REC Spend projected'!I40+'REC Spend projected'!J40+'REC Spend projected'!K40+'REC Spend projected'!L40</f>
        <v>28624859.042286009</v>
      </c>
      <c r="E41" s="89"/>
      <c r="F41" s="88">
        <f>F13*'REC Spend projected'!$B$29</f>
        <v>34570546.237753585</v>
      </c>
      <c r="G41" s="88">
        <f>G13*'REC Spend projected'!$B$29</f>
        <v>82935623.261165038</v>
      </c>
      <c r="H41" s="88">
        <f>H13*'REC Spend projected'!$B$29</f>
        <v>6731021.6963106189</v>
      </c>
      <c r="I41" s="88">
        <f>I13*'REC Spend projected'!$B$29</f>
        <v>0</v>
      </c>
      <c r="J41" s="88">
        <f>J13*'REC Spend projected'!$B$29</f>
        <v>0</v>
      </c>
      <c r="K41" s="88">
        <f>K13*'REC Spend projected'!$B$29</f>
        <v>0</v>
      </c>
      <c r="L41" s="88">
        <f>L13*'REC Spend projected'!$B$29</f>
        <v>0</v>
      </c>
      <c r="M41" s="88">
        <f>M13*'REC Spend projected'!$B$29</f>
        <v>0</v>
      </c>
      <c r="N41" s="88">
        <f>N13*'REC Spend projected'!$B$29</f>
        <v>0</v>
      </c>
      <c r="O41" s="88"/>
      <c r="P41" s="88">
        <f>P13*'REC Spend projected'!$B$29</f>
        <v>19381104.099283114</v>
      </c>
      <c r="Q41" s="88">
        <f t="shared" si="9"/>
        <v>211729022.60904837</v>
      </c>
      <c r="R41" s="88">
        <f>'REC Spend projected'!AA40</f>
        <v>-41215176.265519708</v>
      </c>
      <c r="S41" s="88">
        <f>'REC Spend projected'!AE40</f>
        <v>-124276801.7102856</v>
      </c>
      <c r="U41" s="87" t="s">
        <v>27</v>
      </c>
      <c r="V41" s="222">
        <f t="shared" si="12"/>
        <v>68110727.314536005</v>
      </c>
      <c r="W41" s="222">
        <f t="shared" si="13"/>
        <v>0</v>
      </c>
      <c r="X41" s="222">
        <f t="shared" si="14"/>
        <v>34570546.237753585</v>
      </c>
      <c r="Y41" s="222">
        <f t="shared" si="15"/>
        <v>89666644.957475662</v>
      </c>
      <c r="Z41" s="222">
        <f t="shared" si="10"/>
        <v>19381104.099283114</v>
      </c>
      <c r="AA41" s="222">
        <f t="shared" si="11"/>
        <v>-41215176.265519708</v>
      </c>
    </row>
    <row r="42" spans="2:27" ht="15" thickBot="1" x14ac:dyDescent="0.4">
      <c r="B42" s="87" t="s">
        <v>28</v>
      </c>
      <c r="C42" s="88">
        <f>SUM('ABP Under Contract'!K42:P42)</f>
        <v>38537572.808750004</v>
      </c>
      <c r="D42" s="88">
        <f>'REC Spend projected'!H41+'REC Spend projected'!I41+'REC Spend projected'!J41+'REC Spend projected'!K41+'REC Spend projected'!L41</f>
        <v>30348507.015153632</v>
      </c>
      <c r="E42" s="89"/>
      <c r="F42" s="88">
        <f>F14*'REC Spend projected'!$B$29</f>
        <v>34507539.119083889</v>
      </c>
      <c r="G42" s="88">
        <f>G14*'REC Spend projected'!$B$29</f>
        <v>36448034.946451098</v>
      </c>
      <c r="H42" s="88">
        <f>H14*'REC Spend projected'!$B$29</f>
        <v>56915092.631635375</v>
      </c>
      <c r="I42" s="88">
        <f>I14*'REC Spend projected'!$B$29</f>
        <v>0</v>
      </c>
      <c r="J42" s="88">
        <f>J14*'REC Spend projected'!$B$29</f>
        <v>0</v>
      </c>
      <c r="K42" s="88">
        <f>K14*'REC Spend projected'!$B$29</f>
        <v>0</v>
      </c>
      <c r="L42" s="88">
        <f>L14*'REC Spend projected'!$B$29</f>
        <v>0</v>
      </c>
      <c r="M42" s="88">
        <f>M14*'REC Spend projected'!$B$29</f>
        <v>0</v>
      </c>
      <c r="N42" s="88">
        <f>N14*'REC Spend projected'!$B$29</f>
        <v>0</v>
      </c>
      <c r="O42" s="88"/>
      <c r="P42" s="88">
        <f>P14*'REC Spend projected'!$B$29</f>
        <v>25203217.458176211</v>
      </c>
      <c r="Q42" s="88">
        <f t="shared" si="9"/>
        <v>221959963.97925019</v>
      </c>
      <c r="R42" s="88">
        <f>'REC Spend projected'!AA41</f>
        <v>-124276801.7102856</v>
      </c>
      <c r="S42" s="88">
        <f>'REC Spend projected'!AE41</f>
        <v>-210050116.63340136</v>
      </c>
      <c r="U42" s="87" t="s">
        <v>28</v>
      </c>
      <c r="V42" s="222">
        <f t="shared" si="12"/>
        <v>68886079.823903635</v>
      </c>
      <c r="W42" s="222">
        <f t="shared" si="13"/>
        <v>0</v>
      </c>
      <c r="X42" s="222">
        <f t="shared" si="14"/>
        <v>34507539.119083889</v>
      </c>
      <c r="Y42" s="222">
        <f t="shared" si="15"/>
        <v>93363127.578086466</v>
      </c>
      <c r="Z42" s="222">
        <f t="shared" si="10"/>
        <v>25203217.458176211</v>
      </c>
      <c r="AA42" s="222">
        <f t="shared" si="11"/>
        <v>-124276801.7102856</v>
      </c>
    </row>
    <row r="43" spans="2:27" ht="15" thickBot="1" x14ac:dyDescent="0.4">
      <c r="B43" s="87" t="s">
        <v>29</v>
      </c>
      <c r="C43" s="88">
        <f>SUM('ABP Under Contract'!K43:P43)</f>
        <v>37157039.236416668</v>
      </c>
      <c r="D43" s="88">
        <f>'REC Spend projected'!H42+'REC Spend projected'!I42+'REC Spend projected'!J42+'REC Spend projected'!K42+'REC Spend projected'!L42</f>
        <v>35204356.048780248</v>
      </c>
      <c r="E43" s="89"/>
      <c r="F43" s="88">
        <f>F15*'REC Spend projected'!$B$29</f>
        <v>34444847.036007531</v>
      </c>
      <c r="G43" s="88">
        <f>G15*'REC Spend projected'!$B$29</f>
        <v>40137186.009399042</v>
      </c>
      <c r="H43" s="88">
        <f>H15*'REC Spend projected'!$B$29</f>
        <v>72657313.165593609</v>
      </c>
      <c r="I43" s="88">
        <f>I15*'REC Spend projected'!$B$29</f>
        <v>3342365.1346015106</v>
      </c>
      <c r="J43" s="88">
        <f>J15*'REC Spend projected'!$B$29</f>
        <v>0</v>
      </c>
      <c r="K43" s="88">
        <f>K15*'REC Spend projected'!$B$29</f>
        <v>0</v>
      </c>
      <c r="L43" s="88">
        <f>L15*'REC Spend projected'!$B$29</f>
        <v>0</v>
      </c>
      <c r="M43" s="88">
        <f>M15*'REC Spend projected'!$B$29</f>
        <v>0</v>
      </c>
      <c r="N43" s="88">
        <f>N15*'REC Spend projected'!$B$29</f>
        <v>0</v>
      </c>
      <c r="O43" s="88"/>
      <c r="P43" s="88">
        <f>P15*'REC Spend projected'!$B$29</f>
        <v>19439042.636702746</v>
      </c>
      <c r="Q43" s="88">
        <f t="shared" si="9"/>
        <v>242382149.26750135</v>
      </c>
      <c r="R43" s="88">
        <f>'REC Spend projected'!AA42</f>
        <v>-210050116.63340136</v>
      </c>
      <c r="S43" s="88">
        <f>'REC Spend projected'!AE42</f>
        <v>-298130228.78003967</v>
      </c>
      <c r="U43" s="87" t="s">
        <v>29</v>
      </c>
      <c r="V43" s="222">
        <f t="shared" si="12"/>
        <v>72361395.285196915</v>
      </c>
      <c r="W43" s="222">
        <f t="shared" si="13"/>
        <v>0</v>
      </c>
      <c r="X43" s="222">
        <f t="shared" si="14"/>
        <v>34444847.036007531</v>
      </c>
      <c r="Y43" s="222">
        <f t="shared" si="15"/>
        <v>116136864.30959415</v>
      </c>
      <c r="Z43" s="222">
        <f t="shared" si="10"/>
        <v>19439042.636702746</v>
      </c>
      <c r="AA43" s="222">
        <f t="shared" si="11"/>
        <v>-210050116.63340136</v>
      </c>
    </row>
    <row r="44" spans="2:27" ht="15" thickBot="1" x14ac:dyDescent="0.4">
      <c r="B44" s="87" t="s">
        <v>30</v>
      </c>
      <c r="C44" s="88">
        <f>SUM('ABP Under Contract'!K44:P44)</f>
        <v>32629539.769999996</v>
      </c>
      <c r="D44" s="88">
        <f>'REC Spend projected'!H43+'REC Spend projected'!I43+'REC Spend projected'!J43+'REC Spend projected'!K43+'REC Spend projected'!L43</f>
        <v>36163310.228136413</v>
      </c>
      <c r="E44" s="89"/>
      <c r="F44" s="88">
        <f>F16*'REC Spend projected'!$B$29</f>
        <v>34382468.413346566</v>
      </c>
      <c r="G44" s="88">
        <f>G16*'REC Spend projected'!$B$29</f>
        <v>50624623.805417545</v>
      </c>
      <c r="H44" s="88">
        <f>H16*'REC Spend projected'!$B$29</f>
        <v>46136699.378928646</v>
      </c>
      <c r="I44" s="88">
        <f>I16*'REC Spend projected'!$B$29</f>
        <v>59479458.554731779</v>
      </c>
      <c r="J44" s="88">
        <f>J16*'REC Spend projected'!$B$29</f>
        <v>0</v>
      </c>
      <c r="K44" s="88">
        <f>K16*'REC Spend projected'!$B$29</f>
        <v>0</v>
      </c>
      <c r="L44" s="88">
        <f>L16*'REC Spend projected'!$B$29</f>
        <v>0</v>
      </c>
      <c r="M44" s="88">
        <f>M16*'REC Spend projected'!$B$29</f>
        <v>0</v>
      </c>
      <c r="N44" s="88">
        <f>N16*'REC Spend projected'!$B$29</f>
        <v>0</v>
      </c>
      <c r="O44" s="88"/>
      <c r="P44" s="88">
        <f>P16*'REC Spend projected'!$B$29</f>
        <v>19472044.576388851</v>
      </c>
      <c r="Q44" s="88">
        <f t="shared" si="9"/>
        <v>278888144.72694975</v>
      </c>
      <c r="R44" s="88">
        <f>'REC Spend projected'!AA43</f>
        <v>-298130228.78003967</v>
      </c>
      <c r="S44" s="88">
        <f>'REC Spend projected'!AE43</f>
        <v>-414015351.79294062</v>
      </c>
      <c r="U44" s="87" t="s">
        <v>30</v>
      </c>
      <c r="V44" s="222">
        <f t="shared" si="12"/>
        <v>68792849.998136401</v>
      </c>
      <c r="W44" s="222">
        <f t="shared" si="13"/>
        <v>0</v>
      </c>
      <c r="X44" s="222">
        <f t="shared" si="14"/>
        <v>34382468.413346566</v>
      </c>
      <c r="Y44" s="222">
        <f t="shared" si="15"/>
        <v>156240781.73907799</v>
      </c>
      <c r="Z44" s="222">
        <f t="shared" si="10"/>
        <v>19472044.576388851</v>
      </c>
      <c r="AA44" s="222">
        <f t="shared" si="11"/>
        <v>-298130228.78003967</v>
      </c>
    </row>
    <row r="45" spans="2:27" ht="15" thickBot="1" x14ac:dyDescent="0.4">
      <c r="B45" s="87" t="s">
        <v>31</v>
      </c>
      <c r="C45" s="88">
        <f>SUM('ABP Under Contract'!K45:P45)</f>
        <v>32466197.68</v>
      </c>
      <c r="D45" s="88">
        <f>'REC Spend projected'!H44+'REC Spend projected'!I44+'REC Spend projected'!J44+'REC Spend projected'!K44+'REC Spend projected'!L44</f>
        <v>33753693.182410434</v>
      </c>
      <c r="E45" s="89"/>
      <c r="F45" s="88">
        <f>F17*'REC Spend projected'!$B$29</f>
        <v>24653344.386074316</v>
      </c>
      <c r="G45" s="88">
        <f>G17*'REC Spend projected'!$B$29</f>
        <v>52810565.320609525</v>
      </c>
      <c r="H45" s="88">
        <f>H17*'REC Spend projected'!$B$29</f>
        <v>47549036.614831448</v>
      </c>
      <c r="I45" s="88">
        <f>I17*'REC Spend projected'!$B$29</f>
        <v>71459938.308416948</v>
      </c>
      <c r="J45" s="88">
        <f>J17*'REC Spend projected'!$B$29</f>
        <v>4458844.9041699469</v>
      </c>
      <c r="K45" s="88">
        <f>K17*'REC Spend projected'!$B$29</f>
        <v>0</v>
      </c>
      <c r="L45" s="88">
        <f>L17*'REC Spend projected'!$B$29</f>
        <v>0</v>
      </c>
      <c r="M45" s="88">
        <f>M17*'REC Spend projected'!$B$29</f>
        <v>0</v>
      </c>
      <c r="N45" s="88">
        <f>N17*'REC Spend projected'!$B$29</f>
        <v>0</v>
      </c>
      <c r="O45" s="88"/>
      <c r="P45" s="88">
        <f>P17*'REC Spend projected'!$B$29</f>
        <v>19487971.4640413</v>
      </c>
      <c r="Q45" s="88">
        <f t="shared" si="9"/>
        <v>286639591.86055392</v>
      </c>
      <c r="R45" s="88">
        <f>'REC Spend projected'!AA44</f>
        <v>-414015351.79294062</v>
      </c>
      <c r="S45" s="88">
        <f>'REC Spend projected'!AE44</f>
        <v>-515252721.28513771</v>
      </c>
      <c r="U45" s="87" t="s">
        <v>31</v>
      </c>
      <c r="V45" s="222">
        <f t="shared" si="12"/>
        <v>66219890.862410434</v>
      </c>
      <c r="W45" s="222">
        <f t="shared" si="13"/>
        <v>0</v>
      </c>
      <c r="X45" s="222">
        <f t="shared" si="14"/>
        <v>24653344.386074316</v>
      </c>
      <c r="Y45" s="222">
        <f t="shared" si="15"/>
        <v>176278385.14802787</v>
      </c>
      <c r="Z45" s="222">
        <f t="shared" si="10"/>
        <v>19487971.4640413</v>
      </c>
      <c r="AA45" s="222">
        <f t="shared" si="11"/>
        <v>-414015351.79294062</v>
      </c>
    </row>
    <row r="46" spans="2:27" ht="15" thickBot="1" x14ac:dyDescent="0.4">
      <c r="B46" s="87" t="s">
        <v>32</v>
      </c>
      <c r="C46" s="88">
        <f>SUM('ABP Under Contract'!K46:P46)</f>
        <v>32304265.490000002</v>
      </c>
      <c r="D46" s="88">
        <f>'REC Spend projected'!H45+'REC Spend projected'!I45+'REC Spend projected'!J45+'REC Spend projected'!K45+'REC Spend projected'!L45</f>
        <v>29854522.916643132</v>
      </c>
      <c r="E46" s="89"/>
      <c r="F46" s="88">
        <f>F18*'REC Spend projected'!$B$29</f>
        <v>13769534.310749922</v>
      </c>
      <c r="G46" s="88">
        <f>G18*'REC Spend projected'!$B$29</f>
        <v>48809202.068403937</v>
      </c>
      <c r="H46" s="88">
        <f>H18*'REC Spend projected'!$B$29</f>
        <v>44729019.486227833</v>
      </c>
      <c r="I46" s="88">
        <f>I18*'REC Spend projected'!$B$29</f>
        <v>38334647.476812214</v>
      </c>
      <c r="J46" s="88">
        <f>J18*'REC Spend projected'!$B$29</f>
        <v>50381606.569387659</v>
      </c>
      <c r="K46" s="88">
        <f>K18*'REC Spend projected'!$B$29</f>
        <v>0</v>
      </c>
      <c r="L46" s="88">
        <f>L18*'REC Spend projected'!$B$29</f>
        <v>0</v>
      </c>
      <c r="M46" s="88">
        <f>M18*'REC Spend projected'!$B$29</f>
        <v>0</v>
      </c>
      <c r="N46" s="88">
        <f>N18*'REC Spend projected'!$B$29</f>
        <v>0</v>
      </c>
      <c r="O46" s="88"/>
      <c r="P46" s="88">
        <f>P18*'REC Spend projected'!$B$29</f>
        <v>19513833.370341349</v>
      </c>
      <c r="Q46" s="88">
        <f t="shared" si="9"/>
        <v>277696631.68856609</v>
      </c>
      <c r="R46" s="88">
        <f>'REC Spend projected'!AA45</f>
        <v>-515252721.28513771</v>
      </c>
      <c r="S46" s="88">
        <f>'REC Spend projected'!AE45</f>
        <v>-602652598.03020036</v>
      </c>
      <c r="U46" s="87" t="s">
        <v>32</v>
      </c>
      <c r="V46" s="222">
        <f t="shared" si="12"/>
        <v>62158788.406643137</v>
      </c>
      <c r="W46" s="222">
        <f t="shared" si="13"/>
        <v>0</v>
      </c>
      <c r="X46" s="222">
        <f t="shared" si="14"/>
        <v>13769534.310749922</v>
      </c>
      <c r="Y46" s="222">
        <f t="shared" si="15"/>
        <v>182254475.60083163</v>
      </c>
      <c r="Z46" s="222">
        <f t="shared" si="10"/>
        <v>19513833.370341349</v>
      </c>
      <c r="AA46" s="222">
        <f t="shared" si="11"/>
        <v>-515252721.28513771</v>
      </c>
    </row>
    <row r="47" spans="2:27" ht="15" thickBot="1" x14ac:dyDescent="0.4">
      <c r="B47" s="87" t="s">
        <v>33</v>
      </c>
      <c r="C47" s="88">
        <f>SUM('ABP Under Contract'!K47:P47)</f>
        <v>32142292.469999999</v>
      </c>
      <c r="D47" s="88">
        <f>'REC Spend projected'!H46+'REC Spend projected'!I46+'REC Spend projected'!J46+'REC Spend projected'!K46+'REC Spend projected'!L46</f>
        <v>26260460.494375218</v>
      </c>
      <c r="E47" s="89"/>
      <c r="F47" s="88">
        <f>F19*'REC Spend projected'!$B$29</f>
        <v>12228075.170164986</v>
      </c>
      <c r="G47" s="88">
        <f>G19*'REC Spend projected'!$B$29</f>
        <v>31622410.007559251</v>
      </c>
      <c r="H47" s="88">
        <f>H19*'REC Spend projected'!$B$29</f>
        <v>38939868.50654491</v>
      </c>
      <c r="I47" s="88">
        <f>I19*'REC Spend projected'!$B$29</f>
        <v>34218519.959115915</v>
      </c>
      <c r="J47" s="88">
        <f>J19*'REC Spend projected'!$B$29</f>
        <v>38358774.969523989</v>
      </c>
      <c r="K47" s="88">
        <f>K19*'REC Spend projected'!$B$29</f>
        <v>2595295.8199066268</v>
      </c>
      <c r="L47" s="88">
        <f>L19*'REC Spend projected'!$B$29</f>
        <v>0</v>
      </c>
      <c r="M47" s="88">
        <f>M19*'REC Spend projected'!$B$29</f>
        <v>0</v>
      </c>
      <c r="N47" s="88">
        <f>N19*'REC Spend projected'!$B$29</f>
        <v>0</v>
      </c>
      <c r="O47" s="88"/>
      <c r="P47" s="88">
        <f>P19*'REC Spend projected'!$B$29</f>
        <v>19532808.042153396</v>
      </c>
      <c r="Q47" s="88">
        <f t="shared" si="9"/>
        <v>235898505.43934429</v>
      </c>
      <c r="R47" s="88">
        <f>'REC Spend projected'!AA46</f>
        <v>-602652598.03020036</v>
      </c>
      <c r="S47" s="88">
        <f>'REC Spend projected'!AE46</f>
        <v>-664615413.32897544</v>
      </c>
      <c r="U47" s="87" t="s">
        <v>33</v>
      </c>
      <c r="V47" s="222">
        <f t="shared" si="12"/>
        <v>58402752.964375213</v>
      </c>
      <c r="W47" s="222">
        <f t="shared" si="13"/>
        <v>0</v>
      </c>
      <c r="X47" s="222">
        <f t="shared" si="14"/>
        <v>12228075.170164986</v>
      </c>
      <c r="Y47" s="222">
        <f t="shared" si="15"/>
        <v>145734869.2626507</v>
      </c>
      <c r="Z47" s="222">
        <f t="shared" si="10"/>
        <v>19532808.042153396</v>
      </c>
      <c r="AA47" s="222">
        <f t="shared" si="11"/>
        <v>-602652598.03020036</v>
      </c>
    </row>
    <row r="48" spans="2:27" ht="15" thickBot="1" x14ac:dyDescent="0.4">
      <c r="B48" s="87" t="s">
        <v>34</v>
      </c>
      <c r="C48" s="88">
        <f>SUM('ABP Under Contract'!K48:P48)</f>
        <v>31981690.750000004</v>
      </c>
      <c r="D48" s="88">
        <f>'REC Spend projected'!H47+'REC Spend projected'!I47+'REC Spend projected'!J47+'REC Spend projected'!K47+'REC Spend projected'!L47</f>
        <v>20816424.667710762</v>
      </c>
      <c r="E48" s="89"/>
      <c r="F48" s="88">
        <f>F20*'REC Spend projected'!$B$29</f>
        <v>12166934.794314159</v>
      </c>
      <c r="G48" s="88">
        <f>G20*'REC Spend projected'!$B$29</f>
        <v>16172649.063184975</v>
      </c>
      <c r="H48" s="88">
        <f>H20*'REC Spend projected'!$B$29</f>
        <v>35104743.225915261</v>
      </c>
      <c r="I48" s="88">
        <f>I20*'REC Spend projected'!$B$29</f>
        <v>31531953.232987564</v>
      </c>
      <c r="J48" s="88">
        <f>J20*'REC Spend projected'!$B$29</f>
        <v>22359842.336326167</v>
      </c>
      <c r="K48" s="88">
        <f>K20*'REC Spend projected'!$B$29</f>
        <v>23180911.732503232</v>
      </c>
      <c r="L48" s="88">
        <f>L20*'REC Spend projected'!$B$29</f>
        <v>0</v>
      </c>
      <c r="M48" s="88">
        <f>M20*'REC Spend projected'!$B$29</f>
        <v>0</v>
      </c>
      <c r="N48" s="88">
        <f>N20*'REC Spend projected'!$B$29</f>
        <v>0</v>
      </c>
      <c r="O48" s="88"/>
      <c r="P48" s="88">
        <f>P20*'REC Spend projected'!$B$29</f>
        <v>19555386.032194737</v>
      </c>
      <c r="Q48" s="88">
        <f t="shared" si="9"/>
        <v>212870535.83513683</v>
      </c>
      <c r="R48" s="88">
        <f>'REC Spend projected'!AA47</f>
        <v>-664615413.32897544</v>
      </c>
      <c r="S48" s="88">
        <f>'REC Spend projected'!AE47</f>
        <v>-704637585.69253063</v>
      </c>
      <c r="U48" s="87" t="s">
        <v>34</v>
      </c>
      <c r="V48" s="222">
        <f t="shared" si="12"/>
        <v>52798115.417710766</v>
      </c>
      <c r="W48" s="222">
        <f t="shared" si="13"/>
        <v>0</v>
      </c>
      <c r="X48" s="222">
        <f t="shared" si="14"/>
        <v>12166934.794314159</v>
      </c>
      <c r="Y48" s="222">
        <f t="shared" si="15"/>
        <v>128350099.5909172</v>
      </c>
      <c r="Z48" s="222">
        <f t="shared" si="10"/>
        <v>19555386.032194737</v>
      </c>
      <c r="AA48" s="222">
        <f t="shared" si="11"/>
        <v>-664615413.32897544</v>
      </c>
    </row>
    <row r="49" spans="2:27" ht="15" thickBot="1" x14ac:dyDescent="0.4">
      <c r="B49" s="87" t="s">
        <v>35</v>
      </c>
      <c r="C49" s="88">
        <f>SUM('ABP Under Contract'!K49:P49)</f>
        <v>31821790.48</v>
      </c>
      <c r="D49" s="88">
        <f>'REC Spend projected'!H48+'REC Spend projected'!I48+'REC Spend projected'!J48+'REC Spend projected'!K48+'REC Spend projected'!L48</f>
        <v>16974977.141154665</v>
      </c>
      <c r="E49" s="89"/>
      <c r="F49" s="88">
        <f>F21*'REC Spend projected'!$B$29</f>
        <v>12106100.120342588</v>
      </c>
      <c r="G49" s="88">
        <f>G21*'REC Spend projected'!$B$29</f>
        <v>10484931.530799737</v>
      </c>
      <c r="H49" s="88">
        <f>H21*'REC Spend projected'!$B$29</f>
        <v>23864143.226660479</v>
      </c>
      <c r="I49" s="88">
        <f>I21*'REC Spend projected'!$B$29</f>
        <v>29406415.203657348</v>
      </c>
      <c r="J49" s="88">
        <f>J21*'REC Spend projected'!$B$29</f>
        <v>20969672.369627286</v>
      </c>
      <c r="K49" s="88">
        <f>K21*'REC Spend projected'!$B$29</f>
        <v>26973479.605997451</v>
      </c>
      <c r="L49" s="88">
        <f>L21*'REC Spend projected'!$B$29</f>
        <v>1106817.9433935883</v>
      </c>
      <c r="M49" s="88">
        <f>M21*'REC Spend projected'!$B$29</f>
        <v>0</v>
      </c>
      <c r="N49" s="88">
        <f>N21*'REC Spend projected'!$B$29</f>
        <v>0</v>
      </c>
      <c r="O49" s="88"/>
      <c r="P49" s="88">
        <f>P21*'REC Spend projected'!$B$29</f>
        <v>19566254.996370465</v>
      </c>
      <c r="Q49" s="88">
        <f t="shared" si="9"/>
        <v>193274582.61800361</v>
      </c>
      <c r="R49" s="88">
        <f>'REC Spend projected'!AA48</f>
        <v>-704637585.69253063</v>
      </c>
      <c r="S49" s="88">
        <f>'REC Spend projected'!AE48</f>
        <v>-725962777.46886086</v>
      </c>
      <c r="U49" s="87" t="s">
        <v>35</v>
      </c>
      <c r="V49" s="222">
        <f t="shared" si="12"/>
        <v>48796767.621154666</v>
      </c>
      <c r="W49" s="222">
        <f t="shared" si="13"/>
        <v>0</v>
      </c>
      <c r="X49" s="222">
        <f t="shared" si="14"/>
        <v>12106100.120342588</v>
      </c>
      <c r="Y49" s="222">
        <f t="shared" si="15"/>
        <v>112805459.88013589</v>
      </c>
      <c r="Z49" s="222">
        <f t="shared" si="10"/>
        <v>19566254.996370465</v>
      </c>
      <c r="AA49" s="222">
        <f t="shared" si="11"/>
        <v>-704637585.69253063</v>
      </c>
    </row>
    <row r="50" spans="2:27" ht="15" thickBot="1" x14ac:dyDescent="0.4">
      <c r="B50" s="87" t="s">
        <v>36</v>
      </c>
      <c r="C50" s="88">
        <f>SUM('ABP Under Contract'!K50:P50)</f>
        <v>31662656.020000011</v>
      </c>
      <c r="D50" s="88">
        <f>'REC Spend projected'!H49+'REC Spend projected'!I49+'REC Spend projected'!J49+'REC Spend projected'!K49+'REC Spend projected'!L49</f>
        <v>15218003.9686615</v>
      </c>
      <c r="E50" s="89"/>
      <c r="F50" s="88">
        <f>F22*'REC Spend projected'!$B$29</f>
        <v>12045569.619740875</v>
      </c>
      <c r="G50" s="88">
        <f>G22*'REC Spend projected'!$B$29</f>
        <v>5967853.4716480998</v>
      </c>
      <c r="H50" s="88">
        <f>H22*'REC Spend projected'!$B$29</f>
        <v>11512426.639087562</v>
      </c>
      <c r="I50" s="88">
        <f>I22*'REC Spend projected'!$B$29</f>
        <v>27190223.989005897</v>
      </c>
      <c r="J50" s="88">
        <f>J22*'REC Spend projected'!$B$29</f>
        <v>19554070.599913482</v>
      </c>
      <c r="K50" s="88">
        <f>K22*'REC Spend projected'!$B$29</f>
        <v>12337926.243824884</v>
      </c>
      <c r="L50" s="88">
        <f>L22*'REC Spend projected'!$B$29</f>
        <v>18954956.018619679</v>
      </c>
      <c r="M50" s="88">
        <f>M22*'REC Spend projected'!$B$29</f>
        <v>0</v>
      </c>
      <c r="N50" s="88">
        <f>N22*'REC Spend projected'!$B$29</f>
        <v>0</v>
      </c>
      <c r="O50" s="88"/>
      <c r="P50" s="88">
        <f>P22*'REC Spend projected'!$B$29</f>
        <v>19590308.276373878</v>
      </c>
      <c r="Q50" s="88">
        <f t="shared" si="9"/>
        <v>174033994.84687585</v>
      </c>
      <c r="R50" s="88">
        <f>'REC Spend projected'!AA49</f>
        <v>-725962777.46886086</v>
      </c>
      <c r="S50" s="88">
        <f>'REC Spend projected'!AE49</f>
        <v>-728952130.710109</v>
      </c>
      <c r="U50" s="87" t="s">
        <v>36</v>
      </c>
      <c r="V50" s="222">
        <f t="shared" si="12"/>
        <v>46880659.988661513</v>
      </c>
      <c r="W50" s="222">
        <f t="shared" si="13"/>
        <v>0</v>
      </c>
      <c r="X50" s="222">
        <f t="shared" si="14"/>
        <v>12045569.619740875</v>
      </c>
      <c r="Y50" s="222">
        <f t="shared" si="15"/>
        <v>95517456.962099612</v>
      </c>
      <c r="Z50" s="222">
        <f t="shared" si="10"/>
        <v>19590308.276373878</v>
      </c>
      <c r="AA50" s="222">
        <f t="shared" si="11"/>
        <v>-725962777.46886086</v>
      </c>
    </row>
    <row r="51" spans="2:27" ht="15" thickBot="1" x14ac:dyDescent="0.4">
      <c r="B51" s="87" t="s">
        <v>37</v>
      </c>
      <c r="C51" s="88">
        <f>SUM('ABP Under Contract'!K51:P51)</f>
        <v>31504149.189999994</v>
      </c>
      <c r="D51" s="88">
        <f>'REC Spend projected'!H50+'REC Spend projected'!I50+'REC Spend projected'!J50+'REC Spend projected'!K50+'REC Spend projected'!L50</f>
        <v>13604595.398573738</v>
      </c>
      <c r="E51" s="89"/>
      <c r="F51" s="88">
        <f>F23*'REC Spend projected'!$B$29</f>
        <v>11985341.771642169</v>
      </c>
      <c r="G51" s="88">
        <f>G23*'REC Spend projected'!$B$29</f>
        <v>2210937.816554727</v>
      </c>
      <c r="H51" s="88">
        <f>H23*'REC Spend projected'!$B$29</f>
        <v>7626598.9189240513</v>
      </c>
      <c r="I51" s="88">
        <f>I23*'REC Spend projected'!$B$29</f>
        <v>17777245.22756502</v>
      </c>
      <c r="J51" s="88">
        <f>J23*'REC Spend projected'!$B$29</f>
        <v>18374883.589846682</v>
      </c>
      <c r="K51" s="88">
        <f>K23*'REC Spend projected'!$B$29</f>
        <v>11137727.67221776</v>
      </c>
      <c r="L51" s="88">
        <f>L23*'REC Spend projected'!$B$29</f>
        <v>22520790.139547337</v>
      </c>
      <c r="M51" s="88">
        <f>M23*'REC Spend projected'!$B$29</f>
        <v>-151954.41820802828</v>
      </c>
      <c r="N51" s="88">
        <f>N23*'REC Spend projected'!$B$29</f>
        <v>0</v>
      </c>
      <c r="O51" s="88"/>
      <c r="P51" s="88">
        <f>P23*'REC Spend projected'!$B$29</f>
        <v>19609853.52212083</v>
      </c>
      <c r="Q51" s="88">
        <f t="shared" si="9"/>
        <v>156200168.82878429</v>
      </c>
      <c r="R51" s="88">
        <f>'REC Spend projected'!AA50</f>
        <v>-728952130.710109</v>
      </c>
      <c r="S51" s="88">
        <f>'REC Spend projected'!AE50</f>
        <v>-714906300.20006919</v>
      </c>
      <c r="U51" s="87" t="s">
        <v>37</v>
      </c>
      <c r="V51" s="222">
        <f t="shared" si="12"/>
        <v>45108744.588573731</v>
      </c>
      <c r="W51" s="222">
        <f t="shared" si="13"/>
        <v>0</v>
      </c>
      <c r="X51" s="222">
        <f t="shared" si="14"/>
        <v>11985341.771642169</v>
      </c>
      <c r="Y51" s="222">
        <f t="shared" si="15"/>
        <v>79496228.946447536</v>
      </c>
      <c r="Z51" s="222">
        <f t="shared" si="10"/>
        <v>19609853.52212083</v>
      </c>
      <c r="AA51" s="222">
        <f t="shared" si="11"/>
        <v>-728952130.710109</v>
      </c>
    </row>
    <row r="52" spans="2:27" ht="15" thickBot="1" x14ac:dyDescent="0.4">
      <c r="B52" s="87" t="s">
        <v>38</v>
      </c>
      <c r="C52" s="88">
        <f>SUM('ABP Under Contract'!K52:P52)</f>
        <v>31346984.31000001</v>
      </c>
      <c r="D52" s="88">
        <f>'REC Spend projected'!H51+'REC Spend projected'!I51+'REC Spend projected'!J51+'REC Spend projected'!K51+'REC Spend projected'!L51</f>
        <v>11542712.260902749</v>
      </c>
      <c r="E52" s="89"/>
      <c r="F52" s="88">
        <f>F24*'REC Spend projected'!$B$29</f>
        <v>11925415.06278396</v>
      </c>
      <c r="G52" s="88">
        <f>G24*'REC Spend projected'!$B$29</f>
        <v>-1251800.0634218354</v>
      </c>
      <c r="H52" s="88">
        <f>H24*'REC Spend projected'!$B$29</f>
        <v>5205126.6232408118</v>
      </c>
      <c r="I52" s="88">
        <f>I24*'REC Spend projected'!$B$29</f>
        <v>7604656.8729862403</v>
      </c>
      <c r="J52" s="88">
        <f>J24*'REC Spend projected'!$B$29</f>
        <v>17288329.936152756</v>
      </c>
      <c r="K52" s="88">
        <f>K24*'REC Spend projected'!$B$29</f>
        <v>10059472.181648297</v>
      </c>
      <c r="L52" s="88">
        <f>L24*'REC Spend projected'!$B$29</f>
        <v>9249343.6716247443</v>
      </c>
      <c r="M52" s="88">
        <f>M24*'REC Spend projected'!$B$29</f>
        <v>15340534.866677951</v>
      </c>
      <c r="N52" s="88">
        <f>N24*'REC Spend projected'!$B$29</f>
        <v>0</v>
      </c>
      <c r="O52" s="88"/>
      <c r="P52" s="88">
        <f>P24*'REC Spend projected'!$B$29</f>
        <v>19633192.956074465</v>
      </c>
      <c r="Q52" s="88">
        <f t="shared" si="9"/>
        <v>137943968.67867017</v>
      </c>
      <c r="R52" s="88">
        <f>'REC Spend projected'!AA51</f>
        <v>-714906300.20006919</v>
      </c>
      <c r="S52" s="88">
        <f>'REC Spend projected'!AE51</f>
        <v>-686699418.46826982</v>
      </c>
      <c r="U52" s="87" t="s">
        <v>38</v>
      </c>
      <c r="V52" s="222">
        <f t="shared" si="12"/>
        <v>42889696.570902757</v>
      </c>
      <c r="W52" s="222">
        <f t="shared" si="13"/>
        <v>0</v>
      </c>
      <c r="X52" s="222">
        <f t="shared" si="14"/>
        <v>11925415.06278396</v>
      </c>
      <c r="Y52" s="222">
        <f t="shared" si="15"/>
        <v>63495664.08890897</v>
      </c>
      <c r="Z52" s="222">
        <f t="shared" si="10"/>
        <v>19633192.956074465</v>
      </c>
      <c r="AA52" s="222">
        <f t="shared" si="11"/>
        <v>-714906300.20006919</v>
      </c>
    </row>
    <row r="53" spans="2:27" ht="15" thickBot="1" x14ac:dyDescent="0.4">
      <c r="B53" s="87" t="s">
        <v>39</v>
      </c>
      <c r="C53" s="88">
        <f>SUM('ABP Under Contract'!K53:P53)</f>
        <v>31190170.219999995</v>
      </c>
      <c r="D53" s="88">
        <f>'REC Spend projected'!H52+'REC Spend projected'!I52+'REC Spend projected'!J52+'REC Spend projected'!K52+'REC Spend projected'!L52</f>
        <v>9855247.2703891564</v>
      </c>
      <c r="E53" s="89"/>
      <c r="F53" s="88">
        <f>F25*'REC Spend projected'!$B$29</f>
        <v>11865787.98747004</v>
      </c>
      <c r="G53" s="88">
        <f>G25*'REC Spend projected'!$B$29</f>
        <v>-5713774.5833438849</v>
      </c>
      <c r="H53" s="88">
        <f>H25*'REC Spend projected'!$B$29</f>
        <v>2094914.7740303401</v>
      </c>
      <c r="I53" s="88">
        <f>I25*'REC Spend projected'!$B$29</f>
        <v>4264738.8881438132</v>
      </c>
      <c r="J53" s="88">
        <f>J25*'REC Spend projected'!$B$29</f>
        <v>8923622.9553208277</v>
      </c>
      <c r="K53" s="88">
        <f>K25*'REC Spend projected'!$B$29</f>
        <v>5274180.700447307</v>
      </c>
      <c r="L53" s="88">
        <f>L25*'REC Spend projected'!$B$29</f>
        <v>7833965.8638719646</v>
      </c>
      <c r="M53" s="88">
        <f>M25*'REC Spend projected'!$B$29</f>
        <v>18316181.11134956</v>
      </c>
      <c r="N53" s="88">
        <f>N25*'REC Spend projected'!$B$29</f>
        <v>-1362712.8658948801</v>
      </c>
      <c r="O53" s="88"/>
      <c r="P53" s="88">
        <f>P25*'REC Spend projected'!$B$29</f>
        <v>19649257.094017625</v>
      </c>
      <c r="Q53" s="88">
        <f t="shared" ref="Q53:Q54" si="16">SUM(C53:P53)</f>
        <v>112191579.41580185</v>
      </c>
      <c r="R53" s="88">
        <f>'REC Spend projected'!AA52</f>
        <v>-686699418.46826982</v>
      </c>
      <c r="S53" s="88">
        <f>'REC Spend projected'!AE52</f>
        <v>-622559287.54635382</v>
      </c>
      <c r="U53" s="87" t="s">
        <v>39</v>
      </c>
      <c r="V53" s="222">
        <f t="shared" si="12"/>
        <v>41045417.490389153</v>
      </c>
      <c r="W53" s="222">
        <f t="shared" si="13"/>
        <v>0</v>
      </c>
      <c r="X53" s="222">
        <f t="shared" si="14"/>
        <v>11865787.98747004</v>
      </c>
      <c r="Y53" s="222">
        <f t="shared" si="15"/>
        <v>39631116.843925044</v>
      </c>
      <c r="Z53" s="222">
        <f t="shared" si="10"/>
        <v>19649257.094017625</v>
      </c>
      <c r="AA53" s="222">
        <f t="shared" si="11"/>
        <v>-686699418.46826982</v>
      </c>
    </row>
    <row r="54" spans="2:27" ht="15" thickBot="1" x14ac:dyDescent="0.4">
      <c r="B54" s="87" t="s">
        <v>40</v>
      </c>
      <c r="C54" s="88">
        <f>SUM('ABP Under Contract'!K54:P54)</f>
        <v>31034214.140000001</v>
      </c>
      <c r="D54" s="88">
        <f>'REC Spend projected'!H53+'REC Spend projected'!I53+'REC Spend projected'!J53+'REC Spend projected'!K53+'REC Spend projected'!L53</f>
        <v>-14917358.732164776</v>
      </c>
      <c r="E54" s="89"/>
      <c r="F54" s="88">
        <f>F26*'REC Spend projected'!$B$29</f>
        <v>11806459.047532691</v>
      </c>
      <c r="G54" s="88">
        <f>G26*'REC Spend projected'!$B$29</f>
        <v>-9376989.3564351778</v>
      </c>
      <c r="H54" s="88">
        <f>H26*'REC Spend projected'!$B$29</f>
        <v>-458463.35303734499</v>
      </c>
      <c r="I54" s="88">
        <f>I26*'REC Spend projected'!$B$29</f>
        <v>2471326.1964430623</v>
      </c>
      <c r="J54" s="88">
        <f>J26*'REC Spend projected'!$B$29</f>
        <v>3320605.4611659613</v>
      </c>
      <c r="K54" s="88">
        <f>K26*'REC Spend projected'!$B$29</f>
        <v>7539893.8213247107</v>
      </c>
      <c r="L54" s="88">
        <f>L26*'REC Spend projected'!$B$29</f>
        <v>6694937.7547615087</v>
      </c>
      <c r="M54" s="88">
        <f>M26*'REC Spend projected'!$B$29</f>
        <v>5939289.2604325721</v>
      </c>
      <c r="N54" s="88">
        <f>N26*'REC Spend projected'!$B$29</f>
        <v>26938270.388530631</v>
      </c>
      <c r="O54" s="88"/>
      <c r="P54" s="88">
        <f>P26*'REC Spend projected'!$B$29</f>
        <v>19665619.837493822</v>
      </c>
      <c r="Q54" s="88">
        <f t="shared" si="16"/>
        <v>90657804.46604766</v>
      </c>
      <c r="R54" s="88">
        <f>'REC Spend projected'!AA52</f>
        <v>-686699418.46826982</v>
      </c>
      <c r="S54" s="88">
        <f>'REC Spend projected'!AE53</f>
        <v>-518633320.71660614</v>
      </c>
      <c r="U54" s="87" t="s">
        <v>40</v>
      </c>
      <c r="V54" s="222">
        <f t="shared" si="12"/>
        <v>16116855.407835225</v>
      </c>
      <c r="W54" s="222">
        <f t="shared" si="13"/>
        <v>0</v>
      </c>
      <c r="X54" s="222">
        <f t="shared" si="14"/>
        <v>11806459.047532691</v>
      </c>
      <c r="Y54" s="222">
        <f t="shared" si="15"/>
        <v>43068870.173185922</v>
      </c>
      <c r="Z54" s="222">
        <f t="shared" si="10"/>
        <v>19665619.837493822</v>
      </c>
      <c r="AA54" s="222">
        <f t="shared" si="11"/>
        <v>-686699418.46826982</v>
      </c>
    </row>
    <row r="57" spans="2:27" ht="15" thickBot="1" x14ac:dyDescent="0.4">
      <c r="B57" s="1" t="s">
        <v>43</v>
      </c>
    </row>
    <row r="58" spans="2:27" ht="15.75" customHeight="1" thickBot="1" x14ac:dyDescent="0.4">
      <c r="B58" s="317"/>
      <c r="C58" s="318"/>
      <c r="D58" s="318"/>
      <c r="E58" s="319"/>
      <c r="F58" s="320"/>
      <c r="G58" s="324"/>
      <c r="H58" s="321"/>
      <c r="I58" s="322"/>
      <c r="J58" s="321"/>
      <c r="K58" s="322"/>
      <c r="L58" s="81"/>
      <c r="M58" s="241"/>
      <c r="N58" s="241"/>
      <c r="O58" s="241"/>
      <c r="P58" s="241"/>
      <c r="Q58" s="241"/>
      <c r="R58" s="241"/>
      <c r="S58" s="241"/>
    </row>
    <row r="59" spans="2:27" ht="21.5" thickBot="1" x14ac:dyDescent="0.4">
      <c r="B59" s="82" t="s">
        <v>1</v>
      </c>
      <c r="C59" s="83" t="s">
        <v>231</v>
      </c>
      <c r="D59" s="83" t="s">
        <v>232</v>
      </c>
      <c r="E59" s="84" t="s">
        <v>241</v>
      </c>
      <c r="F59" s="84" t="s">
        <v>93</v>
      </c>
      <c r="G59" s="84" t="s">
        <v>94</v>
      </c>
      <c r="H59" s="84" t="s">
        <v>95</v>
      </c>
      <c r="I59" s="84" t="s">
        <v>96</v>
      </c>
      <c r="J59" s="84" t="s">
        <v>97</v>
      </c>
      <c r="K59" s="84" t="s">
        <v>98</v>
      </c>
      <c r="L59" s="84" t="s">
        <v>99</v>
      </c>
      <c r="M59" s="84" t="s">
        <v>100</v>
      </c>
      <c r="N59" s="84" t="s">
        <v>101</v>
      </c>
      <c r="O59" s="84"/>
      <c r="P59" s="84" t="s">
        <v>234</v>
      </c>
      <c r="Q59" s="83" t="s">
        <v>235</v>
      </c>
      <c r="R59" s="83" t="s">
        <v>236</v>
      </c>
      <c r="S59" s="85" t="s">
        <v>228</v>
      </c>
      <c r="U59" s="203" t="s">
        <v>1</v>
      </c>
      <c r="V59" s="85" t="s">
        <v>186</v>
      </c>
      <c r="W59" s="85" t="s">
        <v>242</v>
      </c>
      <c r="X59" s="85" t="s">
        <v>93</v>
      </c>
      <c r="Y59" s="85" t="s">
        <v>238</v>
      </c>
      <c r="Z59" s="85" t="s">
        <v>239</v>
      </c>
      <c r="AA59" s="85" t="s">
        <v>240</v>
      </c>
    </row>
    <row r="60" spans="2:27" ht="15" thickBot="1" x14ac:dyDescent="0.4">
      <c r="B60" s="87" t="s">
        <v>17</v>
      </c>
      <c r="C60" s="88">
        <f>SUM('ABP Under Contract'!K62:P62)</f>
        <v>160401463.97400039</v>
      </c>
      <c r="D60" s="88">
        <f>'REC Spend projected'!H58+'REC Spend projected'!I58+'REC Spend projected'!J58+'REC Spend projected'!K58+'REC Spend projected'!L58</f>
        <v>27118112.830711424</v>
      </c>
      <c r="E60" s="89"/>
      <c r="F60" s="88">
        <f>F4*'REC Spend projected'!$B$56</f>
        <v>0</v>
      </c>
      <c r="G60" s="88">
        <f>G4*'REC Spend projected'!$B$56</f>
        <v>0</v>
      </c>
      <c r="H60" s="88">
        <f>H4*'REC Spend projected'!$B$56</f>
        <v>0</v>
      </c>
      <c r="I60" s="88">
        <f>I4*'REC Spend projected'!$B$56</f>
        <v>0</v>
      </c>
      <c r="J60" s="88">
        <f>J4*'REC Spend projected'!$B$56</f>
        <v>0</v>
      </c>
      <c r="K60" s="88">
        <f>K4*'REC Spend projected'!$B$56</f>
        <v>0</v>
      </c>
      <c r="L60" s="88">
        <f>L4*'REC Spend projected'!$B$56</f>
        <v>0</v>
      </c>
      <c r="M60" s="88">
        <f>M4*'REC Spend projected'!$B$56</f>
        <v>0</v>
      </c>
      <c r="N60" s="88">
        <f>N4*'REC Spend projected'!$B$56</f>
        <v>0</v>
      </c>
      <c r="O60" s="88"/>
      <c r="P60" s="88">
        <f>P4*'REC Spend projected'!$B$56</f>
        <v>12710186.330507539</v>
      </c>
      <c r="Q60" s="88">
        <f t="shared" ref="Q60:Q80" si="17">SUM(C60:P60)</f>
        <v>200229763.13521937</v>
      </c>
      <c r="R60" s="88">
        <f>'REC Spend projected'!AA58</f>
        <v>204555086.45917991</v>
      </c>
      <c r="S60" s="88">
        <f>'REC Spend projected'!AE58</f>
        <v>172305146.14179334</v>
      </c>
      <c r="U60" s="204" t="s">
        <v>17</v>
      </c>
      <c r="V60" s="222">
        <f>SUM(C60:D60)</f>
        <v>187519576.80471182</v>
      </c>
      <c r="W60" s="222">
        <f>E60</f>
        <v>0</v>
      </c>
      <c r="X60" s="222">
        <f>F60</f>
        <v>0</v>
      </c>
      <c r="Y60" s="222">
        <f>SUM(G60:N60)</f>
        <v>0</v>
      </c>
      <c r="Z60" s="222">
        <f t="shared" ref="Z60:Z82" si="18">P60</f>
        <v>12710186.330507539</v>
      </c>
      <c r="AA60" s="222">
        <f t="shared" ref="AA60:AA82" si="19">R60</f>
        <v>204555086.45917991</v>
      </c>
    </row>
    <row r="61" spans="2:27" ht="15" thickBot="1" x14ac:dyDescent="0.4">
      <c r="B61" s="87" t="s">
        <v>18</v>
      </c>
      <c r="C61" s="88">
        <f>SUM('ABP Under Contract'!K63:P63)</f>
        <v>143019807.66999993</v>
      </c>
      <c r="D61" s="88">
        <f>'REC Spend projected'!H59+'REC Spend projected'!I59+'REC Spend projected'!J59+'REC Spend projected'!K59+'REC Spend projected'!L59</f>
        <v>32362467.661667578</v>
      </c>
      <c r="E61" s="89"/>
      <c r="F61" s="88">
        <f>F5*'REC Spend projected'!$B$56</f>
        <v>0</v>
      </c>
      <c r="G61" s="88">
        <f>G5*'REC Spend projected'!$B$56</f>
        <v>0</v>
      </c>
      <c r="H61" s="88">
        <f>H5*'REC Spend projected'!$B$56</f>
        <v>0</v>
      </c>
      <c r="I61" s="88">
        <f>I5*'REC Spend projected'!$B$56</f>
        <v>0</v>
      </c>
      <c r="J61" s="88">
        <f>J5*'REC Spend projected'!$B$56</f>
        <v>0</v>
      </c>
      <c r="K61" s="88">
        <f>K5*'REC Spend projected'!$B$56</f>
        <v>0</v>
      </c>
      <c r="L61" s="88">
        <f>L5*'REC Spend projected'!$B$56</f>
        <v>0</v>
      </c>
      <c r="M61" s="88">
        <f>M5*'REC Spend projected'!$B$56</f>
        <v>0</v>
      </c>
      <c r="N61" s="88">
        <f>N5*'REC Spend projected'!$B$56</f>
        <v>0</v>
      </c>
      <c r="O61" s="88"/>
      <c r="P61" s="88">
        <f>P5*'REC Spend projected'!$B$56</f>
        <v>59211237.02176965</v>
      </c>
      <c r="Q61" s="88">
        <f t="shared" si="17"/>
        <v>234593512.35343716</v>
      </c>
      <c r="R61" s="88">
        <f>'REC Spend projected'!AA58</f>
        <v>204555086.45917991</v>
      </c>
      <c r="S61" s="88">
        <f>'REC Spend projected'!AE59</f>
        <v>273003953.5518924</v>
      </c>
      <c r="U61" s="204" t="s">
        <v>18</v>
      </c>
      <c r="V61" s="222">
        <f t="shared" ref="V61:V82" si="20">SUM(C61:D61)</f>
        <v>175382275.33166751</v>
      </c>
      <c r="W61" s="222">
        <f t="shared" ref="W61:W82" si="21">E61</f>
        <v>0</v>
      </c>
      <c r="X61" s="222">
        <f t="shared" ref="X61:X82" si="22">F61</f>
        <v>0</v>
      </c>
      <c r="Y61" s="222">
        <f t="shared" ref="Y61:Y82" si="23">SUM(G61:N61)</f>
        <v>0</v>
      </c>
      <c r="Z61" s="222">
        <f t="shared" si="18"/>
        <v>59211237.02176965</v>
      </c>
      <c r="AA61" s="222">
        <f t="shared" si="19"/>
        <v>204555086.45917991</v>
      </c>
    </row>
    <row r="62" spans="2:27" ht="15" thickBot="1" x14ac:dyDescent="0.4">
      <c r="B62" s="87" t="s">
        <v>19</v>
      </c>
      <c r="C62" s="88">
        <f>SUM('ABP Under Contract'!K64:P64)</f>
        <v>184330524.92599976</v>
      </c>
      <c r="D62" s="88">
        <f>'REC Spend projected'!H60+'REC Spend projected'!I60+'REC Spend projected'!J60+'REC Spend projected'!K60+'REC Spend projected'!L60</f>
        <v>33454514.518896408</v>
      </c>
      <c r="E62" s="89"/>
      <c r="F62" s="88">
        <f>F6*'REC Spend projected'!$B$56</f>
        <v>0</v>
      </c>
      <c r="G62" s="88">
        <f>G6*'REC Spend projected'!$B$56</f>
        <v>0</v>
      </c>
      <c r="H62" s="88">
        <f>H6*'REC Spend projected'!$B$56</f>
        <v>0</v>
      </c>
      <c r="I62" s="88">
        <f>I6*'REC Spend projected'!$B$56</f>
        <v>0</v>
      </c>
      <c r="J62" s="88">
        <f>J6*'REC Spend projected'!$B$56</f>
        <v>0</v>
      </c>
      <c r="K62" s="88">
        <f>K6*'REC Spend projected'!$B$56</f>
        <v>0</v>
      </c>
      <c r="L62" s="88">
        <f>L6*'REC Spend projected'!$B$56</f>
        <v>0</v>
      </c>
      <c r="M62" s="88">
        <f>M6*'REC Spend projected'!$B$56</f>
        <v>0</v>
      </c>
      <c r="N62" s="88">
        <f>N6*'REC Spend projected'!$B$56</f>
        <v>0</v>
      </c>
      <c r="O62" s="88"/>
      <c r="P62" s="88">
        <f>P6*'REC Spend projected'!$B$56</f>
        <v>47700647.153309263</v>
      </c>
      <c r="Q62" s="88">
        <f t="shared" si="17"/>
        <v>265485686.59820542</v>
      </c>
      <c r="R62" s="88">
        <f>'REC Spend projected'!AA59</f>
        <v>172305146.14179334</v>
      </c>
      <c r="S62" s="88">
        <f>'REC Spend projected'!AE60</f>
        <v>436662801.40144277</v>
      </c>
      <c r="U62" s="204" t="s">
        <v>19</v>
      </c>
      <c r="V62" s="222">
        <f t="shared" si="20"/>
        <v>217785039.44489616</v>
      </c>
      <c r="W62" s="222">
        <f t="shared" si="21"/>
        <v>0</v>
      </c>
      <c r="X62" s="222">
        <f t="shared" si="22"/>
        <v>0</v>
      </c>
      <c r="Y62" s="222">
        <f t="shared" si="23"/>
        <v>0</v>
      </c>
      <c r="Z62" s="222">
        <f t="shared" si="18"/>
        <v>47700647.153309263</v>
      </c>
      <c r="AA62" s="222">
        <f t="shared" si="19"/>
        <v>172305146.14179334</v>
      </c>
    </row>
    <row r="63" spans="2:27" ht="15" thickBot="1" x14ac:dyDescent="0.4">
      <c r="B63" s="87" t="s">
        <v>20</v>
      </c>
      <c r="C63" s="88">
        <f>SUM('ABP Under Contract'!K65:P65)</f>
        <v>369298056.92749965</v>
      </c>
      <c r="D63" s="88">
        <f>'REC Spend projected'!H61+'REC Spend projected'!I61+'REC Spend projected'!J61+'REC Spend projected'!K61+'REC Spend projected'!L61</f>
        <v>30213283.199631654</v>
      </c>
      <c r="E63" s="89"/>
      <c r="F63" s="88">
        <f>F7*'REC Spend projected'!$B$56</f>
        <v>0</v>
      </c>
      <c r="G63" s="88">
        <f>G7*'REC Spend projected'!$B$56</f>
        <v>0</v>
      </c>
      <c r="H63" s="88">
        <f>H7*'REC Spend projected'!$B$56</f>
        <v>0</v>
      </c>
      <c r="I63" s="88">
        <f>I7*'REC Spend projected'!$B$56</f>
        <v>0</v>
      </c>
      <c r="J63" s="88">
        <f>J7*'REC Spend projected'!$B$56</f>
        <v>0</v>
      </c>
      <c r="K63" s="88">
        <f>K7*'REC Spend projected'!$B$56</f>
        <v>0</v>
      </c>
      <c r="L63" s="88">
        <f>L7*'REC Spend projected'!$B$56</f>
        <v>0</v>
      </c>
      <c r="M63" s="88">
        <f>M7*'REC Spend projected'!$B$56</f>
        <v>0</v>
      </c>
      <c r="N63" s="88">
        <f>N7*'REC Spend projected'!$B$56</f>
        <v>0</v>
      </c>
      <c r="O63" s="88"/>
      <c r="P63" s="88">
        <f>P7*'REC Spend projected'!$B$56</f>
        <v>47488156.088719279</v>
      </c>
      <c r="Q63" s="88">
        <f t="shared" si="17"/>
        <v>446999496.21585059</v>
      </c>
      <c r="R63" s="88">
        <f>'REC Spend projected'!AA60</f>
        <v>273003953.5518924</v>
      </c>
      <c r="S63" s="88">
        <f>'REC Spend projected'!AE61</f>
        <v>444835394.35463548</v>
      </c>
      <c r="U63" s="204" t="s">
        <v>20</v>
      </c>
      <c r="V63" s="222">
        <f t="shared" si="20"/>
        <v>399511340.12713128</v>
      </c>
      <c r="W63" s="222">
        <f t="shared" si="21"/>
        <v>0</v>
      </c>
      <c r="X63" s="222">
        <f t="shared" si="22"/>
        <v>0</v>
      </c>
      <c r="Y63" s="222">
        <f t="shared" si="23"/>
        <v>0</v>
      </c>
      <c r="Z63" s="222">
        <f t="shared" si="18"/>
        <v>47488156.088719279</v>
      </c>
      <c r="AA63" s="222">
        <f t="shared" si="19"/>
        <v>273003953.5518924</v>
      </c>
    </row>
    <row r="64" spans="2:27" ht="15" thickBot="1" x14ac:dyDescent="0.4">
      <c r="B64" s="87" t="s">
        <v>22</v>
      </c>
      <c r="C64" s="88">
        <f>SUM('ABP Under Contract'!K66:P66)</f>
        <v>255085067.65408328</v>
      </c>
      <c r="D64" s="88">
        <f>'REC Spend projected'!H62+'REC Spend projected'!I62+'REC Spend projected'!J62+'REC Spend projected'!K62+'REC Spend projected'!L62</f>
        <v>57290028.518846281</v>
      </c>
      <c r="E64" s="89"/>
      <c r="F64" s="88">
        <f>F8*'REC Spend projected'!$B$56</f>
        <v>0</v>
      </c>
      <c r="G64" s="88">
        <f>G8*'REC Spend projected'!$B$56</f>
        <v>0</v>
      </c>
      <c r="H64" s="88">
        <f>H8*'REC Spend projected'!$B$56</f>
        <v>0</v>
      </c>
      <c r="I64" s="88">
        <f>I8*'REC Spend projected'!$B$56</f>
        <v>0</v>
      </c>
      <c r="J64" s="88">
        <f>J8*'REC Spend projected'!$B$56</f>
        <v>0</v>
      </c>
      <c r="K64" s="88">
        <f>K8*'REC Spend projected'!$B$56</f>
        <v>0</v>
      </c>
      <c r="L64" s="88">
        <f>L8*'REC Spend projected'!$B$56</f>
        <v>0</v>
      </c>
      <c r="M64" s="88">
        <f>M8*'REC Spend projected'!$B$56</f>
        <v>0</v>
      </c>
      <c r="N64" s="88">
        <f>N8*'REC Spend projected'!$B$56</f>
        <v>0</v>
      </c>
      <c r="O64" s="88"/>
      <c r="P64" s="88">
        <f>P8*'REC Spend projected'!$B$56</f>
        <v>61515503.169289969</v>
      </c>
      <c r="Q64" s="88">
        <f t="shared" si="17"/>
        <v>373890599.34221953</v>
      </c>
      <c r="R64" s="88">
        <f>'REC Spend projected'!AA61</f>
        <v>436662801.40144277</v>
      </c>
      <c r="S64" s="88">
        <f>'REC Spend projected'!AE62</f>
        <v>356334069.40943396</v>
      </c>
      <c r="U64" s="204" t="s">
        <v>22</v>
      </c>
      <c r="V64" s="222">
        <f t="shared" si="20"/>
        <v>312375096.17292958</v>
      </c>
      <c r="W64" s="222">
        <f t="shared" si="21"/>
        <v>0</v>
      </c>
      <c r="X64" s="222">
        <f t="shared" si="22"/>
        <v>0</v>
      </c>
      <c r="Y64" s="222">
        <f t="shared" si="23"/>
        <v>0</v>
      </c>
      <c r="Z64" s="222">
        <f t="shared" si="18"/>
        <v>61515503.169289969</v>
      </c>
      <c r="AA64" s="222">
        <f t="shared" si="19"/>
        <v>436662801.40144277</v>
      </c>
    </row>
    <row r="65" spans="2:27" ht="15" thickBot="1" x14ac:dyDescent="0.4">
      <c r="B65" s="87" t="s">
        <v>23</v>
      </c>
      <c r="C65" s="88">
        <f>SUM('ABP Under Contract'!K67:P67)</f>
        <v>255948899.15708345</v>
      </c>
      <c r="D65" s="88">
        <f>'REC Spend projected'!H63+'REC Spend projected'!I63+'REC Spend projected'!J63+'REC Spend projected'!K63+'REC Spend projected'!L63</f>
        <v>88432186.702208668</v>
      </c>
      <c r="E65" s="89"/>
      <c r="F65" s="88">
        <f>F9*'REC Spend projected'!$B$56</f>
        <v>0</v>
      </c>
      <c r="G65" s="88">
        <f>G9*'REC Spend projected'!$B$56</f>
        <v>0</v>
      </c>
      <c r="H65" s="88">
        <f>H9*'REC Spend projected'!$B$56</f>
        <v>0</v>
      </c>
      <c r="I65" s="88">
        <f>I9*'REC Spend projected'!$B$56</f>
        <v>0</v>
      </c>
      <c r="J65" s="88">
        <f>J9*'REC Spend projected'!$B$56</f>
        <v>0</v>
      </c>
      <c r="K65" s="88">
        <f>K9*'REC Spend projected'!$B$56</f>
        <v>0</v>
      </c>
      <c r="L65" s="88">
        <f>L9*'REC Spend projected'!$B$56</f>
        <v>0</v>
      </c>
      <c r="M65" s="88">
        <f>M9*'REC Spend projected'!$B$56</f>
        <v>0</v>
      </c>
      <c r="N65" s="88">
        <f>N9*'REC Spend projected'!$B$56</f>
        <v>0</v>
      </c>
      <c r="O65" s="88"/>
      <c r="P65" s="88">
        <f>P9*'REC Spend projected'!$B$56</f>
        <v>47258798.655147411</v>
      </c>
      <c r="Q65" s="88">
        <f t="shared" si="17"/>
        <v>391639884.51443958</v>
      </c>
      <c r="R65" s="88">
        <f>'REC Spend projected'!AA62</f>
        <v>444835394.35463548</v>
      </c>
      <c r="S65" s="88">
        <f>'REC Spend projected'!AE63</f>
        <v>270842813.82749081</v>
      </c>
      <c r="U65" s="204" t="s">
        <v>23</v>
      </c>
      <c r="V65" s="222">
        <f t="shared" si="20"/>
        <v>344381085.85929215</v>
      </c>
      <c r="W65" s="222">
        <f t="shared" si="21"/>
        <v>0</v>
      </c>
      <c r="X65" s="222">
        <f t="shared" si="22"/>
        <v>0</v>
      </c>
      <c r="Y65" s="222">
        <f t="shared" si="23"/>
        <v>0</v>
      </c>
      <c r="Z65" s="222">
        <f t="shared" si="18"/>
        <v>47258798.655147411</v>
      </c>
      <c r="AA65" s="222">
        <f t="shared" si="19"/>
        <v>444835394.35463548</v>
      </c>
    </row>
    <row r="66" spans="2:27" ht="15" thickBot="1" x14ac:dyDescent="0.4">
      <c r="B66" s="87" t="s">
        <v>24</v>
      </c>
      <c r="C66" s="88">
        <f>SUM('ABP Under Contract'!K68:P68)</f>
        <v>138467678.68974999</v>
      </c>
      <c r="D66" s="88">
        <f>'REC Spend projected'!H64+'REC Spend projected'!I64+'REC Spend projected'!J64+'REC Spend projected'!K64+'REC Spend projected'!L64</f>
        <v>94540893.091593727</v>
      </c>
      <c r="E66" s="89"/>
      <c r="F66" s="88">
        <f>F10*'REC Spend projected'!$B$56</f>
        <v>144098337.08158246</v>
      </c>
      <c r="G66" s="88">
        <f>G10*'REC Spend projected'!$B$56</f>
        <v>0</v>
      </c>
      <c r="H66" s="88">
        <f>H10*'REC Spend projected'!$B$56</f>
        <v>0</v>
      </c>
      <c r="I66" s="88">
        <f>I10*'REC Spend projected'!$B$56</f>
        <v>0</v>
      </c>
      <c r="J66" s="88">
        <f>J10*'REC Spend projected'!$B$56</f>
        <v>0</v>
      </c>
      <c r="K66" s="88">
        <f>K10*'REC Spend projected'!$B$56</f>
        <v>0</v>
      </c>
      <c r="L66" s="88">
        <f>L10*'REC Spend projected'!$B$56</f>
        <v>0</v>
      </c>
      <c r="M66" s="88">
        <f>M10*'REC Spend projected'!$B$56</f>
        <v>0</v>
      </c>
      <c r="N66" s="88">
        <f>N10*'REC Spend projected'!$B$56</f>
        <v>0</v>
      </c>
      <c r="O66" s="88"/>
      <c r="P66" s="88">
        <f>P10*'REC Spend projected'!$B$56</f>
        <v>47182136.379141465</v>
      </c>
      <c r="Q66" s="88">
        <f t="shared" si="17"/>
        <v>424289045.24206758</v>
      </c>
      <c r="R66" s="88">
        <f>'REC Spend projected'!AA63</f>
        <v>356334069.40943396</v>
      </c>
      <c r="S66" s="88">
        <f>'REC Spend projected'!AE64</f>
        <v>189933229.71220869</v>
      </c>
      <c r="U66" s="204" t="s">
        <v>24</v>
      </c>
      <c r="V66" s="222">
        <f t="shared" si="20"/>
        <v>233008571.7813437</v>
      </c>
      <c r="W66" s="222">
        <f t="shared" si="21"/>
        <v>0</v>
      </c>
      <c r="X66" s="222">
        <f t="shared" si="22"/>
        <v>144098337.08158246</v>
      </c>
      <c r="Y66" s="222">
        <f t="shared" si="23"/>
        <v>0</v>
      </c>
      <c r="Z66" s="222">
        <f t="shared" si="18"/>
        <v>47182136.379141465</v>
      </c>
      <c r="AA66" s="222">
        <f t="shared" si="19"/>
        <v>356334069.40943396</v>
      </c>
    </row>
    <row r="67" spans="2:27" ht="15" thickBot="1" x14ac:dyDescent="0.4">
      <c r="B67" s="87" t="s">
        <v>25</v>
      </c>
      <c r="C67" s="88">
        <f>SUM('ABP Under Contract'!K69:P69)</f>
        <v>120539674.20375003</v>
      </c>
      <c r="D67" s="88">
        <f>'REC Spend projected'!H65+'REC Spend projected'!I65+'REC Spend projected'!J65+'REC Spend projected'!K65+'REC Spend projected'!L65</f>
        <v>85883096.810120076</v>
      </c>
      <c r="E67" s="89"/>
      <c r="F67" s="88">
        <f>F11*'REC Spend projected'!$B$56</f>
        <v>181633231.54289678</v>
      </c>
      <c r="G67" s="88">
        <f>G11*'REC Spend projected'!$B$56</f>
        <v>26176757.428982865</v>
      </c>
      <c r="H67" s="88">
        <f>H11*'REC Spend projected'!$B$56</f>
        <v>0</v>
      </c>
      <c r="I67" s="88">
        <f>I11*'REC Spend projected'!$B$56</f>
        <v>0</v>
      </c>
      <c r="J67" s="88">
        <f>J11*'REC Spend projected'!$B$56</f>
        <v>0</v>
      </c>
      <c r="K67" s="88">
        <f>K11*'REC Spend projected'!$B$56</f>
        <v>0</v>
      </c>
      <c r="L67" s="88">
        <f>L11*'REC Spend projected'!$B$56</f>
        <v>0</v>
      </c>
      <c r="M67" s="88">
        <f>M11*'REC Spend projected'!$B$56</f>
        <v>0</v>
      </c>
      <c r="N67" s="88">
        <f>N11*'REC Spend projected'!$B$56</f>
        <v>0</v>
      </c>
      <c r="O67" s="88"/>
      <c r="P67" s="88">
        <f>P11*'REC Spend projected'!$B$56</f>
        <v>61271141.422590993</v>
      </c>
      <c r="Q67" s="88">
        <f t="shared" si="17"/>
        <v>475503901.40834069</v>
      </c>
      <c r="R67" s="88">
        <f>'REC Spend projected'!AA64</f>
        <v>270842813.82749081</v>
      </c>
      <c r="S67" s="88">
        <f>'REC Spend projected'!AE65</f>
        <v>78103346.121667802</v>
      </c>
      <c r="U67" s="204" t="s">
        <v>25</v>
      </c>
      <c r="V67" s="222">
        <f t="shared" si="20"/>
        <v>206422771.01387012</v>
      </c>
      <c r="W67" s="222">
        <f t="shared" si="21"/>
        <v>0</v>
      </c>
      <c r="X67" s="222">
        <f t="shared" si="22"/>
        <v>181633231.54289678</v>
      </c>
      <c r="Y67" s="222">
        <f t="shared" si="23"/>
        <v>26176757.428982865</v>
      </c>
      <c r="Z67" s="222">
        <f t="shared" si="18"/>
        <v>61271141.422590993</v>
      </c>
      <c r="AA67" s="222">
        <f t="shared" si="19"/>
        <v>270842813.82749081</v>
      </c>
    </row>
    <row r="68" spans="2:27" ht="15" thickBot="1" x14ac:dyDescent="0.4">
      <c r="B68" s="90" t="s">
        <v>26</v>
      </c>
      <c r="C68" s="88">
        <f>SUM('ABP Under Contract'!K70:P70)</f>
        <v>107816658.13175002</v>
      </c>
      <c r="D68" s="88">
        <f>'REC Spend projected'!H66+'REC Spend projected'!I66+'REC Spend projected'!J66+'REC Spend projected'!K66+'REC Spend projected'!L66</f>
        <v>84826847.618822351</v>
      </c>
      <c r="E68" s="89"/>
      <c r="F68" s="88">
        <f>F12*'REC Spend projected'!$B$56</f>
        <v>84565936.148106441</v>
      </c>
      <c r="G68" s="88">
        <f>G12*'REC Spend projected'!$B$56</f>
        <v>169207514.6665636</v>
      </c>
      <c r="H68" s="88">
        <f>H12*'REC Spend projected'!$B$56</f>
        <v>0</v>
      </c>
      <c r="I68" s="88">
        <f>I12*'REC Spend projected'!$B$56</f>
        <v>0</v>
      </c>
      <c r="J68" s="88">
        <f>J12*'REC Spend projected'!$B$56</f>
        <v>0</v>
      </c>
      <c r="K68" s="88">
        <f>K12*'REC Spend projected'!$B$56</f>
        <v>0</v>
      </c>
      <c r="L68" s="88">
        <f>L12*'REC Spend projected'!$B$56</f>
        <v>0</v>
      </c>
      <c r="M68" s="88">
        <f>M12*'REC Spend projected'!$B$56</f>
        <v>0</v>
      </c>
      <c r="N68" s="88">
        <f>N12*'REC Spend projected'!$B$56</f>
        <v>0</v>
      </c>
      <c r="O68" s="88"/>
      <c r="P68" s="88">
        <f>P12*'REC Spend projected'!$B$56</f>
        <v>47194562.07658118</v>
      </c>
      <c r="Q68" s="88">
        <f t="shared" si="17"/>
        <v>493611518.64182359</v>
      </c>
      <c r="R68" s="88">
        <f>'REC Spend projected'!AA65</f>
        <v>189933229.71220869</v>
      </c>
      <c r="S68" s="88">
        <f>'REC Spend projected'!AE66</f>
        <v>-49771938.299497485</v>
      </c>
      <c r="U68" s="205" t="s">
        <v>26</v>
      </c>
      <c r="V68" s="222">
        <f t="shared" si="20"/>
        <v>192643505.75057238</v>
      </c>
      <c r="W68" s="222">
        <f t="shared" si="21"/>
        <v>0</v>
      </c>
      <c r="X68" s="222">
        <f t="shared" si="22"/>
        <v>84565936.148106441</v>
      </c>
      <c r="Y68" s="222">
        <f t="shared" si="23"/>
        <v>169207514.6665636</v>
      </c>
      <c r="Z68" s="222">
        <f t="shared" si="18"/>
        <v>47194562.07658118</v>
      </c>
      <c r="AA68" s="222">
        <f t="shared" si="19"/>
        <v>189933229.71220869</v>
      </c>
    </row>
    <row r="69" spans="2:27" ht="15" thickBot="1" x14ac:dyDescent="0.4">
      <c r="B69" s="87" t="s">
        <v>27</v>
      </c>
      <c r="C69" s="88">
        <f>SUM('ABP Under Contract'!K71:P71)</f>
        <v>107489260.98175001</v>
      </c>
      <c r="D69" s="88">
        <f>'REC Spend projected'!H67+'REC Spend projected'!I67+'REC Spend projected'!J67+'REC Spend projected'!K67+'REC Spend projected'!L67</f>
        <v>73314442.263676673</v>
      </c>
      <c r="E69" s="89"/>
      <c r="F69" s="88">
        <f>F13*'REC Spend projected'!$B$56</f>
        <v>84199664.289249152</v>
      </c>
      <c r="G69" s="88">
        <f>G13*'REC Spend projected'!$B$56</f>
        <v>201997144.85805905</v>
      </c>
      <c r="H69" s="88">
        <f>H13*'REC Spend projected'!$B$56</f>
        <v>16394006.714712363</v>
      </c>
      <c r="I69" s="88">
        <f>I13*'REC Spend projected'!$B$56</f>
        <v>0</v>
      </c>
      <c r="J69" s="88">
        <f>J13*'REC Spend projected'!$B$56</f>
        <v>0</v>
      </c>
      <c r="K69" s="88">
        <f>K13*'REC Spend projected'!$B$56</f>
        <v>0</v>
      </c>
      <c r="L69" s="88">
        <f>L13*'REC Spend projected'!$B$56</f>
        <v>0</v>
      </c>
      <c r="M69" s="88">
        <f>M13*'REC Spend projected'!$B$56</f>
        <v>0</v>
      </c>
      <c r="N69" s="88">
        <f>N13*'REC Spend projected'!$B$56</f>
        <v>0</v>
      </c>
      <c r="O69" s="88"/>
      <c r="P69" s="88">
        <f>P13*'REC Spend projected'!$B$56</f>
        <v>47204416.369114026</v>
      </c>
      <c r="Q69" s="88">
        <f t="shared" si="17"/>
        <v>530598935.47656131</v>
      </c>
      <c r="R69" s="88">
        <f>'REC Spend projected'!AA66</f>
        <v>78103346.121667802</v>
      </c>
      <c r="S69" s="88">
        <f>'REC Spend projected'!AE67</f>
        <v>-210796084.68969804</v>
      </c>
      <c r="U69" s="204" t="s">
        <v>27</v>
      </c>
      <c r="V69" s="222">
        <f t="shared" si="20"/>
        <v>180803703.24542668</v>
      </c>
      <c r="W69" s="222">
        <f t="shared" si="21"/>
        <v>0</v>
      </c>
      <c r="X69" s="222">
        <f t="shared" si="22"/>
        <v>84199664.289249152</v>
      </c>
      <c r="Y69" s="222">
        <f t="shared" si="23"/>
        <v>218391151.5727714</v>
      </c>
      <c r="Z69" s="222">
        <f t="shared" si="18"/>
        <v>47204416.369114026</v>
      </c>
      <c r="AA69" s="222">
        <f t="shared" si="19"/>
        <v>78103346.121667802</v>
      </c>
    </row>
    <row r="70" spans="2:27" ht="15" thickBot="1" x14ac:dyDescent="0.4">
      <c r="B70" s="87" t="s">
        <v>28</v>
      </c>
      <c r="C70" s="88">
        <f>SUM('ABP Under Contract'!K72:P72)</f>
        <v>105129516.63166669</v>
      </c>
      <c r="D70" s="88">
        <f>'REC Spend projected'!H68+'REC Spend projected'!I68+'REC Spend projected'!J68+'REC Spend projected'!K68+'REC Spend projected'!L68</f>
        <v>77477986.440659508</v>
      </c>
      <c r="E70" s="89"/>
      <c r="F70" s="88">
        <f>F14*'REC Spend projected'!$B$56</f>
        <v>84046204.803728268</v>
      </c>
      <c r="G70" s="88">
        <f>G14*'REC Spend projected'!$B$56</f>
        <v>88772456.338642538</v>
      </c>
      <c r="H70" s="88">
        <f>H14*'REC Spend projected'!$B$56</f>
        <v>138621810.01183447</v>
      </c>
      <c r="I70" s="88">
        <f>I14*'REC Spend projected'!$B$56</f>
        <v>0</v>
      </c>
      <c r="J70" s="88">
        <f>J14*'REC Spend projected'!$B$56</f>
        <v>0</v>
      </c>
      <c r="K70" s="88">
        <f>K14*'REC Spend projected'!$B$56</f>
        <v>0</v>
      </c>
      <c r="L70" s="88">
        <f>L14*'REC Spend projected'!$B$56</f>
        <v>0</v>
      </c>
      <c r="M70" s="88">
        <f>M14*'REC Spend projected'!$B$56</f>
        <v>0</v>
      </c>
      <c r="N70" s="88">
        <f>N14*'REC Spend projected'!$B$56</f>
        <v>0</v>
      </c>
      <c r="O70" s="88"/>
      <c r="P70" s="88">
        <f>P14*'REC Spend projected'!$B$56</f>
        <v>61384695.352886498</v>
      </c>
      <c r="Q70" s="88">
        <f t="shared" si="17"/>
        <v>555432669.57941794</v>
      </c>
      <c r="R70" s="88">
        <f>'REC Spend projected'!AA67</f>
        <v>-49771938.299497485</v>
      </c>
      <c r="S70" s="88">
        <f>'REC Spend projected'!AE68</f>
        <v>-384959600.96560717</v>
      </c>
      <c r="U70" s="204" t="s">
        <v>28</v>
      </c>
      <c r="V70" s="222">
        <f t="shared" si="20"/>
        <v>182607503.07232618</v>
      </c>
      <c r="W70" s="222">
        <f t="shared" si="21"/>
        <v>0</v>
      </c>
      <c r="X70" s="222">
        <f t="shared" si="22"/>
        <v>84046204.803728268</v>
      </c>
      <c r="Y70" s="222">
        <f t="shared" si="23"/>
        <v>227394266.35047701</v>
      </c>
      <c r="Z70" s="222">
        <f t="shared" si="18"/>
        <v>61384695.352886498</v>
      </c>
      <c r="AA70" s="222">
        <f t="shared" si="19"/>
        <v>-49771938.299497485</v>
      </c>
    </row>
    <row r="71" spans="2:27" ht="15" thickBot="1" x14ac:dyDescent="0.4">
      <c r="B71" s="87" t="s">
        <v>29</v>
      </c>
      <c r="C71" s="88">
        <f>SUM('ABP Under Contract'!K73:P73)</f>
        <v>82682071.262666658</v>
      </c>
      <c r="D71" s="88">
        <f>'REC Spend projected'!H69+'REC Spend projected'!I69+'REC Spend projected'!J69+'REC Spend projected'!K69+'REC Spend projected'!L69</f>
        <v>89262468.057149097</v>
      </c>
      <c r="E71" s="89"/>
      <c r="F71" s="88">
        <f>F15*'REC Spend projected'!$B$56</f>
        <v>83893512.615634978</v>
      </c>
      <c r="G71" s="88">
        <f>G15*'REC Spend projected'!$B$56</f>
        <v>97757714.450454459</v>
      </c>
      <c r="H71" s="88">
        <f>H15*'REC Spend projected'!$B$56</f>
        <v>176963399.26561013</v>
      </c>
      <c r="I71" s="88">
        <f>I15*'REC Spend projected'!$B$56</f>
        <v>8140629.8971984508</v>
      </c>
      <c r="J71" s="88">
        <f>J15*'REC Spend projected'!$B$56</f>
        <v>0</v>
      </c>
      <c r="K71" s="88">
        <f>K15*'REC Spend projected'!$B$56</f>
        <v>0</v>
      </c>
      <c r="L71" s="88">
        <f>L15*'REC Spend projected'!$B$56</f>
        <v>0</v>
      </c>
      <c r="M71" s="88">
        <f>M15*'REC Spend projected'!$B$56</f>
        <v>0</v>
      </c>
      <c r="N71" s="88">
        <f>N15*'REC Spend projected'!$B$56</f>
        <v>0</v>
      </c>
      <c r="O71" s="88"/>
      <c r="P71" s="88">
        <f>P15*'REC Spend projected'!$B$56</f>
        <v>47345530.870649315</v>
      </c>
      <c r="Q71" s="88">
        <f t="shared" si="17"/>
        <v>586045326.41936314</v>
      </c>
      <c r="R71" s="88">
        <f>'REC Spend projected'!AA68</f>
        <v>-210796084.68969804</v>
      </c>
      <c r="S71" s="88">
        <f>'REC Spend projected'!AE69</f>
        <v>-551465198.34519315</v>
      </c>
      <c r="U71" s="204" t="s">
        <v>29</v>
      </c>
      <c r="V71" s="222">
        <f t="shared" si="20"/>
        <v>171944539.31981575</v>
      </c>
      <c r="W71" s="222">
        <f t="shared" si="21"/>
        <v>0</v>
      </c>
      <c r="X71" s="222">
        <f t="shared" si="22"/>
        <v>83893512.615634978</v>
      </c>
      <c r="Y71" s="222">
        <f t="shared" si="23"/>
        <v>282861743.61326301</v>
      </c>
      <c r="Z71" s="222">
        <f t="shared" si="18"/>
        <v>47345530.870649315</v>
      </c>
      <c r="AA71" s="222">
        <f t="shared" si="19"/>
        <v>-210796084.68969804</v>
      </c>
    </row>
    <row r="72" spans="2:27" ht="15" thickBot="1" x14ac:dyDescent="0.4">
      <c r="B72" s="87" t="s">
        <v>30</v>
      </c>
      <c r="C72" s="88">
        <f>SUM('ABP Under Contract'!K74:P74)</f>
        <v>62530041.010000005</v>
      </c>
      <c r="D72" s="88">
        <f>'REC Spend projected'!H70+'REC Spend projected'!I70+'REC Spend projected'!J70+'REC Spend projected'!K70+'REC Spend projected'!L70</f>
        <v>91598086.92227377</v>
      </c>
      <c r="E72" s="89"/>
      <c r="F72" s="88">
        <f>F16*'REC Spend projected'!$B$56</f>
        <v>83741583.888482168</v>
      </c>
      <c r="G72" s="88">
        <f>G16*'REC Spend projected'!$B$56</f>
        <v>123300809.30369103</v>
      </c>
      <c r="H72" s="88">
        <f>H16*'REC Spend projected'!$B$56</f>
        <v>112370067.06238934</v>
      </c>
      <c r="I72" s="88">
        <f>I16*'REC Spend projected'!$B$56</f>
        <v>144867553.08903551</v>
      </c>
      <c r="J72" s="88">
        <f>J16*'REC Spend projected'!$B$56</f>
        <v>0</v>
      </c>
      <c r="K72" s="88">
        <f>K16*'REC Spend projected'!$B$56</f>
        <v>0</v>
      </c>
      <c r="L72" s="88">
        <f>L16*'REC Spend projected'!$B$56</f>
        <v>0</v>
      </c>
      <c r="M72" s="88">
        <f>M16*'REC Spend projected'!$B$56</f>
        <v>0</v>
      </c>
      <c r="N72" s="88">
        <f>N16*'REC Spend projected'!$B$56</f>
        <v>0</v>
      </c>
      <c r="O72" s="88"/>
      <c r="P72" s="88">
        <f>P16*'REC Spend projected'!$B$56</f>
        <v>47425910.053071067</v>
      </c>
      <c r="Q72" s="88">
        <f t="shared" si="17"/>
        <v>665834051.32894289</v>
      </c>
      <c r="R72" s="88">
        <f>'REC Spend projected'!AA69</f>
        <v>-384959600.96560717</v>
      </c>
      <c r="S72" s="88">
        <f>'REC Spend projected'!AE70</f>
        <v>-781895981.25335538</v>
      </c>
      <c r="U72" s="204" t="s">
        <v>30</v>
      </c>
      <c r="V72" s="222">
        <f t="shared" si="20"/>
        <v>154128127.93227378</v>
      </c>
      <c r="W72" s="222">
        <f t="shared" si="21"/>
        <v>0</v>
      </c>
      <c r="X72" s="222">
        <f t="shared" si="22"/>
        <v>83741583.888482168</v>
      </c>
      <c r="Y72" s="222">
        <f t="shared" si="23"/>
        <v>380538429.45511591</v>
      </c>
      <c r="Z72" s="222">
        <f t="shared" si="18"/>
        <v>47425910.053071067</v>
      </c>
      <c r="AA72" s="222">
        <f t="shared" si="19"/>
        <v>-384959600.96560717</v>
      </c>
    </row>
    <row r="73" spans="2:27" ht="15" thickBot="1" x14ac:dyDescent="0.4">
      <c r="B73" s="87" t="s">
        <v>31</v>
      </c>
      <c r="C73" s="88">
        <f>SUM('ABP Under Contract'!K75:P75)</f>
        <v>62217635.030000016</v>
      </c>
      <c r="D73" s="88">
        <f>'REC Spend projected'!H71+'REC Spend projected'!I71+'REC Spend projected'!J71+'REC Spend projected'!K71+'REC Spend projected'!L71</f>
        <v>85747371.896332145</v>
      </c>
      <c r="E73" s="89"/>
      <c r="F73" s="88">
        <f>F17*'REC Spend projected'!$B$56</f>
        <v>60045430.194787383</v>
      </c>
      <c r="G73" s="88">
        <f>G17*'REC Spend projected'!$B$56</f>
        <v>128624865.81322038</v>
      </c>
      <c r="H73" s="88">
        <f>H17*'REC Spend projected'!$B$56</f>
        <v>115809941.00329788</v>
      </c>
      <c r="I73" s="88">
        <f>I17*'REC Spend projected'!$B$56</f>
        <v>174047085.46746248</v>
      </c>
      <c r="J73" s="88">
        <f>J17*'REC Spend projected'!$B$56</f>
        <v>10859916.457985787</v>
      </c>
      <c r="K73" s="88">
        <f>K17*'REC Spend projected'!$B$56</f>
        <v>0</v>
      </c>
      <c r="L73" s="88">
        <f>L17*'REC Spend projected'!$B$56</f>
        <v>0</v>
      </c>
      <c r="M73" s="88">
        <f>M17*'REC Spend projected'!$B$56</f>
        <v>0</v>
      </c>
      <c r="N73" s="88">
        <f>N17*'REC Spend projected'!$B$56</f>
        <v>0</v>
      </c>
      <c r="O73" s="88"/>
      <c r="P73" s="88">
        <f>P17*'REC Spend projected'!$B$56</f>
        <v>47464701.415645614</v>
      </c>
      <c r="Q73" s="88">
        <f t="shared" si="17"/>
        <v>684816947.2787317</v>
      </c>
      <c r="R73" s="88">
        <f>'REC Spend projected'!AA70</f>
        <v>-551465198.34519315</v>
      </c>
      <c r="S73" s="88">
        <f>'REC Spend projected'!AE71</f>
        <v>-974836309.91721904</v>
      </c>
      <c r="U73" s="204" t="s">
        <v>31</v>
      </c>
      <c r="V73" s="222">
        <f t="shared" si="20"/>
        <v>147965006.92633218</v>
      </c>
      <c r="W73" s="222">
        <f t="shared" si="21"/>
        <v>0</v>
      </c>
      <c r="X73" s="222">
        <f t="shared" si="22"/>
        <v>60045430.194787383</v>
      </c>
      <c r="Y73" s="222">
        <f t="shared" si="23"/>
        <v>429341808.74196649</v>
      </c>
      <c r="Z73" s="222">
        <f t="shared" si="18"/>
        <v>47464701.415645614</v>
      </c>
      <c r="AA73" s="222">
        <f t="shared" si="19"/>
        <v>-551465198.34519315</v>
      </c>
    </row>
    <row r="74" spans="2:27" ht="15" thickBot="1" x14ac:dyDescent="0.4">
      <c r="B74" s="87" t="s">
        <v>32</v>
      </c>
      <c r="C74" s="88">
        <f>SUM('ABP Under Contract'!K76:P76)</f>
        <v>61906082.990000002</v>
      </c>
      <c r="D74" s="88">
        <f>'REC Spend projected'!H72+'REC Spend projected'!I72+'REC Spend projected'!J72+'REC Spend projected'!K72+'REC Spend projected'!L72</f>
        <v>76250593.189789981</v>
      </c>
      <c r="E74" s="89"/>
      <c r="F74" s="88">
        <f>F18*'REC Spend projected'!$B$56</f>
        <v>33536935.124221489</v>
      </c>
      <c r="G74" s="88">
        <f>G18*'REC Spend projected'!$B$56</f>
        <v>118879186.92755921</v>
      </c>
      <c r="H74" s="88">
        <f>H18*'REC Spend projected'!$B$56</f>
        <v>108941536.49833666</v>
      </c>
      <c r="I74" s="88">
        <f>I18*'REC Spend projected'!$B$56</f>
        <v>93367470.273563206</v>
      </c>
      <c r="J74" s="88">
        <f>J18*'REC Spend projected'!$B$56</f>
        <v>122708919.04111047</v>
      </c>
      <c r="K74" s="88">
        <f>K18*'REC Spend projected'!$B$56</f>
        <v>0</v>
      </c>
      <c r="L74" s="88">
        <f>L18*'REC Spend projected'!$B$56</f>
        <v>0</v>
      </c>
      <c r="M74" s="88">
        <f>M18*'REC Spend projected'!$B$56</f>
        <v>0</v>
      </c>
      <c r="N74" s="88">
        <f>N18*'REC Spend projected'!$B$56</f>
        <v>0</v>
      </c>
      <c r="O74" s="88"/>
      <c r="P74" s="88">
        <f>P18*'REC Spend projected'!$B$56</f>
        <v>47527690.406718194</v>
      </c>
      <c r="Q74" s="88">
        <f t="shared" si="17"/>
        <v>663118414.45129919</v>
      </c>
      <c r="R74" s="88">
        <f>'REC Spend projected'!AA71</f>
        <v>-781895981.25335538</v>
      </c>
      <c r="S74" s="88">
        <f>'REC Spend projected'!AE72</f>
        <v>-1131098570.1843095</v>
      </c>
      <c r="U74" s="204" t="s">
        <v>32</v>
      </c>
      <c r="V74" s="222">
        <f t="shared" si="20"/>
        <v>138156676.17978999</v>
      </c>
      <c r="W74" s="222">
        <f t="shared" si="21"/>
        <v>0</v>
      </c>
      <c r="X74" s="222">
        <f t="shared" si="22"/>
        <v>33536935.124221489</v>
      </c>
      <c r="Y74" s="222">
        <f t="shared" si="23"/>
        <v>443897112.74056953</v>
      </c>
      <c r="Z74" s="222">
        <f t="shared" si="18"/>
        <v>47527690.406718194</v>
      </c>
      <c r="AA74" s="222">
        <f t="shared" si="19"/>
        <v>-781895981.25335538</v>
      </c>
    </row>
    <row r="75" spans="2:27" ht="15" thickBot="1" x14ac:dyDescent="0.4">
      <c r="B75" s="87" t="s">
        <v>33</v>
      </c>
      <c r="C75" s="88">
        <f>SUM('ABP Under Contract'!K77:P77)</f>
        <v>61596855.82</v>
      </c>
      <c r="D75" s="88">
        <f>'REC Spend projected'!H73+'REC Spend projected'!I73+'REC Spend projected'!J73+'REC Spend projected'!K73+'REC Spend projected'!L73</f>
        <v>67534703.838266835</v>
      </c>
      <c r="E75" s="89"/>
      <c r="F75" s="88">
        <f>F19*'REC Spend projected'!$B$56</f>
        <v>29782573.209884547</v>
      </c>
      <c r="G75" s="88">
        <f>G19*'REC Spend projected'!$B$56</f>
        <v>77019214.227680624</v>
      </c>
      <c r="H75" s="88">
        <f>H19*'REC Spend projected'!$B$56</f>
        <v>94841540.343900576</v>
      </c>
      <c r="I75" s="88">
        <f>I19*'REC Spend projected'!$B$56</f>
        <v>83342272.731752858</v>
      </c>
      <c r="J75" s="88">
        <f>J19*'REC Spend projected'!$B$56</f>
        <v>93426234.944867536</v>
      </c>
      <c r="K75" s="88">
        <f>K19*'REC Spend projected'!$B$56</f>
        <v>6321075.61345925</v>
      </c>
      <c r="L75" s="88">
        <f>L19*'REC Spend projected'!$B$56</f>
        <v>0</v>
      </c>
      <c r="M75" s="88">
        <f>M19*'REC Spend projected'!$B$56</f>
        <v>0</v>
      </c>
      <c r="N75" s="88">
        <f>N19*'REC Spend projected'!$B$56</f>
        <v>0</v>
      </c>
      <c r="O75" s="88"/>
      <c r="P75" s="88">
        <f>P19*'REC Spend projected'!$B$56</f>
        <v>47573904.92081888</v>
      </c>
      <c r="Q75" s="88">
        <f t="shared" si="17"/>
        <v>561438375.65063119</v>
      </c>
      <c r="R75" s="88">
        <f>'REC Spend projected'!AA72</f>
        <v>-974836309.91721904</v>
      </c>
      <c r="S75" s="88">
        <f>'REC Spend projected'!AE73</f>
        <v>-1223261363.7093282</v>
      </c>
      <c r="U75" s="204" t="s">
        <v>33</v>
      </c>
      <c r="V75" s="222">
        <f t="shared" si="20"/>
        <v>129131559.65826684</v>
      </c>
      <c r="W75" s="222">
        <f t="shared" si="21"/>
        <v>0</v>
      </c>
      <c r="X75" s="222">
        <f t="shared" si="22"/>
        <v>29782573.209884547</v>
      </c>
      <c r="Y75" s="222">
        <f t="shared" si="23"/>
        <v>354950337.86166084</v>
      </c>
      <c r="Z75" s="222">
        <f t="shared" si="18"/>
        <v>47573904.92081888</v>
      </c>
      <c r="AA75" s="222">
        <f t="shared" si="19"/>
        <v>-974836309.91721904</v>
      </c>
    </row>
    <row r="76" spans="2:27" ht="15" thickBot="1" x14ac:dyDescent="0.4">
      <c r="B76" s="87" t="s">
        <v>34</v>
      </c>
      <c r="C76" s="88">
        <f>SUM('ABP Under Contract'!K78:P78)</f>
        <v>61288974.569999985</v>
      </c>
      <c r="D76" s="88">
        <f>'REC Spend projected'!H74+'REC Spend projected'!I74+'REC Spend projected'!J74+'REC Spend projected'!K74+'REC Spend projected'!L74</f>
        <v>54402482.942248955</v>
      </c>
      <c r="E76" s="89"/>
      <c r="F76" s="88">
        <f>F20*'REC Spend projected'!$B$56</f>
        <v>29633660.343835123</v>
      </c>
      <c r="G76" s="88">
        <f>G20*'REC Spend projected'!$B$56</f>
        <v>39389936.520612545</v>
      </c>
      <c r="H76" s="88">
        <f>H20*'REC Spend projected'!$B$56</f>
        <v>85500748.939697072</v>
      </c>
      <c r="I76" s="88">
        <f>I20*'REC Spend projected'!$B$56</f>
        <v>76798898.644604683</v>
      </c>
      <c r="J76" s="88">
        <f>J20*'REC Spend projected'!$B$56</f>
        <v>54459400.361547254</v>
      </c>
      <c r="K76" s="88">
        <f>K20*'REC Spend projected'!$B$56</f>
        <v>56459188.477153778</v>
      </c>
      <c r="L76" s="88">
        <f>L20*'REC Spend projected'!$B$56</f>
        <v>0</v>
      </c>
      <c r="M76" s="88">
        <f>M20*'REC Spend projected'!$B$56</f>
        <v>0</v>
      </c>
      <c r="N76" s="88">
        <f>N20*'REC Spend projected'!$B$56</f>
        <v>0</v>
      </c>
      <c r="O76" s="88"/>
      <c r="P76" s="88">
        <f>P20*'REC Spend projected'!$B$56</f>
        <v>47628895.639470898</v>
      </c>
      <c r="Q76" s="88">
        <f t="shared" si="17"/>
        <v>505562186.43917024</v>
      </c>
      <c r="R76" s="88">
        <f>'REC Spend projected'!AA73</f>
        <v>-1131098570.1843095</v>
      </c>
      <c r="S76" s="88">
        <f>'REC Spend projected'!AE74</f>
        <v>-1259515180.9342413</v>
      </c>
      <c r="U76" s="204" t="s">
        <v>34</v>
      </c>
      <c r="V76" s="222">
        <f t="shared" si="20"/>
        <v>115691457.51224893</v>
      </c>
      <c r="W76" s="222">
        <f t="shared" si="21"/>
        <v>0</v>
      </c>
      <c r="X76" s="222">
        <f t="shared" si="22"/>
        <v>29633660.343835123</v>
      </c>
      <c r="Y76" s="222">
        <f t="shared" si="23"/>
        <v>312608172.94361532</v>
      </c>
      <c r="Z76" s="222">
        <f t="shared" si="18"/>
        <v>47628895.639470898</v>
      </c>
      <c r="AA76" s="222">
        <f t="shared" si="19"/>
        <v>-1131098570.1843095</v>
      </c>
    </row>
    <row r="77" spans="2:27" ht="15" thickBot="1" x14ac:dyDescent="0.4">
      <c r="B77" s="87" t="s">
        <v>35</v>
      </c>
      <c r="C77" s="88">
        <f>SUM('ABP Under Contract'!K79:P79)</f>
        <v>60982473.729999982</v>
      </c>
      <c r="D77" s="88">
        <f>'REC Spend projected'!H75+'REC Spend projected'!I75+'REC Spend projected'!J75+'REC Spend projected'!K75+'REC Spend projected'!L75</f>
        <v>45110733.470815226</v>
      </c>
      <c r="E77" s="89"/>
      <c r="F77" s="88">
        <f>F21*'REC Spend projected'!$B$56</f>
        <v>29485492.042115945</v>
      </c>
      <c r="G77" s="88">
        <f>G21*'REC Spend projected'!$B$56</f>
        <v>25536990.619632967</v>
      </c>
      <c r="H77" s="88">
        <f>H21*'REC Spend projected'!$B$56</f>
        <v>58123260.026508056</v>
      </c>
      <c r="I77" s="88">
        <f>I21*'REC Spend projected'!$B$56</f>
        <v>71621960.239501089</v>
      </c>
      <c r="J77" s="88">
        <f>J21*'REC Spend projected'!$B$56</f>
        <v>51073516.791873917</v>
      </c>
      <c r="K77" s="88">
        <f>K21*'REC Spend projected'!$B$56</f>
        <v>65696327.501404122</v>
      </c>
      <c r="L77" s="88">
        <f>L21*'REC Spend projected'!$B$56</f>
        <v>2695754.3170458474</v>
      </c>
      <c r="M77" s="88">
        <f>M21*'REC Spend projected'!$B$56</f>
        <v>0</v>
      </c>
      <c r="N77" s="88">
        <f>N21*'REC Spend projected'!$B$56</f>
        <v>0</v>
      </c>
      <c r="O77" s="88"/>
      <c r="P77" s="88">
        <f>P21*'REC Spend projected'!$B$56</f>
        <v>47655367.976022199</v>
      </c>
      <c r="Q77" s="88">
        <f t="shared" si="17"/>
        <v>457981876.71491939</v>
      </c>
      <c r="R77" s="88">
        <f>'REC Spend projected'!AA74</f>
        <v>-1223261363.7093282</v>
      </c>
      <c r="S77" s="88">
        <f>'REC Spend projected'!AE75</f>
        <v>-1249045068.9297106</v>
      </c>
      <c r="U77" s="204" t="s">
        <v>35</v>
      </c>
      <c r="V77" s="222">
        <f t="shared" si="20"/>
        <v>106093207.2008152</v>
      </c>
      <c r="W77" s="222">
        <f t="shared" si="21"/>
        <v>0</v>
      </c>
      <c r="X77" s="222">
        <f t="shared" si="22"/>
        <v>29485492.042115945</v>
      </c>
      <c r="Y77" s="222">
        <f t="shared" si="23"/>
        <v>274747809.49596602</v>
      </c>
      <c r="Z77" s="222">
        <f t="shared" si="18"/>
        <v>47655367.976022199</v>
      </c>
      <c r="AA77" s="222">
        <f t="shared" si="19"/>
        <v>-1223261363.7093282</v>
      </c>
    </row>
    <row r="78" spans="2:27" ht="15" thickBot="1" x14ac:dyDescent="0.4">
      <c r="B78" s="87" t="s">
        <v>36</v>
      </c>
      <c r="C78" s="88">
        <f>SUM('ABP Under Contract'!K80:P80)</f>
        <v>60677000.220000014</v>
      </c>
      <c r="D78" s="88">
        <f>'REC Spend projected'!H76+'REC Spend projected'!I76+'REC Spend projected'!J76+'REC Spend projected'!K76+'REC Spend projected'!L76</f>
        <v>40831467.812941886</v>
      </c>
      <c r="E78" s="89"/>
      <c r="F78" s="88">
        <f>F22*'REC Spend projected'!$B$56</f>
        <v>29338064.581905365</v>
      </c>
      <c r="G78" s="88">
        <f>G22*'REC Spend projected'!$B$56</f>
        <v>14535242.092629783</v>
      </c>
      <c r="H78" s="88">
        <f>H22*'REC Spend projected'!$B$56</f>
        <v>28039547.061226014</v>
      </c>
      <c r="I78" s="88">
        <f>I22*'REC Spend projected'!$B$56</f>
        <v>66224227.87533462</v>
      </c>
      <c r="J78" s="88">
        <f>J22*'REC Spend projected'!$B$56</f>
        <v>47625691.786233656</v>
      </c>
      <c r="K78" s="88">
        <f>K22*'REC Spend projected'!$B$56</f>
        <v>30050125.346907943</v>
      </c>
      <c r="L78" s="88">
        <f>L22*'REC Spend projected'!$B$56</f>
        <v>46166494.518455394</v>
      </c>
      <c r="M78" s="88">
        <f>M22*'REC Spend projected'!$B$56</f>
        <v>0</v>
      </c>
      <c r="N78" s="88">
        <f>N22*'REC Spend projected'!$B$56</f>
        <v>0</v>
      </c>
      <c r="O78" s="88"/>
      <c r="P78" s="88">
        <f>P22*'REC Spend projected'!$B$56</f>
        <v>47713951.895622842</v>
      </c>
      <c r="Q78" s="88">
        <f t="shared" si="17"/>
        <v>411201813.19125748</v>
      </c>
      <c r="R78" s="88">
        <f>'REC Spend projected'!AA75</f>
        <v>-1259515180.9342413</v>
      </c>
      <c r="S78" s="88">
        <f>'REC Spend projected'!AE76</f>
        <v>-1191148661.5539656</v>
      </c>
      <c r="U78" s="204" t="s">
        <v>36</v>
      </c>
      <c r="V78" s="222">
        <f t="shared" si="20"/>
        <v>101508468.03294191</v>
      </c>
      <c r="W78" s="222">
        <f t="shared" si="21"/>
        <v>0</v>
      </c>
      <c r="X78" s="222">
        <f t="shared" si="22"/>
        <v>29338064.581905365</v>
      </c>
      <c r="Y78" s="222">
        <f t="shared" si="23"/>
        <v>232641328.68078741</v>
      </c>
      <c r="Z78" s="222">
        <f t="shared" si="18"/>
        <v>47713951.895622842</v>
      </c>
      <c r="AA78" s="222">
        <f t="shared" si="19"/>
        <v>-1259515180.9342413</v>
      </c>
    </row>
    <row r="79" spans="2:27" ht="15" thickBot="1" x14ac:dyDescent="0.4">
      <c r="B79" s="87" t="s">
        <v>37</v>
      </c>
      <c r="C79" s="88">
        <f>SUM('ABP Under Contract'!K81:P81)</f>
        <v>60374296.230000019</v>
      </c>
      <c r="D79" s="88">
        <f>'REC Spend projected'!H77+'REC Spend projected'!I77+'REC Spend projected'!J77+'REC Spend projected'!K77+'REC Spend projected'!L77</f>
        <v>36901866.613455169</v>
      </c>
      <c r="E79" s="89"/>
      <c r="F79" s="88">
        <f>F23*'REC Spend projected'!$B$56</f>
        <v>29191374.258995838</v>
      </c>
      <c r="G79" s="88">
        <f>G23*'REC Spend projected'!$B$56</f>
        <v>5384937.2421837188</v>
      </c>
      <c r="H79" s="88">
        <f>H23*'REC Spend projected'!$B$56</f>
        <v>18575265.320536729</v>
      </c>
      <c r="I79" s="88">
        <f>I23*'REC Spend projected'!$B$56</f>
        <v>43298074.316048093</v>
      </c>
      <c r="J79" s="88">
        <f>J23*'REC Spend projected'!$B$56</f>
        <v>44753676.12009301</v>
      </c>
      <c r="K79" s="88">
        <f>K23*'REC Spend projected'!$B$56</f>
        <v>27126934.139145214</v>
      </c>
      <c r="L79" s="88">
        <f>L23*'REC Spend projected'!$B$56</f>
        <v>54851403.163762607</v>
      </c>
      <c r="M79" s="88">
        <f>M23*'REC Spend projected'!$B$56</f>
        <v>-370098.60684271168</v>
      </c>
      <c r="N79" s="88">
        <f>N23*'REC Spend projected'!$B$56</f>
        <v>0</v>
      </c>
      <c r="O79" s="88"/>
      <c r="P79" s="88">
        <f>P23*'REC Spend projected'!$B$56</f>
        <v>47761556.093688615</v>
      </c>
      <c r="Q79" s="88">
        <f t="shared" si="17"/>
        <v>367849284.89106631</v>
      </c>
      <c r="R79" s="88">
        <f>'REC Spend projected'!AA76</f>
        <v>-1249045068.9297106</v>
      </c>
      <c r="S79" s="88">
        <f>'REC Spend projected'!AE77</f>
        <v>-1089512614.8260465</v>
      </c>
      <c r="U79" s="204" t="s">
        <v>37</v>
      </c>
      <c r="V79" s="222">
        <f t="shared" si="20"/>
        <v>97276162.843455195</v>
      </c>
      <c r="W79" s="222">
        <f t="shared" si="21"/>
        <v>0</v>
      </c>
      <c r="X79" s="222">
        <f t="shared" si="22"/>
        <v>29191374.258995838</v>
      </c>
      <c r="Y79" s="222">
        <f t="shared" si="23"/>
        <v>193620191.69492665</v>
      </c>
      <c r="Z79" s="222">
        <f t="shared" si="18"/>
        <v>47761556.093688615</v>
      </c>
      <c r="AA79" s="222">
        <f t="shared" si="19"/>
        <v>-1249045068.9297106</v>
      </c>
    </row>
    <row r="80" spans="2:27" ht="15" thickBot="1" x14ac:dyDescent="0.4">
      <c r="B80" s="87" t="s">
        <v>38</v>
      </c>
      <c r="C80" s="88">
        <f>SUM('ABP Under Contract'!K82:P82)</f>
        <v>60071894.380000032</v>
      </c>
      <c r="D80" s="88">
        <f>'REC Spend projected'!H78+'REC Spend projected'!I78+'REC Spend projected'!J78+'REC Spend projected'!K78+'REC Spend projected'!L78</f>
        <v>31879965.403055266</v>
      </c>
      <c r="E80" s="89"/>
      <c r="F80" s="88">
        <f>F24*'REC Spend projected'!$B$56</f>
        <v>29045417.387700859</v>
      </c>
      <c r="G80" s="88">
        <f>G24*'REC Spend projected'!$B$56</f>
        <v>-3048871.2666701665</v>
      </c>
      <c r="H80" s="88">
        <f>H24*'REC Spend projected'!$B$56</f>
        <v>12677552.481982086</v>
      </c>
      <c r="I80" s="88">
        <f>I24*'REC Spend projected'!$B$56</f>
        <v>18521823.500755318</v>
      </c>
      <c r="J80" s="88">
        <f>J24*'REC Spend projected'!$B$56</f>
        <v>42107277.297115356</v>
      </c>
      <c r="K80" s="88">
        <f>K24*'REC Spend projected'!$B$56</f>
        <v>24500746.236310158</v>
      </c>
      <c r="L80" s="88">
        <f>L24*'REC Spend projected'!$B$56</f>
        <v>22527605.629678961</v>
      </c>
      <c r="M80" s="88">
        <f>M24*'REC Spend projected'!$B$56</f>
        <v>37363247.803739019</v>
      </c>
      <c r="N80" s="88">
        <f>N24*'REC Spend projected'!$B$56</f>
        <v>0</v>
      </c>
      <c r="O80" s="88"/>
      <c r="P80" s="88">
        <f>P24*'REC Spend projected'!$B$56</f>
        <v>47818401.377245381</v>
      </c>
      <c r="Q80" s="88">
        <f t="shared" si="17"/>
        <v>323465060.23091227</v>
      </c>
      <c r="R80" s="88">
        <f>'REC Spend projected'!AA77</f>
        <v>-1191148661.5539656</v>
      </c>
      <c r="S80" s="88">
        <f>'REC Spend projected'!AE78</f>
        <v>-950700384.30838287</v>
      </c>
      <c r="U80" s="204" t="s">
        <v>38</v>
      </c>
      <c r="V80" s="222">
        <f t="shared" si="20"/>
        <v>91951859.783055305</v>
      </c>
      <c r="W80" s="222">
        <f t="shared" si="21"/>
        <v>0</v>
      </c>
      <c r="X80" s="222">
        <f t="shared" si="22"/>
        <v>29045417.387700859</v>
      </c>
      <c r="Y80" s="222">
        <f t="shared" si="23"/>
        <v>154649381.68291074</v>
      </c>
      <c r="Z80" s="222">
        <f t="shared" si="18"/>
        <v>47818401.377245381</v>
      </c>
      <c r="AA80" s="222">
        <f t="shared" si="19"/>
        <v>-1191148661.5539656</v>
      </c>
    </row>
    <row r="81" spans="2:27" ht="15" thickBot="1" x14ac:dyDescent="0.4">
      <c r="B81" s="87" t="s">
        <v>39</v>
      </c>
      <c r="C81" s="88">
        <f>SUM('ABP Under Contract'!K83:P83)</f>
        <v>59772138.619999997</v>
      </c>
      <c r="D81" s="88">
        <f>'REC Spend projected'!H79+'REC Spend projected'!I79+'REC Spend projected'!J79+'REC Spend projected'!K79+'REC Spend projected'!L79</f>
        <v>27769993.153153714</v>
      </c>
      <c r="E81" s="89"/>
      <c r="F81" s="88">
        <f>F25*'REC Spend projected'!$B$56</f>
        <v>28900190.300762352</v>
      </c>
      <c r="G81" s="88">
        <f>G25*'REC Spend projected'!$B$56</f>
        <v>-13916410.184361078</v>
      </c>
      <c r="H81" s="88">
        <f>H25*'REC Spend projected'!$B$56</f>
        <v>5102352.7217313908</v>
      </c>
      <c r="I81" s="88">
        <f>I25*'REC Spend projected'!$B$56</f>
        <v>10387153.856159277</v>
      </c>
      <c r="J81" s="88">
        <f>J25*'REC Spend projected'!$B$56</f>
        <v>21734283.627294958</v>
      </c>
      <c r="K81" s="88">
        <f>K25*'REC Spend projected'!$B$56</f>
        <v>12845739.877072798</v>
      </c>
      <c r="L81" s="88">
        <f>L25*'REC Spend projected'!$B$56</f>
        <v>19080326.103470892</v>
      </c>
      <c r="M81" s="88">
        <f>M25*'REC Spend projected'!$B$56</f>
        <v>44610700.971583299</v>
      </c>
      <c r="N81" s="88">
        <f>N25*'REC Spend projected'!$B$56</f>
        <v>-3319009.3393920688</v>
      </c>
      <c r="O81" s="88"/>
      <c r="P81" s="88">
        <f>P25*'REC Spend projected'!$B$56</f>
        <v>47857527.025206156</v>
      </c>
      <c r="Q81" s="88">
        <f t="shared" ref="Q81:Q82" si="24">SUM(C81:P81)</f>
        <v>260824986.73268169</v>
      </c>
      <c r="R81" s="88">
        <f>'REC Spend projected'!AA78</f>
        <v>-1089512614.8260465</v>
      </c>
      <c r="S81" s="88">
        <f>'REC Spend projected'!AE79</f>
        <v>-722521129.97421408</v>
      </c>
      <c r="U81" s="204" t="s">
        <v>39</v>
      </c>
      <c r="V81" s="222">
        <f t="shared" si="20"/>
        <v>87542131.773153707</v>
      </c>
      <c r="W81" s="222">
        <f t="shared" si="21"/>
        <v>0</v>
      </c>
      <c r="X81" s="222">
        <f t="shared" si="22"/>
        <v>28900190.300762352</v>
      </c>
      <c r="Y81" s="222">
        <f t="shared" si="23"/>
        <v>96525137.633559465</v>
      </c>
      <c r="Z81" s="222">
        <f t="shared" si="18"/>
        <v>47857527.025206156</v>
      </c>
      <c r="AA81" s="222">
        <f t="shared" si="19"/>
        <v>-1089512614.8260465</v>
      </c>
    </row>
    <row r="82" spans="2:27" ht="15" thickBot="1" x14ac:dyDescent="0.4">
      <c r="B82" s="87" t="s">
        <v>40</v>
      </c>
      <c r="C82" s="88">
        <f>SUM('ABP Under Contract'!K84:P84)</f>
        <v>59472947.319999985</v>
      </c>
      <c r="D82" s="88">
        <f>'REC Spend projected'!H80+'REC Spend projected'!I80+'REC Spend projected'!J80+'REC Spend projected'!K80+'REC Spend projected'!L80</f>
        <v>-32565909.399261929</v>
      </c>
      <c r="E82" s="89"/>
      <c r="F82" s="88">
        <f>F26*'REC Spend projected'!$B$56</f>
        <v>28755689.349258546</v>
      </c>
      <c r="G82" s="88">
        <f>G26*'REC Spend projected'!$B$56</f>
        <v>-22838498.137280494</v>
      </c>
      <c r="H82" s="88">
        <f>H26*'REC Spend projected'!$B$56</f>
        <v>-1116628.5932882146</v>
      </c>
      <c r="I82" s="88">
        <f>I26*'REC Spend projected'!$B$56</f>
        <v>6019136.4827926513</v>
      </c>
      <c r="J82" s="88">
        <f>J26*'REC Spend projected'!$B$56</f>
        <v>8087632.261994293</v>
      </c>
      <c r="K82" s="88">
        <f>K26*'REC Spend projected'!$B$56</f>
        <v>18364087.28302981</v>
      </c>
      <c r="L82" s="88">
        <f>L26*'REC Spend projected'!$B$56</f>
        <v>16306121.040480522</v>
      </c>
      <c r="M82" s="88">
        <f>M26*'REC Spend projected'!$B$56</f>
        <v>14465671.395699108</v>
      </c>
      <c r="N82" s="88">
        <f>N26*'REC Spend projected'!$B$56</f>
        <v>65610572.296085566</v>
      </c>
      <c r="O82" s="88"/>
      <c r="P82" s="88">
        <f>P26*'REC Spend projected'!$B$56</f>
        <v>47897379.953709856</v>
      </c>
      <c r="Q82" s="88">
        <f t="shared" si="24"/>
        <v>208458201.25321972</v>
      </c>
      <c r="R82" s="88">
        <f>'REC Spend projected'!AA79</f>
        <v>-950700384.30838287</v>
      </c>
      <c r="S82" s="88">
        <f>'REC Spend projected'!AE80</f>
        <v>-395557109.04121405</v>
      </c>
      <c r="U82" s="204" t="s">
        <v>40</v>
      </c>
      <c r="V82" s="222">
        <f t="shared" si="20"/>
        <v>26907037.920738056</v>
      </c>
      <c r="W82" s="222">
        <f t="shared" si="21"/>
        <v>0</v>
      </c>
      <c r="X82" s="222">
        <f t="shared" si="22"/>
        <v>28755689.349258546</v>
      </c>
      <c r="Y82" s="222">
        <f t="shared" si="23"/>
        <v>104898094.02951324</v>
      </c>
      <c r="Z82" s="222">
        <f t="shared" si="18"/>
        <v>47897379.953709856</v>
      </c>
      <c r="AA82" s="222">
        <f t="shared" si="19"/>
        <v>-950700384.30838287</v>
      </c>
    </row>
    <row r="85" spans="2:27" ht="15" thickBot="1" x14ac:dyDescent="0.4">
      <c r="B85" s="1" t="s">
        <v>213</v>
      </c>
    </row>
    <row r="86" spans="2:27" ht="15.75" customHeight="1" thickBot="1" x14ac:dyDescent="0.4">
      <c r="B86" s="317"/>
      <c r="C86" s="318"/>
      <c r="D86" s="318"/>
      <c r="E86" s="319"/>
      <c r="F86" s="320"/>
      <c r="G86" s="324"/>
      <c r="H86" s="321"/>
      <c r="I86" s="322"/>
      <c r="J86" s="321"/>
      <c r="K86" s="322"/>
      <c r="L86" s="81"/>
      <c r="M86" s="241"/>
      <c r="N86" s="241"/>
      <c r="O86" s="241"/>
      <c r="P86" s="241"/>
      <c r="Q86" s="241"/>
      <c r="R86" s="241"/>
      <c r="S86" s="241"/>
    </row>
    <row r="87" spans="2:27" ht="21.5" thickBot="1" x14ac:dyDescent="0.4">
      <c r="B87" s="82" t="s">
        <v>1</v>
      </c>
      <c r="C87" s="83" t="s">
        <v>231</v>
      </c>
      <c r="D87" s="83" t="s">
        <v>232</v>
      </c>
      <c r="E87" s="84" t="s">
        <v>241</v>
      </c>
      <c r="F87" s="84" t="s">
        <v>93</v>
      </c>
      <c r="G87" s="84" t="s">
        <v>94</v>
      </c>
      <c r="H87" s="84" t="s">
        <v>95</v>
      </c>
      <c r="I87" s="84" t="s">
        <v>96</v>
      </c>
      <c r="J87" s="84" t="s">
        <v>97</v>
      </c>
      <c r="K87" s="84" t="s">
        <v>98</v>
      </c>
      <c r="L87" s="84" t="s">
        <v>99</v>
      </c>
      <c r="M87" s="84" t="s">
        <v>100</v>
      </c>
      <c r="N87" s="84" t="s">
        <v>101</v>
      </c>
      <c r="O87" s="84"/>
      <c r="P87" s="84" t="s">
        <v>234</v>
      </c>
      <c r="Q87" s="83" t="s">
        <v>235</v>
      </c>
      <c r="R87" s="83" t="s">
        <v>236</v>
      </c>
      <c r="S87" s="85" t="s">
        <v>228</v>
      </c>
      <c r="U87" s="203" t="s">
        <v>1</v>
      </c>
      <c r="V87" s="85" t="s">
        <v>186</v>
      </c>
      <c r="W87" s="85" t="s">
        <v>242</v>
      </c>
      <c r="X87" s="85" t="s">
        <v>93</v>
      </c>
      <c r="Y87" s="85" t="s">
        <v>238</v>
      </c>
      <c r="Z87" s="85" t="s">
        <v>239</v>
      </c>
      <c r="AA87" s="85" t="s">
        <v>240</v>
      </c>
    </row>
    <row r="88" spans="2:27" ht="15" thickBot="1" x14ac:dyDescent="0.4">
      <c r="B88" s="87" t="s">
        <v>17</v>
      </c>
      <c r="C88" s="88">
        <f>SUM('ABP Under Contract'!K92:P92)</f>
        <v>40121.536</v>
      </c>
      <c r="D88" s="88">
        <f>'REC Spend projected'!H87+'REC Spend projected'!I87+'REC Spend projected'!J87+'REC Spend projected'!K87+'REC Spend projected'!L87</f>
        <v>74567.941677111041</v>
      </c>
      <c r="E88" s="88"/>
      <c r="F88" s="88">
        <f>F4*'REC Spend projected'!$B$83</f>
        <v>0</v>
      </c>
      <c r="G88" s="88">
        <f>G4*'REC Spend projected'!$B$83</f>
        <v>0</v>
      </c>
      <c r="H88" s="88">
        <f>H4*'REC Spend projected'!$B$83</f>
        <v>0</v>
      </c>
      <c r="I88" s="88">
        <f>I4*'REC Spend projected'!$B$83</f>
        <v>0</v>
      </c>
      <c r="J88" s="88">
        <f>J4*'REC Spend projected'!$B$83</f>
        <v>0</v>
      </c>
      <c r="K88" s="88">
        <f>K4*'REC Spend projected'!$B$83</f>
        <v>0</v>
      </c>
      <c r="L88" s="88">
        <f>L4*'REC Spend projected'!$B$83</f>
        <v>0</v>
      </c>
      <c r="M88" s="88">
        <f>M4*'REC Spend projected'!$B$83</f>
        <v>0</v>
      </c>
      <c r="N88" s="88">
        <f>N4*'REC Spend projected'!$B$83</f>
        <v>0</v>
      </c>
      <c r="O88" s="88"/>
      <c r="P88" s="88">
        <f>P4*'REC Spend projected'!$B$83</f>
        <v>90168.358012699129</v>
      </c>
      <c r="Q88" s="88">
        <f>SUM(C88:P88)</f>
        <v>204857.83568981016</v>
      </c>
      <c r="R88" s="88">
        <f>'REC Spend projected'!AC85</f>
        <v>1991511.2007337115</v>
      </c>
      <c r="S88" s="246">
        <f>'REC Spend projected'!AE85</f>
        <v>808209.25471909717</v>
      </c>
      <c r="U88" s="204" t="s">
        <v>17</v>
      </c>
      <c r="V88" s="222">
        <f>SUM(C88:D88)</f>
        <v>114689.47767711105</v>
      </c>
      <c r="W88" s="222">
        <f>E88</f>
        <v>0</v>
      </c>
      <c r="X88" s="222">
        <f>F88</f>
        <v>0</v>
      </c>
      <c r="Y88" s="222">
        <f>SUM(G88:N88)</f>
        <v>0</v>
      </c>
      <c r="Z88" s="222">
        <f t="shared" ref="Z88:Z110" si="25">P88</f>
        <v>90168.358012699129</v>
      </c>
      <c r="AA88" s="222">
        <f t="shared" ref="AA88:AA110" si="26">R88</f>
        <v>1991511.2007337115</v>
      </c>
    </row>
    <row r="89" spans="2:27" ht="15" thickBot="1" x14ac:dyDescent="0.4">
      <c r="B89" s="87" t="s">
        <v>18</v>
      </c>
      <c r="C89" s="88">
        <f>SUM('ABP Under Contract'!K93:P93)</f>
        <v>372758.78400000004</v>
      </c>
      <c r="D89" s="88">
        <f>'REC Spend projected'!H88+'REC Spend projected'!I88+'REC Spend projected'!J88+'REC Spend projected'!K88+'REC Spend projected'!L88</f>
        <v>74566.48252909616</v>
      </c>
      <c r="E89" s="88"/>
      <c r="F89" s="88">
        <f>F5*'REC Spend projected'!$B$83</f>
        <v>0</v>
      </c>
      <c r="G89" s="88">
        <f>G5*'REC Spend projected'!$B$83</f>
        <v>0</v>
      </c>
      <c r="H89" s="88">
        <f>H5*'REC Spend projected'!$B$83</f>
        <v>0</v>
      </c>
      <c r="I89" s="88">
        <f>I5*'REC Spend projected'!$B$83</f>
        <v>0</v>
      </c>
      <c r="J89" s="88">
        <f>J5*'REC Spend projected'!$B$83</f>
        <v>0</v>
      </c>
      <c r="K89" s="88">
        <f>K5*'REC Spend projected'!$B$83</f>
        <v>0</v>
      </c>
      <c r="L89" s="88">
        <f>L5*'REC Spend projected'!$B$83</f>
        <v>0</v>
      </c>
      <c r="M89" s="88">
        <f>M5*'REC Spend projected'!$B$83</f>
        <v>0</v>
      </c>
      <c r="N89" s="88">
        <f>N5*'REC Spend projected'!$B$83</f>
        <v>0</v>
      </c>
      <c r="O89" s="88"/>
      <c r="P89" s="88">
        <f>P5*'REC Spend projected'!$B$83</f>
        <v>420055.2123566324</v>
      </c>
      <c r="Q89" s="88">
        <f t="shared" ref="Q89:Q108" si="27">SUM(C89:P89)</f>
        <v>867380.47888572863</v>
      </c>
      <c r="R89" s="88">
        <f>'REC Spend projected'!AC86</f>
        <v>1961642.7768857637</v>
      </c>
      <c r="S89" s="246">
        <f>'REC Spend projected'!AE86</f>
        <v>551326.24309089128</v>
      </c>
      <c r="U89" s="204" t="s">
        <v>18</v>
      </c>
      <c r="V89" s="222">
        <f t="shared" ref="V89:V110" si="28">SUM(C89:D89)</f>
        <v>447325.26652909617</v>
      </c>
      <c r="W89" s="222">
        <f t="shared" ref="W89:W110" si="29">E89</f>
        <v>0</v>
      </c>
      <c r="X89" s="222">
        <f t="shared" ref="X89:X110" si="30">F89</f>
        <v>0</v>
      </c>
      <c r="Y89" s="222">
        <f t="shared" ref="Y89:Y110" si="31">SUM(G89:N89)</f>
        <v>0</v>
      </c>
      <c r="Z89" s="222">
        <f t="shared" si="25"/>
        <v>420055.2123566324</v>
      </c>
      <c r="AA89" s="222">
        <f t="shared" si="26"/>
        <v>1961642.7768857637</v>
      </c>
    </row>
    <row r="90" spans="2:27" ht="15" thickBot="1" x14ac:dyDescent="0.4">
      <c r="B90" s="87" t="s">
        <v>19</v>
      </c>
      <c r="C90" s="88">
        <f>SUM('ABP Under Contract'!K94:P94)</f>
        <v>733278.48400000005</v>
      </c>
      <c r="D90" s="88">
        <f>'REC Spend projected'!H89+'REC Spend projected'!I89+'REC Spend projected'!J89+'REC Spend projected'!K89+'REC Spend projected'!L89</f>
        <v>267770.89576503338</v>
      </c>
      <c r="E90" s="88"/>
      <c r="F90" s="88">
        <f>F6*'REC Spend projected'!$B$83</f>
        <v>0</v>
      </c>
      <c r="G90" s="88">
        <f>G6*'REC Spend projected'!$B$83</f>
        <v>0</v>
      </c>
      <c r="H90" s="88">
        <f>H6*'REC Spend projected'!$B$83</f>
        <v>0</v>
      </c>
      <c r="I90" s="88">
        <f>I6*'REC Spend projected'!$B$83</f>
        <v>0</v>
      </c>
      <c r="J90" s="88">
        <f>J6*'REC Spend projected'!$B$83</f>
        <v>0</v>
      </c>
      <c r="K90" s="88">
        <f>K6*'REC Spend projected'!$B$83</f>
        <v>0</v>
      </c>
      <c r="L90" s="88">
        <f>L6*'REC Spend projected'!$B$83</f>
        <v>0</v>
      </c>
      <c r="M90" s="88">
        <f>M6*'REC Spend projected'!$B$83</f>
        <v>0</v>
      </c>
      <c r="N90" s="88">
        <f>N6*'REC Spend projected'!$B$83</f>
        <v>0</v>
      </c>
      <c r="O90" s="88"/>
      <c r="P90" s="88">
        <f>P6*'REC Spend projected'!$B$83</f>
        <v>338397.00836118881</v>
      </c>
      <c r="Q90" s="88">
        <f t="shared" si="27"/>
        <v>1339446.3881262224</v>
      </c>
      <c r="R90" s="88">
        <f>'REC Spend projected'!AC87</f>
        <v>1943974.4688977061</v>
      </c>
      <c r="S90" s="246">
        <f>'REC Spend projected'!AE87</f>
        <v>248573.24934940296</v>
      </c>
      <c r="U90" s="204" t="s">
        <v>19</v>
      </c>
      <c r="V90" s="222">
        <f t="shared" si="28"/>
        <v>1001049.3797650335</v>
      </c>
      <c r="W90" s="222">
        <f t="shared" si="29"/>
        <v>0</v>
      </c>
      <c r="X90" s="222">
        <f t="shared" si="30"/>
        <v>0</v>
      </c>
      <c r="Y90" s="222">
        <f t="shared" si="31"/>
        <v>0</v>
      </c>
      <c r="Z90" s="222">
        <f t="shared" si="25"/>
        <v>338397.00836118881</v>
      </c>
      <c r="AA90" s="222">
        <f t="shared" si="26"/>
        <v>1943974.4688977061</v>
      </c>
    </row>
    <row r="91" spans="2:27" ht="15" thickBot="1" x14ac:dyDescent="0.4">
      <c r="B91" s="87" t="s">
        <v>20</v>
      </c>
      <c r="C91" s="88">
        <f>SUM('ABP Under Contract'!K95:P95)</f>
        <v>5788790.373999998</v>
      </c>
      <c r="D91" s="88">
        <f>'REC Spend projected'!H90+'REC Spend projected'!I90+'REC Spend projected'!J90+'REC Spend projected'!K90+'REC Spend projected'!L90</f>
        <v>517338.97957798361</v>
      </c>
      <c r="E91" s="88"/>
      <c r="F91" s="88">
        <f>F7*'REC Spend projected'!$B$83</f>
        <v>0</v>
      </c>
      <c r="G91" s="88">
        <f>G7*'REC Spend projected'!$B$83</f>
        <v>0</v>
      </c>
      <c r="H91" s="88">
        <f>H7*'REC Spend projected'!$B$83</f>
        <v>0</v>
      </c>
      <c r="I91" s="88">
        <f>I7*'REC Spend projected'!$B$83</f>
        <v>0</v>
      </c>
      <c r="J91" s="88">
        <f>J7*'REC Spend projected'!$B$83</f>
        <v>0</v>
      </c>
      <c r="K91" s="88">
        <f>K7*'REC Spend projected'!$B$83</f>
        <v>0</v>
      </c>
      <c r="L91" s="88">
        <f>L7*'REC Spend projected'!$B$83</f>
        <v>0</v>
      </c>
      <c r="M91" s="88">
        <f>M7*'REC Spend projected'!$B$83</f>
        <v>0</v>
      </c>
      <c r="N91" s="88">
        <f>N7*'REC Spend projected'!$B$83</f>
        <v>0</v>
      </c>
      <c r="O91" s="88"/>
      <c r="P91" s="88">
        <f>P7*'REC Spend projected'!$B$83</f>
        <v>336889.55836099014</v>
      </c>
      <c r="Q91" s="88">
        <f t="shared" si="27"/>
        <v>6643018.9119389718</v>
      </c>
      <c r="R91" s="88">
        <f>'REC Spend projected'!AC88</f>
        <v>1631797.6884781639</v>
      </c>
      <c r="S91" s="246">
        <f>'REC Spend projected'!AE88</f>
        <v>-1143458.5966624324</v>
      </c>
      <c r="U91" s="204" t="s">
        <v>20</v>
      </c>
      <c r="V91" s="222">
        <f t="shared" si="28"/>
        <v>6306129.3535779817</v>
      </c>
      <c r="W91" s="222">
        <f t="shared" si="29"/>
        <v>0</v>
      </c>
      <c r="X91" s="222">
        <f t="shared" si="30"/>
        <v>0</v>
      </c>
      <c r="Y91" s="222">
        <f t="shared" si="31"/>
        <v>0</v>
      </c>
      <c r="Z91" s="222">
        <f t="shared" si="25"/>
        <v>336889.55836099014</v>
      </c>
      <c r="AA91" s="222">
        <f t="shared" si="26"/>
        <v>1631797.6884781639</v>
      </c>
    </row>
    <row r="92" spans="2:27" ht="15" thickBot="1" x14ac:dyDescent="0.4">
      <c r="B92" s="87" t="s">
        <v>22</v>
      </c>
      <c r="C92" s="88">
        <f>SUM('ABP Under Contract'!K96:P96)</f>
        <v>4362988.8796666656</v>
      </c>
      <c r="D92" s="88">
        <f>'REC Spend projected'!H91+'REC Spend projected'!I91+'REC Spend projected'!J91+'REC Spend projected'!K91+'REC Spend projected'!L91</f>
        <v>575665.24989737035</v>
      </c>
      <c r="E92" s="88"/>
      <c r="F92" s="88">
        <f>F8*'REC Spend projected'!$B$83</f>
        <v>0</v>
      </c>
      <c r="G92" s="88">
        <f>G8*'REC Spend projected'!$B$83</f>
        <v>0</v>
      </c>
      <c r="H92" s="88">
        <f>H8*'REC Spend projected'!$B$83</f>
        <v>0</v>
      </c>
      <c r="I92" s="88">
        <f>I8*'REC Spend projected'!$B$83</f>
        <v>0</v>
      </c>
      <c r="J92" s="88">
        <f>J8*'REC Spend projected'!$B$83</f>
        <v>0</v>
      </c>
      <c r="K92" s="88">
        <f>K8*'REC Spend projected'!$B$83</f>
        <v>0</v>
      </c>
      <c r="L92" s="88">
        <f>L8*'REC Spend projected'!$B$83</f>
        <v>0</v>
      </c>
      <c r="M92" s="88">
        <f>M8*'REC Spend projected'!$B$83</f>
        <v>0</v>
      </c>
      <c r="N92" s="88">
        <f>N8*'REC Spend projected'!$B$83</f>
        <v>0</v>
      </c>
      <c r="O92" s="88"/>
      <c r="P92" s="88">
        <f>P8*'REC Spend projected'!$B$83</f>
        <v>436402.09268894134</v>
      </c>
      <c r="Q92" s="88">
        <f t="shared" si="27"/>
        <v>5375056.2222529771</v>
      </c>
      <c r="R92" s="88">
        <f>'REC Spend projected'!AC89</f>
        <v>243585.63843556447</v>
      </c>
      <c r="S92" s="246">
        <f>'REC Spend projected'!AE89</f>
        <v>-3131812.2839641981</v>
      </c>
      <c r="U92" s="204" t="s">
        <v>22</v>
      </c>
      <c r="V92" s="222">
        <f t="shared" si="28"/>
        <v>4938654.1295640357</v>
      </c>
      <c r="W92" s="222">
        <f t="shared" si="29"/>
        <v>0</v>
      </c>
      <c r="X92" s="222">
        <f t="shared" si="30"/>
        <v>0</v>
      </c>
      <c r="Y92" s="222">
        <f t="shared" si="31"/>
        <v>0</v>
      </c>
      <c r="Z92" s="222">
        <f t="shared" si="25"/>
        <v>436402.09268894134</v>
      </c>
      <c r="AA92" s="222">
        <f t="shared" si="26"/>
        <v>243585.63843556447</v>
      </c>
    </row>
    <row r="93" spans="2:27" ht="15" thickBot="1" x14ac:dyDescent="0.4">
      <c r="B93" s="87" t="s">
        <v>23</v>
      </c>
      <c r="C93" s="88">
        <f>SUM('ABP Under Contract'!K97:P97)</f>
        <v>3350365.0464999992</v>
      </c>
      <c r="D93" s="88">
        <f>'REC Spend projected'!H92+'REC Spend projected'!I92+'REC Spend projected'!J92+'REC Spend projected'!K92+'REC Spend projected'!L92</f>
        <v>539301.56280534761</v>
      </c>
      <c r="E93" s="88"/>
      <c r="F93" s="88">
        <f>F9*'REC Spend projected'!$B$83</f>
        <v>0</v>
      </c>
      <c r="G93" s="88">
        <f>G9*'REC Spend projected'!$B$83</f>
        <v>0</v>
      </c>
      <c r="H93" s="88">
        <f>H9*'REC Spend projected'!$B$83</f>
        <v>0</v>
      </c>
      <c r="I93" s="88">
        <f>I9*'REC Spend projected'!$B$83</f>
        <v>0</v>
      </c>
      <c r="J93" s="88">
        <f>J9*'REC Spend projected'!$B$83</f>
        <v>0</v>
      </c>
      <c r="K93" s="88">
        <f>K9*'REC Spend projected'!$B$83</f>
        <v>0</v>
      </c>
      <c r="L93" s="88">
        <f>L9*'REC Spend projected'!$B$83</f>
        <v>0</v>
      </c>
      <c r="M93" s="88">
        <f>M9*'REC Spend projected'!$B$83</f>
        <v>0</v>
      </c>
      <c r="N93" s="88">
        <f>N9*'REC Spend projected'!$B$83</f>
        <v>0</v>
      </c>
      <c r="O93" s="88"/>
      <c r="P93" s="88">
        <f>P9*'REC Spend projected'!$B$83</f>
        <v>335262.45529220637</v>
      </c>
      <c r="Q93" s="88">
        <f t="shared" si="27"/>
        <v>4224929.0645975536</v>
      </c>
      <c r="R93" s="88">
        <f>'REC Spend projected'!AC90</f>
        <v>-1745655.6924102572</v>
      </c>
      <c r="S93" s="246">
        <f>'REC Spend projected'!AE90</f>
        <v>-5162837.9202599041</v>
      </c>
      <c r="U93" s="204" t="s">
        <v>23</v>
      </c>
      <c r="V93" s="222">
        <f t="shared" si="28"/>
        <v>3889666.6093053469</v>
      </c>
      <c r="W93" s="222">
        <f t="shared" si="29"/>
        <v>0</v>
      </c>
      <c r="X93" s="222">
        <f t="shared" si="30"/>
        <v>0</v>
      </c>
      <c r="Y93" s="222">
        <f t="shared" si="31"/>
        <v>0</v>
      </c>
      <c r="Z93" s="222">
        <f t="shared" si="25"/>
        <v>335262.45529220637</v>
      </c>
      <c r="AA93" s="222">
        <f t="shared" si="26"/>
        <v>-1745655.6924102572</v>
      </c>
    </row>
    <row r="94" spans="2:27" ht="15" thickBot="1" x14ac:dyDescent="0.4">
      <c r="B94" s="87" t="s">
        <v>24</v>
      </c>
      <c r="C94" s="88">
        <f>SUM('ABP Under Contract'!K98:P98)</f>
        <v>1556148.5670833332</v>
      </c>
      <c r="D94" s="88">
        <f>'REC Spend projected'!H93+'REC Spend projected'!I93+'REC Spend projected'!J93+'REC Spend projected'!K93+'REC Spend projected'!L93</f>
        <v>531825.01520650194</v>
      </c>
      <c r="E94" s="88"/>
      <c r="F94" s="88">
        <f>F10*'REC Spend projected'!$B$83</f>
        <v>1022259.6356294242</v>
      </c>
      <c r="G94" s="88">
        <f>G10*'REC Spend projected'!$B$83</f>
        <v>0</v>
      </c>
      <c r="H94" s="88">
        <f>H10*'REC Spend projected'!$B$83</f>
        <v>0</v>
      </c>
      <c r="I94" s="88">
        <f>I10*'REC Spend projected'!$B$83</f>
        <v>0</v>
      </c>
      <c r="J94" s="88">
        <f>J10*'REC Spend projected'!$B$83</f>
        <v>0</v>
      </c>
      <c r="K94" s="88">
        <f>K10*'REC Spend projected'!$B$83</f>
        <v>0</v>
      </c>
      <c r="L94" s="88">
        <f>L10*'REC Spend projected'!$B$83</f>
        <v>0</v>
      </c>
      <c r="M94" s="88">
        <f>M10*'REC Spend projected'!$B$83</f>
        <v>0</v>
      </c>
      <c r="N94" s="88">
        <f>N10*'REC Spend projected'!$B$83</f>
        <v>0</v>
      </c>
      <c r="O94" s="88"/>
      <c r="P94" s="88">
        <f>P10*'REC Spend projected'!$B$83</f>
        <v>334718.59925664368</v>
      </c>
      <c r="Q94" s="88">
        <f t="shared" si="27"/>
        <v>3444951.8171759029</v>
      </c>
      <c r="R94" s="88">
        <f>'REC Spend projected'!AC91</f>
        <v>-3771981.0044572446</v>
      </c>
      <c r="S94" s="246">
        <f>'REC Spend projected'!AE91</f>
        <v>-7158318.3215492908</v>
      </c>
      <c r="U94" s="204" t="s">
        <v>24</v>
      </c>
      <c r="V94" s="222">
        <f t="shared" si="28"/>
        <v>2087973.582289835</v>
      </c>
      <c r="W94" s="222">
        <f t="shared" si="29"/>
        <v>0</v>
      </c>
      <c r="X94" s="222">
        <f t="shared" si="30"/>
        <v>1022259.6356294242</v>
      </c>
      <c r="Y94" s="222">
        <f t="shared" si="31"/>
        <v>0</v>
      </c>
      <c r="Z94" s="222">
        <f t="shared" si="25"/>
        <v>334718.59925664368</v>
      </c>
      <c r="AA94" s="222">
        <f t="shared" si="26"/>
        <v>-3771981.0044572446</v>
      </c>
    </row>
    <row r="95" spans="2:27" ht="15" thickBot="1" x14ac:dyDescent="0.4">
      <c r="B95" s="87" t="s">
        <v>25</v>
      </c>
      <c r="C95" s="88">
        <f>SUM('ABP Under Contract'!K99:P99)</f>
        <v>1490887.9070833332</v>
      </c>
      <c r="D95" s="88">
        <f>'REC Spend projected'!H94+'REC Spend projected'!I94+'REC Spend projected'!J94+'REC Spend projected'!K94+'REC Spend projected'!L94</f>
        <v>451147.99402883608</v>
      </c>
      <c r="E95" s="88"/>
      <c r="F95" s="88">
        <f>F11*'REC Spend projected'!$B$83</f>
        <v>1288538.9578792595</v>
      </c>
      <c r="G95" s="88">
        <f>G11*'REC Spend projected'!$B$83</f>
        <v>185702.6462155616</v>
      </c>
      <c r="H95" s="88">
        <f>H11*'REC Spend projected'!$B$83</f>
        <v>0</v>
      </c>
      <c r="I95" s="88">
        <f>I11*'REC Spend projected'!$B$83</f>
        <v>0</v>
      </c>
      <c r="J95" s="88">
        <f>J11*'REC Spend projected'!$B$83</f>
        <v>0</v>
      </c>
      <c r="K95" s="88">
        <f>K11*'REC Spend projected'!$B$83</f>
        <v>0</v>
      </c>
      <c r="L95" s="88">
        <f>L11*'REC Spend projected'!$B$83</f>
        <v>0</v>
      </c>
      <c r="M95" s="88">
        <f>M11*'REC Spend projected'!$B$83</f>
        <v>0</v>
      </c>
      <c r="N95" s="88">
        <f>N11*'REC Spend projected'!$B$83</f>
        <v>0</v>
      </c>
      <c r="O95" s="88"/>
      <c r="P95" s="88">
        <f>P11*'REC Spend projected'!$B$83</f>
        <v>434668.54631219973</v>
      </c>
      <c r="Q95" s="88">
        <f t="shared" si="27"/>
        <v>3850946.0515191904</v>
      </c>
      <c r="R95" s="88">
        <f>'REC Spend projected'!AC92</f>
        <v>-5765941.6600871626</v>
      </c>
      <c r="S95" s="246">
        <f>'REC Spend projected'!AE92</f>
        <v>-9326902.6702937745</v>
      </c>
      <c r="U95" s="204" t="s">
        <v>25</v>
      </c>
      <c r="V95" s="222">
        <f t="shared" si="28"/>
        <v>1942035.9011121693</v>
      </c>
      <c r="W95" s="222">
        <f t="shared" si="29"/>
        <v>0</v>
      </c>
      <c r="X95" s="222">
        <f t="shared" si="30"/>
        <v>1288538.9578792595</v>
      </c>
      <c r="Y95" s="222">
        <f t="shared" si="31"/>
        <v>185702.6462155616</v>
      </c>
      <c r="Z95" s="222">
        <f t="shared" si="25"/>
        <v>434668.54631219973</v>
      </c>
      <c r="AA95" s="222">
        <f t="shared" si="26"/>
        <v>-5765941.6600871626</v>
      </c>
    </row>
    <row r="96" spans="2:27" ht="15" thickBot="1" x14ac:dyDescent="0.4">
      <c r="B96" s="90" t="s">
        <v>26</v>
      </c>
      <c r="C96" s="88">
        <f>SUM('ABP Under Contract'!K100:P100)</f>
        <v>776505.53908333345</v>
      </c>
      <c r="D96" s="88">
        <f>'REC Spend projected'!H95+'REC Spend projected'!I95+'REC Spend projected'!J95+'REC Spend projected'!K95+'REC Spend projected'!L95</f>
        <v>480930.06779286702</v>
      </c>
      <c r="E96" s="88"/>
      <c r="F96" s="88">
        <f>F12*'REC Spend projected'!$B$83</f>
        <v>599926.02846263943</v>
      </c>
      <c r="G96" s="88">
        <f>G12*'REC Spend projected'!$B$83</f>
        <v>1200388.6775658701</v>
      </c>
      <c r="H96" s="88">
        <f>H12*'REC Spend projected'!$B$83</f>
        <v>0</v>
      </c>
      <c r="I96" s="88">
        <f>I12*'REC Spend projected'!$B$83</f>
        <v>0</v>
      </c>
      <c r="J96" s="88">
        <f>J12*'REC Spend projected'!$B$83</f>
        <v>0</v>
      </c>
      <c r="K96" s="88">
        <f>K12*'REC Spend projected'!$B$83</f>
        <v>0</v>
      </c>
      <c r="L96" s="88">
        <f>L12*'REC Spend projected'!$B$83</f>
        <v>0</v>
      </c>
      <c r="M96" s="88">
        <f>M12*'REC Spend projected'!$B$83</f>
        <v>0</v>
      </c>
      <c r="N96" s="88">
        <f>N12*'REC Spend projected'!$B$83</f>
        <v>0</v>
      </c>
      <c r="O96" s="88"/>
      <c r="P96" s="88">
        <f>P12*'REC Spend projected'!$B$83</f>
        <v>334806.74939907016</v>
      </c>
      <c r="Q96" s="88">
        <f t="shared" si="27"/>
        <v>3392557.0623037801</v>
      </c>
      <c r="R96" s="88">
        <f>'REC Spend projected'!AC93</f>
        <v>-7932068.4739493337</v>
      </c>
      <c r="S96" s="246">
        <f>'REC Spend projected'!AE93</f>
        <v>-11688209.577330239</v>
      </c>
      <c r="U96" s="205" t="s">
        <v>26</v>
      </c>
      <c r="V96" s="222">
        <f t="shared" si="28"/>
        <v>1257435.6068762005</v>
      </c>
      <c r="W96" s="222">
        <f t="shared" si="29"/>
        <v>0</v>
      </c>
      <c r="X96" s="222">
        <f t="shared" si="30"/>
        <v>599926.02846263943</v>
      </c>
      <c r="Y96" s="222">
        <f t="shared" si="31"/>
        <v>1200388.6775658701</v>
      </c>
      <c r="Z96" s="222">
        <f t="shared" si="25"/>
        <v>334806.74939907016</v>
      </c>
      <c r="AA96" s="222">
        <f t="shared" si="26"/>
        <v>-7932068.4739493337</v>
      </c>
    </row>
    <row r="97" spans="2:27" ht="15" thickBot="1" x14ac:dyDescent="0.4">
      <c r="B97" s="87" t="s">
        <v>27</v>
      </c>
      <c r="C97" s="88">
        <f>SUM('ABP Under Contract'!K101:P101)</f>
        <v>776505.53908333345</v>
      </c>
      <c r="D97" s="88">
        <f>'REC Spend projected'!H96+'REC Spend projected'!I96+'REC Spend projected'!J96+'REC Spend projected'!K96+'REC Spend projected'!L96</f>
        <v>564831.91804472939</v>
      </c>
      <c r="E97" s="88"/>
      <c r="F97" s="88">
        <f>F13*'REC Spend projected'!$B$83</f>
        <v>597327.62972633215</v>
      </c>
      <c r="G97" s="88">
        <f>G13*'REC Spend projected'!$B$83</f>
        <v>1433004.237820423</v>
      </c>
      <c r="H97" s="88">
        <f>H13*'REC Spend projected'!$B$83</f>
        <v>116302.04532617186</v>
      </c>
      <c r="I97" s="88">
        <f>I13*'REC Spend projected'!$B$83</f>
        <v>0</v>
      </c>
      <c r="J97" s="88">
        <f>J13*'REC Spend projected'!$B$83</f>
        <v>0</v>
      </c>
      <c r="K97" s="88">
        <f>K13*'REC Spend projected'!$B$83</f>
        <v>0</v>
      </c>
      <c r="L97" s="88">
        <f>L13*'REC Spend projected'!$B$83</f>
        <v>0</v>
      </c>
      <c r="M97" s="88">
        <f>M13*'REC Spend projected'!$B$83</f>
        <v>0</v>
      </c>
      <c r="N97" s="88">
        <f>N13*'REC Spend projected'!$B$83</f>
        <v>0</v>
      </c>
      <c r="O97" s="88"/>
      <c r="P97" s="88">
        <f>P13*'REC Spend projected'!$B$83</f>
        <v>334876.65753054508</v>
      </c>
      <c r="Q97" s="88">
        <f t="shared" si="27"/>
        <v>3822848.0275315349</v>
      </c>
      <c r="R97" s="88">
        <f>'REC Spend projected'!AC94</f>
        <v>-10292947.307602605</v>
      </c>
      <c r="S97" s="246">
        <f>'REC Spend projected'!AE94</f>
        <v>-14288547.01263975</v>
      </c>
      <c r="U97" s="204" t="s">
        <v>27</v>
      </c>
      <c r="V97" s="222">
        <f t="shared" si="28"/>
        <v>1341337.4571280628</v>
      </c>
      <c r="W97" s="222">
        <f t="shared" si="29"/>
        <v>0</v>
      </c>
      <c r="X97" s="222">
        <f t="shared" si="30"/>
        <v>597327.62972633215</v>
      </c>
      <c r="Y97" s="222">
        <f t="shared" si="31"/>
        <v>1549306.2831465949</v>
      </c>
      <c r="Z97" s="222">
        <f t="shared" si="25"/>
        <v>334876.65753054508</v>
      </c>
      <c r="AA97" s="222">
        <f t="shared" si="26"/>
        <v>-10292947.307602605</v>
      </c>
    </row>
    <row r="98" spans="2:27" ht="15" thickBot="1" x14ac:dyDescent="0.4">
      <c r="B98" s="87" t="s">
        <v>28</v>
      </c>
      <c r="C98" s="88">
        <f>SUM('ABP Under Contract'!K102:P102)</f>
        <v>724155.69941666676</v>
      </c>
      <c r="D98" s="88">
        <f>'REC Spend projected'!H97+'REC Spend projected'!I97+'REC Spend projected'!J97+'REC Spend projected'!K97+'REC Spend projected'!L97</f>
        <v>581401.22021981119</v>
      </c>
      <c r="E98" s="88"/>
      <c r="F98" s="88">
        <f>F14*'REC Spend projected'!$B$83</f>
        <v>596238.96041251742</v>
      </c>
      <c r="G98" s="88">
        <f>G14*'REC Spend projected'!$B$83</f>
        <v>629767.84263160301</v>
      </c>
      <c r="H98" s="88">
        <f>H14*'REC Spend projected'!$B$83</f>
        <v>983408.16322370421</v>
      </c>
      <c r="I98" s="88">
        <f>I14*'REC Spend projected'!$B$83</f>
        <v>0</v>
      </c>
      <c r="J98" s="88">
        <f>J14*'REC Spend projected'!$B$83</f>
        <v>0</v>
      </c>
      <c r="K98" s="88">
        <f>K14*'REC Spend projected'!$B$83</f>
        <v>0</v>
      </c>
      <c r="L98" s="88">
        <f>L14*'REC Spend projected'!$B$83</f>
        <v>0</v>
      </c>
      <c r="M98" s="88">
        <f>M14*'REC Spend projected'!$B$83</f>
        <v>0</v>
      </c>
      <c r="N98" s="88">
        <f>N14*'REC Spend projected'!$B$83</f>
        <v>0</v>
      </c>
      <c r="O98" s="88"/>
      <c r="P98" s="88">
        <f>P14*'REC Spend projected'!$B$83</f>
        <v>435474.11840802792</v>
      </c>
      <c r="Q98" s="88">
        <f t="shared" si="27"/>
        <v>3950446.0043123309</v>
      </c>
      <c r="R98" s="88">
        <f>'REC Spend projected'!AC95</f>
        <v>-12890929.238063909</v>
      </c>
      <c r="S98" s="246">
        <f>'REC Spend projected'!AE95</f>
        <v>-16933382.904780362</v>
      </c>
      <c r="U98" s="204" t="s">
        <v>28</v>
      </c>
      <c r="V98" s="222">
        <f t="shared" si="28"/>
        <v>1305556.9196364779</v>
      </c>
      <c r="W98" s="222">
        <f t="shared" si="29"/>
        <v>0</v>
      </c>
      <c r="X98" s="222">
        <f t="shared" si="30"/>
        <v>596238.96041251742</v>
      </c>
      <c r="Y98" s="222">
        <f t="shared" si="31"/>
        <v>1613176.0058553072</v>
      </c>
      <c r="Z98" s="222">
        <f t="shared" si="25"/>
        <v>435474.11840802792</v>
      </c>
      <c r="AA98" s="222">
        <f t="shared" si="26"/>
        <v>-12890929.238063909</v>
      </c>
    </row>
    <row r="99" spans="2:27" ht="15" thickBot="1" x14ac:dyDescent="0.4">
      <c r="B99" s="87" t="s">
        <v>29</v>
      </c>
      <c r="C99" s="88">
        <f>SUM('ABP Under Contract'!K103:P103)</f>
        <v>288699.29408333334</v>
      </c>
      <c r="D99" s="88">
        <f>'REC Spend projected'!H98+'REC Spend projected'!I98+'REC Spend projected'!J98+'REC Spend projected'!K98+'REC Spend projected'!L98</f>
        <v>542690.22364710248</v>
      </c>
      <c r="E99" s="88"/>
      <c r="F99" s="88">
        <f>F15*'REC Spend projected'!$B$83</f>
        <v>595155.73444527166</v>
      </c>
      <c r="G99" s="88">
        <f>G15*'REC Spend projected'!$B$83</f>
        <v>693510.88692653365</v>
      </c>
      <c r="H99" s="88">
        <f>H15*'REC Spend projected'!$B$83</f>
        <v>1255410.3240663179</v>
      </c>
      <c r="I99" s="88">
        <f>I15*'REC Spend projected'!$B$83</f>
        <v>57751.099152467039</v>
      </c>
      <c r="J99" s="88">
        <f>J15*'REC Spend projected'!$B$83</f>
        <v>0</v>
      </c>
      <c r="K99" s="88">
        <f>K15*'REC Spend projected'!$B$83</f>
        <v>0</v>
      </c>
      <c r="L99" s="88">
        <f>L15*'REC Spend projected'!$B$83</f>
        <v>0</v>
      </c>
      <c r="M99" s="88">
        <f>M15*'REC Spend projected'!$B$83</f>
        <v>0</v>
      </c>
      <c r="N99" s="88">
        <f>N15*'REC Spend projected'!$B$83</f>
        <v>0</v>
      </c>
      <c r="O99" s="88"/>
      <c r="P99" s="88">
        <f>P15*'REC Spend projected'!$B$83</f>
        <v>335877.74929775833</v>
      </c>
      <c r="Q99" s="88">
        <f t="shared" si="27"/>
        <v>3769095.3116187844</v>
      </c>
      <c r="R99" s="88">
        <f>'REC Spend projected'!AC96</f>
        <v>-15534243.888139896</v>
      </c>
      <c r="S99" s="246">
        <f>'REC Spend projected'!AE96</f>
        <v>-19616555.580480523</v>
      </c>
      <c r="U99" s="204" t="s">
        <v>29</v>
      </c>
      <c r="V99" s="222">
        <f t="shared" si="28"/>
        <v>831389.51773043582</v>
      </c>
      <c r="W99" s="222">
        <f t="shared" si="29"/>
        <v>0</v>
      </c>
      <c r="X99" s="222">
        <f t="shared" si="30"/>
        <v>595155.73444527166</v>
      </c>
      <c r="Y99" s="222">
        <f t="shared" si="31"/>
        <v>2006672.3101453185</v>
      </c>
      <c r="Z99" s="222">
        <f t="shared" si="25"/>
        <v>335877.74929775833</v>
      </c>
      <c r="AA99" s="222">
        <f t="shared" si="26"/>
        <v>-15534243.888139896</v>
      </c>
    </row>
    <row r="100" spans="2:27" ht="15" thickBot="1" x14ac:dyDescent="0.4">
      <c r="B100" s="87" t="s">
        <v>30</v>
      </c>
      <c r="C100" s="88">
        <f>SUM('ABP Under Contract'!K104:P104)</f>
        <v>0</v>
      </c>
      <c r="D100" s="88">
        <f>'REC Spend projected'!H99+'REC Spend projected'!I99+'REC Spend projected'!J99+'REC Spend projected'!K99+'REC Spend projected'!L99</f>
        <v>475318.35984338133</v>
      </c>
      <c r="E100" s="88"/>
      <c r="F100" s="88">
        <f>F16*'REC Spend projected'!$B$83</f>
        <v>594077.92460786214</v>
      </c>
      <c r="G100" s="88">
        <f>G16*'REC Spend projected'!$B$83</f>
        <v>874718.21635417384</v>
      </c>
      <c r="H100" s="88">
        <f>H16*'REC Spend projected'!$B$83</f>
        <v>797173.5561793244</v>
      </c>
      <c r="I100" s="88">
        <f>I16*'REC Spend projected'!$B$83</f>
        <v>1027716.5929505493</v>
      </c>
      <c r="J100" s="88">
        <f>J16*'REC Spend projected'!$B$83</f>
        <v>0</v>
      </c>
      <c r="K100" s="88">
        <f>K16*'REC Spend projected'!$B$83</f>
        <v>0</v>
      </c>
      <c r="L100" s="88">
        <f>L16*'REC Spend projected'!$B$83</f>
        <v>0</v>
      </c>
      <c r="M100" s="88">
        <f>M16*'REC Spend projected'!$B$83</f>
        <v>0</v>
      </c>
      <c r="N100" s="88">
        <f>N16*'REC Spend projected'!$B$83</f>
        <v>0</v>
      </c>
      <c r="O100" s="88"/>
      <c r="P100" s="88">
        <f>P16*'REC Spend projected'!$B$83</f>
        <v>336447.97373891989</v>
      </c>
      <c r="Q100" s="88">
        <f t="shared" si="27"/>
        <v>4105452.6236742111</v>
      </c>
      <c r="R100" s="88">
        <f>'REC Spend projected'!AC97</f>
        <v>-18215449.241769116</v>
      </c>
      <c r="S100" s="246">
        <f>'REC Spend projected'!AE97</f>
        <v>-22778190.173527475</v>
      </c>
      <c r="U100" s="204" t="s">
        <v>30</v>
      </c>
      <c r="V100" s="222">
        <f t="shared" si="28"/>
        <v>475318.35984338133</v>
      </c>
      <c r="W100" s="222">
        <f t="shared" si="29"/>
        <v>0</v>
      </c>
      <c r="X100" s="222">
        <f t="shared" si="30"/>
        <v>594077.92460786214</v>
      </c>
      <c r="Y100" s="222">
        <f t="shared" si="31"/>
        <v>2699608.3654840477</v>
      </c>
      <c r="Z100" s="222">
        <f t="shared" si="25"/>
        <v>336447.97373891989</v>
      </c>
      <c r="AA100" s="222">
        <f t="shared" si="26"/>
        <v>-18215449.241769116</v>
      </c>
    </row>
    <row r="101" spans="2:27" ht="15" thickBot="1" x14ac:dyDescent="0.4">
      <c r="B101" s="87" t="s">
        <v>31</v>
      </c>
      <c r="C101" s="88">
        <f>SUM('ABP Under Contract'!K105:P105)</f>
        <v>0</v>
      </c>
      <c r="D101" s="88">
        <f>'REC Spend projected'!H100+'REC Spend projected'!I100+'REC Spend projected'!J100+'REC Spend projected'!K100+'REC Spend projected'!L100</f>
        <v>419314.59824863041</v>
      </c>
      <c r="E101" s="88"/>
      <c r="F101" s="88">
        <f>F17*'REC Spend projected'!$B$83</f>
        <v>425973.12942885276</v>
      </c>
      <c r="G101" s="88">
        <f>G17*'REC Spend projected'!$B$83</f>
        <v>912488.0350608296</v>
      </c>
      <c r="H101" s="88">
        <f>H17*'REC Spend projected'!$B$83</f>
        <v>821576.64335342171</v>
      </c>
      <c r="I101" s="88">
        <f>I17*'REC Spend projected'!$B$83</f>
        <v>1234721.4671297688</v>
      </c>
      <c r="J101" s="88">
        <f>J17*'REC Spend projected'!$B$83</f>
        <v>77042.209272833221</v>
      </c>
      <c r="K101" s="88">
        <f>K17*'REC Spend projected'!$B$83</f>
        <v>0</v>
      </c>
      <c r="L101" s="88">
        <f>L17*'REC Spend projected'!$B$83</f>
        <v>0</v>
      </c>
      <c r="M101" s="88">
        <f>M17*'REC Spend projected'!$B$83</f>
        <v>0</v>
      </c>
      <c r="N101" s="88">
        <f>N17*'REC Spend projected'!$B$83</f>
        <v>0</v>
      </c>
      <c r="O101" s="88"/>
      <c r="P101" s="88">
        <f>P17*'REC Spend projected'!$B$83</f>
        <v>336723.16667295474</v>
      </c>
      <c r="Q101" s="88">
        <f t="shared" si="27"/>
        <v>4227839.2491672905</v>
      </c>
      <c r="R101" s="88">
        <f>'REC Spend projected'!AC98</f>
        <v>-21376629.861480311</v>
      </c>
      <c r="S101" s="246">
        <f>'REC Spend projected'!AE98</f>
        <v>-25689202.997499663</v>
      </c>
      <c r="U101" s="204" t="s">
        <v>31</v>
      </c>
      <c r="V101" s="222">
        <f t="shared" si="28"/>
        <v>419314.59824863041</v>
      </c>
      <c r="W101" s="222">
        <f t="shared" si="29"/>
        <v>0</v>
      </c>
      <c r="X101" s="222">
        <f t="shared" si="30"/>
        <v>425973.12942885276</v>
      </c>
      <c r="Y101" s="222">
        <f t="shared" si="31"/>
        <v>3045828.3548168531</v>
      </c>
      <c r="Z101" s="222">
        <f t="shared" si="25"/>
        <v>336723.16667295474</v>
      </c>
      <c r="AA101" s="222">
        <f t="shared" si="26"/>
        <v>-21376629.861480311</v>
      </c>
    </row>
    <row r="102" spans="2:27" ht="15" thickBot="1" x14ac:dyDescent="0.4">
      <c r="B102" s="87" t="s">
        <v>32</v>
      </c>
      <c r="C102" s="88">
        <f>SUM('ABP Under Contract'!K106:P106)</f>
        <v>0</v>
      </c>
      <c r="D102" s="88">
        <f>'REC Spend projected'!H101+'REC Spend projected'!I101+'REC Spend projected'!J101+'REC Spend projected'!K101+'REC Spend projected'!L101</f>
        <v>345774.17749665596</v>
      </c>
      <c r="E102" s="88"/>
      <c r="F102" s="88">
        <f>F18*'REC Spend projected'!$B$83</f>
        <v>237917.07645317542</v>
      </c>
      <c r="G102" s="88">
        <f>G18*'REC Spend projected'!$B$83</f>
        <v>843350.42842087965</v>
      </c>
      <c r="H102" s="88">
        <f>H18*'REC Spend projected'!$B$83</f>
        <v>772850.94096990291</v>
      </c>
      <c r="I102" s="88">
        <f>I18*'REC Spend projected'!$B$83</f>
        <v>662365.70160734339</v>
      </c>
      <c r="J102" s="88">
        <f>J18*'REC Spend projected'!$B$83</f>
        <v>870519.23990231066</v>
      </c>
      <c r="K102" s="88">
        <f>K18*'REC Spend projected'!$B$83</f>
        <v>0</v>
      </c>
      <c r="L102" s="88">
        <f>L18*'REC Spend projected'!$B$83</f>
        <v>0</v>
      </c>
      <c r="M102" s="88">
        <f>M18*'REC Spend projected'!$B$83</f>
        <v>0</v>
      </c>
      <c r="N102" s="88">
        <f>N18*'REC Spend projected'!$B$83</f>
        <v>0</v>
      </c>
      <c r="O102" s="88"/>
      <c r="P102" s="88">
        <f>P18*'REC Spend projected'!$B$83</f>
        <v>337170.0219550255</v>
      </c>
      <c r="Q102" s="88">
        <f t="shared" si="27"/>
        <v>4069947.5868052933</v>
      </c>
      <c r="R102" s="88">
        <f>'REC Spend projected'!AC99</f>
        <v>-24286665.339192823</v>
      </c>
      <c r="S102" s="246">
        <f>'REC Spend projected'!AE99</f>
        <v>-28360147.17803809</v>
      </c>
      <c r="U102" s="204" t="s">
        <v>32</v>
      </c>
      <c r="V102" s="222">
        <f t="shared" si="28"/>
        <v>345774.17749665596</v>
      </c>
      <c r="W102" s="222">
        <f t="shared" si="29"/>
        <v>0</v>
      </c>
      <c r="X102" s="222">
        <f t="shared" si="30"/>
        <v>237917.07645317542</v>
      </c>
      <c r="Y102" s="222">
        <f t="shared" si="31"/>
        <v>3149086.3109004362</v>
      </c>
      <c r="Z102" s="222">
        <f t="shared" si="25"/>
        <v>337170.0219550255</v>
      </c>
      <c r="AA102" s="222">
        <f t="shared" si="26"/>
        <v>-24286665.339192823</v>
      </c>
    </row>
    <row r="103" spans="2:27" ht="15" thickBot="1" x14ac:dyDescent="0.4">
      <c r="B103" s="87" t="s">
        <v>33</v>
      </c>
      <c r="C103" s="88">
        <f>SUM('ABP Under Contract'!K107:P107)</f>
        <v>0</v>
      </c>
      <c r="D103" s="88">
        <f>'REC Spend projected'!H102+'REC Spend projected'!I102+'REC Spend projected'!J102+'REC Spend projected'!K102+'REC Spend projected'!L102</f>
        <v>289794.82368170813</v>
      </c>
      <c r="E103" s="88"/>
      <c r="F103" s="88">
        <f>F19*'REC Spend projected'!$B$83</f>
        <v>211282.95478112454</v>
      </c>
      <c r="G103" s="88">
        <f>G19*'REC Spend projected'!$B$83</f>
        <v>546388.2197910283</v>
      </c>
      <c r="H103" s="88">
        <f>H19*'REC Spend projected'!$B$83</f>
        <v>672823.02098738716</v>
      </c>
      <c r="I103" s="88">
        <f>I19*'REC Spend projected'!$B$83</f>
        <v>591245.13912367041</v>
      </c>
      <c r="J103" s="88">
        <f>J19*'REC Spend projected'!$B$83</f>
        <v>662782.58880182519</v>
      </c>
      <c r="K103" s="88">
        <f>K19*'REC Spend projected'!$B$83</f>
        <v>44842.852348410532</v>
      </c>
      <c r="L103" s="88">
        <f>L19*'REC Spend projected'!$B$83</f>
        <v>0</v>
      </c>
      <c r="M103" s="88">
        <f>M19*'REC Spend projected'!$B$83</f>
        <v>0</v>
      </c>
      <c r="N103" s="88">
        <f>N19*'REC Spend projected'!$B$83</f>
        <v>0</v>
      </c>
      <c r="O103" s="88"/>
      <c r="P103" s="88">
        <f>P19*'REC Spend projected'!$B$83</f>
        <v>337497.87606703106</v>
      </c>
      <c r="Q103" s="88">
        <f t="shared" si="27"/>
        <v>3356657.4755821852</v>
      </c>
      <c r="R103" s="88">
        <f>'REC Spend projected'!AC100</f>
        <v>-26956703.43188189</v>
      </c>
      <c r="S103" s="246">
        <f>'REC Spend projected'!AE100</f>
        <v>-30596766.968343824</v>
      </c>
      <c r="U103" s="204" t="s">
        <v>33</v>
      </c>
      <c r="V103" s="222">
        <f t="shared" si="28"/>
        <v>289794.82368170813</v>
      </c>
      <c r="W103" s="222">
        <f t="shared" si="29"/>
        <v>0</v>
      </c>
      <c r="X103" s="222">
        <f t="shared" si="30"/>
        <v>211282.95478112454</v>
      </c>
      <c r="Y103" s="222">
        <f t="shared" si="31"/>
        <v>2518081.8210523212</v>
      </c>
      <c r="Z103" s="222">
        <f t="shared" si="25"/>
        <v>337497.87606703106</v>
      </c>
      <c r="AA103" s="222">
        <f t="shared" si="26"/>
        <v>-26956703.43188189</v>
      </c>
    </row>
    <row r="104" spans="2:27" ht="15" thickBot="1" x14ac:dyDescent="0.4">
      <c r="B104" s="87" t="s">
        <v>34</v>
      </c>
      <c r="C104" s="88">
        <f>SUM('ABP Under Contract'!K108:P108)</f>
        <v>0</v>
      </c>
      <c r="D104" s="88">
        <f>'REC Spend projected'!H103+'REC Spend projected'!I103+'REC Spend projected'!J103+'REC Spend projected'!K103+'REC Spend projected'!L103</f>
        <v>259436.94002547668</v>
      </c>
      <c r="E104" s="88"/>
      <c r="F104" s="88">
        <f>F20*'REC Spend projected'!$B$83</f>
        <v>210226.54000721892</v>
      </c>
      <c r="G104" s="88">
        <f>G20*'REC Spend projected'!$B$83</f>
        <v>279439.32574482233</v>
      </c>
      <c r="H104" s="88">
        <f>H20*'REC Spend projected'!$B$83</f>
        <v>606557.75928665395</v>
      </c>
      <c r="I104" s="88">
        <f>I20*'REC Spend projected'!$B$83</f>
        <v>544825.26124313625</v>
      </c>
      <c r="J104" s="88">
        <f>J20*'REC Spend projected'!$B$83</f>
        <v>386344.82463647914</v>
      </c>
      <c r="K104" s="88">
        <f>K20*'REC Spend projected'!$B$83</f>
        <v>400531.68280430505</v>
      </c>
      <c r="L104" s="88">
        <f>L20*'REC Spend projected'!$B$83</f>
        <v>0</v>
      </c>
      <c r="M104" s="88">
        <f>M20*'REC Spend projected'!$B$83</f>
        <v>0</v>
      </c>
      <c r="N104" s="88">
        <f>N20*'REC Spend projected'!$B$83</f>
        <v>0</v>
      </c>
      <c r="O104" s="88"/>
      <c r="P104" s="88">
        <f>P20*'REC Spend projected'!$B$83</f>
        <v>337887.9901596065</v>
      </c>
      <c r="Q104" s="88">
        <f t="shared" si="27"/>
        <v>3025250.3239076985</v>
      </c>
      <c r="R104" s="88">
        <f>'REC Spend projected'!AC101</f>
        <v>-29192485.8201469</v>
      </c>
      <c r="S104" s="246">
        <f>'REC Spend projected'!AE101</f>
        <v>-32473972.096840449</v>
      </c>
      <c r="U104" s="204" t="s">
        <v>34</v>
      </c>
      <c r="V104" s="222">
        <f t="shared" si="28"/>
        <v>259436.94002547668</v>
      </c>
      <c r="W104" s="222">
        <f t="shared" si="29"/>
        <v>0</v>
      </c>
      <c r="X104" s="222">
        <f t="shared" si="30"/>
        <v>210226.54000721892</v>
      </c>
      <c r="Y104" s="222">
        <f t="shared" si="31"/>
        <v>2217698.8537153965</v>
      </c>
      <c r="Z104" s="222">
        <f t="shared" si="25"/>
        <v>337887.9901596065</v>
      </c>
      <c r="AA104" s="222">
        <f t="shared" si="26"/>
        <v>-29192485.8201469</v>
      </c>
    </row>
    <row r="105" spans="2:27" ht="15" thickBot="1" x14ac:dyDescent="0.4">
      <c r="B105" s="87" t="s">
        <v>35</v>
      </c>
      <c r="C105" s="88">
        <f>SUM('ABP Under Contract'!K109:P109)</f>
        <v>0</v>
      </c>
      <c r="D105" s="88">
        <f>'REC Spend projected'!H104+'REC Spend projected'!I104+'REC Spend projected'!J104+'REC Spend projected'!K104+'REC Spend projected'!L104</f>
        <v>231559.63920637054</v>
      </c>
      <c r="E105" s="88"/>
      <c r="F105" s="88">
        <f>F21*'REC Spend projected'!$B$83</f>
        <v>209175.40730718282</v>
      </c>
      <c r="G105" s="88">
        <f>G21*'REC Spend projected'!$B$83</f>
        <v>181164.02489168363</v>
      </c>
      <c r="H105" s="88">
        <f>H21*'REC Spend projected'!$B$83</f>
        <v>412336.90700159117</v>
      </c>
      <c r="I105" s="88">
        <f>I21*'REC Spend projected'!$B$83</f>
        <v>508099.12494719151</v>
      </c>
      <c r="J105" s="88">
        <f>J21*'REC Spend projected'!$B$83</f>
        <v>362324.75490966259</v>
      </c>
      <c r="K105" s="88">
        <f>K21*'REC Spend projected'!$B$83</f>
        <v>466061.61579612299</v>
      </c>
      <c r="L105" s="88">
        <f>L21*'REC Spend projected'!$B$83</f>
        <v>19124.168131999602</v>
      </c>
      <c r="M105" s="88">
        <f>M21*'REC Spend projected'!$B$83</f>
        <v>0</v>
      </c>
      <c r="N105" s="88">
        <f>N21*'REC Spend projected'!$B$83</f>
        <v>0</v>
      </c>
      <c r="O105" s="88"/>
      <c r="P105" s="88">
        <f>P21*'REC Spend projected'!$B$83</f>
        <v>338075.78969751421</v>
      </c>
      <c r="Q105" s="88">
        <f t="shared" si="27"/>
        <v>2727921.4318893193</v>
      </c>
      <c r="R105" s="88">
        <f>'REC Spend projected'!AC102</f>
        <v>-31068918.268508788</v>
      </c>
      <c r="S105" s="246">
        <f>'REC Spend projected'!AE102</f>
        <v>-34037743.671505593</v>
      </c>
      <c r="U105" s="204" t="s">
        <v>35</v>
      </c>
      <c r="V105" s="222">
        <f t="shared" si="28"/>
        <v>231559.63920637054</v>
      </c>
      <c r="W105" s="222">
        <f t="shared" si="29"/>
        <v>0</v>
      </c>
      <c r="X105" s="222">
        <f t="shared" si="30"/>
        <v>209175.40730718282</v>
      </c>
      <c r="Y105" s="222">
        <f t="shared" si="31"/>
        <v>1949110.5956782515</v>
      </c>
      <c r="Z105" s="222">
        <f t="shared" si="25"/>
        <v>338075.78969751421</v>
      </c>
      <c r="AA105" s="222">
        <f t="shared" si="26"/>
        <v>-31068918.268508788</v>
      </c>
    </row>
    <row r="106" spans="2:27" ht="15" thickBot="1" x14ac:dyDescent="0.4">
      <c r="B106" s="87" t="s">
        <v>36</v>
      </c>
      <c r="C106" s="88">
        <f>SUM('ABP Under Contract'!K110:P110)</f>
        <v>0</v>
      </c>
      <c r="D106" s="88">
        <f>'REC Spend projected'!H105+'REC Spend projected'!I105+'REC Spend projected'!J105+'REC Spend projected'!K105+'REC Spend projected'!L105</f>
        <v>195933.36477820767</v>
      </c>
      <c r="E106" s="88"/>
      <c r="F106" s="88">
        <f>F22*'REC Spend projected'!$B$83</f>
        <v>208129.53027064691</v>
      </c>
      <c r="G106" s="88">
        <f>G22*'REC Spend projected'!$B$83</f>
        <v>103115.63329828549</v>
      </c>
      <c r="H106" s="88">
        <f>H22*'REC Spend projected'!$B$83</f>
        <v>198917.61239267327</v>
      </c>
      <c r="I106" s="88">
        <f>I22*'REC Spend projected'!$B$83</f>
        <v>469806.63641768158</v>
      </c>
      <c r="J106" s="88">
        <f>J22*'REC Spend projected'!$B$83</f>
        <v>337865.26144594303</v>
      </c>
      <c r="K106" s="88">
        <f>K22*'REC Spend projected'!$B$83</f>
        <v>213181.01797633382</v>
      </c>
      <c r="L106" s="88">
        <f>L22*'REC Spend projected'!$B$83</f>
        <v>327513.45241412934</v>
      </c>
      <c r="M106" s="88">
        <f>M22*'REC Spend projected'!$B$83</f>
        <v>0</v>
      </c>
      <c r="N106" s="88">
        <f>N22*'REC Spend projected'!$B$83</f>
        <v>0</v>
      </c>
      <c r="O106" s="88"/>
      <c r="P106" s="88">
        <f>P22*'REC Spend projected'!$B$83</f>
        <v>338491.3946067561</v>
      </c>
      <c r="Q106" s="88">
        <f t="shared" si="27"/>
        <v>2392953.9036006574</v>
      </c>
      <c r="R106" s="88">
        <f>'REC Spend projected'!AC103</f>
        <v>-32631980.008089215</v>
      </c>
      <c r="S106" s="246">
        <f>'REC Spend projected'!AE103</f>
        <v>-35283989.388108507</v>
      </c>
      <c r="U106" s="204" t="s">
        <v>36</v>
      </c>
      <c r="V106" s="222">
        <f t="shared" si="28"/>
        <v>195933.36477820767</v>
      </c>
      <c r="W106" s="222">
        <f t="shared" si="29"/>
        <v>0</v>
      </c>
      <c r="X106" s="222">
        <f t="shared" si="30"/>
        <v>208129.53027064691</v>
      </c>
      <c r="Y106" s="222">
        <f t="shared" si="31"/>
        <v>1650399.6139450467</v>
      </c>
      <c r="Z106" s="222">
        <f t="shared" si="25"/>
        <v>338491.3946067561</v>
      </c>
      <c r="AA106" s="222">
        <f t="shared" si="26"/>
        <v>-32631980.008089215</v>
      </c>
    </row>
    <row r="107" spans="2:27" ht="15" thickBot="1" x14ac:dyDescent="0.4">
      <c r="B107" s="87" t="s">
        <v>37</v>
      </c>
      <c r="C107" s="88">
        <f>SUM('ABP Under Contract'!K111:P111)</f>
        <v>0</v>
      </c>
      <c r="D107" s="88">
        <f>'REC Spend projected'!H106+'REC Spend projected'!I106+'REC Spend projected'!J106+'REC Spend projected'!K106+'REC Spend projected'!L106</f>
        <v>166776.47914216653</v>
      </c>
      <c r="E107" s="88"/>
      <c r="F107" s="88">
        <f>F23*'REC Spend projected'!$B$83</f>
        <v>207088.88261929364</v>
      </c>
      <c r="G107" s="88">
        <f>G23*'REC Spend projected'!$B$83</f>
        <v>38201.717622636097</v>
      </c>
      <c r="H107" s="88">
        <f>H23*'REC Spend projected'!$B$83</f>
        <v>131776.28793551671</v>
      </c>
      <c r="I107" s="88">
        <f>I23*'REC Spend projected'!$B$83</f>
        <v>307164.36129807547</v>
      </c>
      <c r="J107" s="88">
        <f>J23*'REC Spend projected'!$B$83</f>
        <v>317490.66346061911</v>
      </c>
      <c r="K107" s="88">
        <f>K23*'REC Spend projected'!$B$83</f>
        <v>192443.37145352326</v>
      </c>
      <c r="L107" s="88">
        <f>L23*'REC Spend projected'!$B$83</f>
        <v>389125.76333344344</v>
      </c>
      <c r="M107" s="88">
        <f>M23*'REC Spend projected'!$B$83</f>
        <v>-2625.5463778446624</v>
      </c>
      <c r="N107" s="88">
        <f>N23*'REC Spend projected'!$B$83</f>
        <v>0</v>
      </c>
      <c r="O107" s="88"/>
      <c r="P107" s="88">
        <f>P23*'REC Spend projected'!$B$83</f>
        <v>338829.10738786613</v>
      </c>
      <c r="Q107" s="88">
        <f t="shared" si="27"/>
        <v>2086271.0878752957</v>
      </c>
      <c r="R107" s="88">
        <f>'REC Spend projected'!AC104</f>
        <v>-33877576.118724383</v>
      </c>
      <c r="S107" s="246">
        <f>'REC Spend projected'!AE104</f>
        <v>-36235242.85624887</v>
      </c>
      <c r="U107" s="204" t="s">
        <v>37</v>
      </c>
      <c r="V107" s="222">
        <f t="shared" si="28"/>
        <v>166776.47914216653</v>
      </c>
      <c r="W107" s="222">
        <f t="shared" si="29"/>
        <v>0</v>
      </c>
      <c r="X107" s="222">
        <f t="shared" si="30"/>
        <v>207088.88261929364</v>
      </c>
      <c r="Y107" s="222">
        <f t="shared" si="31"/>
        <v>1373576.6187259695</v>
      </c>
      <c r="Z107" s="222">
        <f t="shared" si="25"/>
        <v>338829.10738786613</v>
      </c>
      <c r="AA107" s="222">
        <f t="shared" si="26"/>
        <v>-33877576.118724383</v>
      </c>
    </row>
    <row r="108" spans="2:27" ht="15" thickBot="1" x14ac:dyDescent="0.4">
      <c r="B108" s="87" t="s">
        <v>38</v>
      </c>
      <c r="C108" s="88">
        <f>SUM('ABP Under Contract'!K112:P112)</f>
        <v>0</v>
      </c>
      <c r="D108" s="88">
        <f>'REC Spend projected'!H107+'REC Spend projected'!I107+'REC Spend projected'!J107+'REC Spend projected'!K107+'REC Spend projected'!L107</f>
        <v>-261257.31366756459</v>
      </c>
      <c r="E108" s="88"/>
      <c r="F108" s="88">
        <f>F24*'REC Spend projected'!$B$83</f>
        <v>206053.4382061972</v>
      </c>
      <c r="G108" s="88">
        <f>G24*'REC Spend projected'!$B$83</f>
        <v>-21629.243565681809</v>
      </c>
      <c r="H108" s="88">
        <f>H24*'REC Spend projected'!$B$83</f>
        <v>89936.847595726533</v>
      </c>
      <c r="I108" s="88">
        <f>I24*'REC Spend projected'!$B$83</f>
        <v>131397.16201134879</v>
      </c>
      <c r="J108" s="88">
        <f>J24*'REC Spend projected'!$B$83</f>
        <v>298716.63211995456</v>
      </c>
      <c r="K108" s="88">
        <f>K24*'REC Spend projected'!$B$83</f>
        <v>173812.72003159439</v>
      </c>
      <c r="L108" s="88">
        <f>L24*'REC Spend projected'!$B$83</f>
        <v>159814.9041064984</v>
      </c>
      <c r="M108" s="88">
        <f>M24*'REC Spend projected'!$B$83</f>
        <v>265061.62985182652</v>
      </c>
      <c r="N108" s="88">
        <f>N24*'REC Spend projected'!$B$83</f>
        <v>0</v>
      </c>
      <c r="O108" s="88"/>
      <c r="P108" s="88">
        <f>P24*'REC Spend projected'!$B$83</f>
        <v>339232.37809891597</v>
      </c>
      <c r="Q108" s="88">
        <f t="shared" si="27"/>
        <v>1381139.1547888159</v>
      </c>
      <c r="R108" s="88">
        <f>'REC Spend projected'!AC105</f>
        <v>-34828237.44573383</v>
      </c>
      <c r="S108" s="246">
        <f>'REC Spend projected'!AE105</f>
        <v>-36941222.276800923</v>
      </c>
      <c r="U108" s="204" t="s">
        <v>38</v>
      </c>
      <c r="V108" s="222">
        <f t="shared" si="28"/>
        <v>-261257.31366756459</v>
      </c>
      <c r="W108" s="222">
        <f t="shared" si="29"/>
        <v>0</v>
      </c>
      <c r="X108" s="222">
        <f t="shared" si="30"/>
        <v>206053.4382061972</v>
      </c>
      <c r="Y108" s="222">
        <f t="shared" si="31"/>
        <v>1097110.6521512673</v>
      </c>
      <c r="Z108" s="222">
        <f t="shared" si="25"/>
        <v>339232.37809891597</v>
      </c>
      <c r="AA108" s="222">
        <f t="shared" si="26"/>
        <v>-34828237.44573383</v>
      </c>
    </row>
    <row r="109" spans="2:27" ht="15" thickBot="1" x14ac:dyDescent="0.4">
      <c r="B109" s="87" t="s">
        <v>39</v>
      </c>
      <c r="C109" s="88">
        <f>SUM('ABP Under Contract'!K113:P113)</f>
        <v>0</v>
      </c>
      <c r="D109" s="88">
        <f>'REC Spend projected'!H108+'REC Spend projected'!I108+'REC Spend projected'!J108+'REC Spend projected'!K108+'REC Spend projected'!L108</f>
        <v>0</v>
      </c>
      <c r="E109" s="88"/>
      <c r="F109" s="88">
        <f>F25*'REC Spend projected'!$B$83</f>
        <v>205023.17101516618</v>
      </c>
      <c r="G109" s="88">
        <f>G25*'REC Spend projected'!$B$83</f>
        <v>-98725.527944713845</v>
      </c>
      <c r="H109" s="88">
        <f>H25*'REC Spend projected'!$B$83</f>
        <v>36197.011983676755</v>
      </c>
      <c r="I109" s="88">
        <f>I25*'REC Spend projected'!$B$83</f>
        <v>73688.345967604575</v>
      </c>
      <c r="J109" s="88">
        <f>J25*'REC Spend projected'!$B$83</f>
        <v>154186.93450241661</v>
      </c>
      <c r="K109" s="88">
        <f>K25*'REC Spend projected'!$B$83</f>
        <v>91129.999360729576</v>
      </c>
      <c r="L109" s="88">
        <f>L25*'REC Spend projected'!$B$83</f>
        <v>135359.28037241544</v>
      </c>
      <c r="M109" s="88">
        <f>M25*'REC Spend projected'!$B$83</f>
        <v>316476.37192763045</v>
      </c>
      <c r="N109" s="88">
        <f>N25*'REC Spend projected'!$B$83</f>
        <v>-23545.651855903656</v>
      </c>
      <c r="O109" s="88"/>
      <c r="P109" s="88">
        <f>P25*'REC Spend projected'!$B$83</f>
        <v>339509.94251387176</v>
      </c>
      <c r="Q109" s="88">
        <f t="shared" ref="Q109:Q110" si="32">SUM(C109:P109)</f>
        <v>1229299.8778428938</v>
      </c>
      <c r="R109" s="88">
        <f>'REC Spend projected'!AC106</f>
        <v>-35533679.522148795</v>
      </c>
      <c r="S109" s="246">
        <f>'REC Spend projected'!AE106</f>
        <v>-37025791.242924742</v>
      </c>
      <c r="U109" s="204" t="s">
        <v>39</v>
      </c>
      <c r="V109" s="222">
        <f t="shared" si="28"/>
        <v>0</v>
      </c>
      <c r="W109" s="222">
        <f t="shared" si="29"/>
        <v>0</v>
      </c>
      <c r="X109" s="222">
        <f t="shared" si="30"/>
        <v>205023.17101516618</v>
      </c>
      <c r="Y109" s="222">
        <f t="shared" si="31"/>
        <v>684766.76431385591</v>
      </c>
      <c r="Z109" s="222">
        <f t="shared" si="25"/>
        <v>339509.94251387176</v>
      </c>
      <c r="AA109" s="222">
        <f t="shared" si="26"/>
        <v>-35533679.522148795</v>
      </c>
    </row>
    <row r="110" spans="2:27" ht="15" thickBot="1" x14ac:dyDescent="0.4">
      <c r="B110" s="87" t="s">
        <v>40</v>
      </c>
      <c r="C110" s="88">
        <f>SUM('ABP Under Contract'!K114:P114)</f>
        <v>0</v>
      </c>
      <c r="D110" s="88">
        <f>'REC Spend projected'!H109+'REC Spend projected'!I109+'REC Spend projected'!J109+'REC Spend projected'!K109+'REC Spend projected'!L109</f>
        <v>0</v>
      </c>
      <c r="E110" s="88"/>
      <c r="F110" s="88">
        <f>F26*'REC Spend projected'!$B$83</f>
        <v>203998.05516009039</v>
      </c>
      <c r="G110" s="88">
        <f>G26*'REC Spend projected'!$B$83</f>
        <v>-162020.43172033012</v>
      </c>
      <c r="H110" s="88">
        <f>H26*'REC Spend projected'!$B$83</f>
        <v>-7921.5649675536924</v>
      </c>
      <c r="I110" s="88">
        <f>I26*'REC Spend projected'!$B$83</f>
        <v>42700.841608045419</v>
      </c>
      <c r="J110" s="88">
        <f>J26*'REC Spend projected'!$B$83</f>
        <v>57375.124353935178</v>
      </c>
      <c r="K110" s="88">
        <f>K26*'REC Spend projected'!$B$83</f>
        <v>130278.1527866528</v>
      </c>
      <c r="L110" s="88">
        <f>L26*'REC Spend projected'!$B$83</f>
        <v>115678.5684760093</v>
      </c>
      <c r="M110" s="88">
        <f>M26*'REC Spend projected'!$B$83</f>
        <v>102622.08620582618</v>
      </c>
      <c r="N110" s="88">
        <f>N26*'REC Spend projected'!$B$83</f>
        <v>465453.25287731539</v>
      </c>
      <c r="O110" s="88"/>
      <c r="P110" s="88">
        <f>P26*'REC Spend projected'!$B$83</f>
        <v>339792.66638838733</v>
      </c>
      <c r="Q110" s="88">
        <f t="shared" si="32"/>
        <v>1287956.7511683782</v>
      </c>
      <c r="R110" s="88">
        <f>'REC Spend projected'!AC107</f>
        <v>-35617765.442464255</v>
      </c>
      <c r="S110" s="246">
        <f>'REC Spend projected'!AE107</f>
        <v>-36422437.083582088</v>
      </c>
      <c r="U110" s="204" t="s">
        <v>40</v>
      </c>
      <c r="V110" s="222">
        <f t="shared" si="28"/>
        <v>0</v>
      </c>
      <c r="W110" s="222">
        <f t="shared" si="29"/>
        <v>0</v>
      </c>
      <c r="X110" s="222">
        <f t="shared" si="30"/>
        <v>203998.05516009039</v>
      </c>
      <c r="Y110" s="222">
        <f t="shared" si="31"/>
        <v>744166.02961990051</v>
      </c>
      <c r="Z110" s="222">
        <f t="shared" si="25"/>
        <v>339792.66638838733</v>
      </c>
      <c r="AA110" s="222">
        <f t="shared" si="26"/>
        <v>-35617765.442464255</v>
      </c>
    </row>
    <row r="120" spans="2:15" ht="44" thickBot="1" x14ac:dyDescent="0.4">
      <c r="B120" s="92" t="s">
        <v>243</v>
      </c>
    </row>
    <row r="121" spans="2:15" ht="15" thickBot="1" x14ac:dyDescent="0.4">
      <c r="B121" s="317" t="s">
        <v>244</v>
      </c>
      <c r="C121" s="318"/>
      <c r="D121" s="318"/>
      <c r="E121" s="319"/>
      <c r="F121" s="320" t="s">
        <v>242</v>
      </c>
      <c r="G121" s="318"/>
      <c r="H121" s="321" t="s">
        <v>245</v>
      </c>
      <c r="I121" s="322"/>
      <c r="J121" s="81"/>
      <c r="K121" s="241"/>
      <c r="L121" s="241"/>
      <c r="M121" s="241"/>
      <c r="N121" s="241"/>
    </row>
    <row r="122" spans="2:15" ht="32" thickBot="1" x14ac:dyDescent="0.4">
      <c r="B122" s="82" t="s">
        <v>1</v>
      </c>
      <c r="C122" s="83" t="s">
        <v>246</v>
      </c>
      <c r="D122" s="83" t="s">
        <v>247</v>
      </c>
      <c r="E122" s="84" t="s">
        <v>248</v>
      </c>
      <c r="F122" s="84" t="s">
        <v>249</v>
      </c>
      <c r="G122" s="84" t="s">
        <v>250</v>
      </c>
      <c r="H122" s="83" t="s">
        <v>251</v>
      </c>
      <c r="I122" s="83" t="s">
        <v>252</v>
      </c>
      <c r="J122" s="83" t="s">
        <v>253</v>
      </c>
      <c r="K122" s="83" t="s">
        <v>235</v>
      </c>
      <c r="L122" s="83" t="s">
        <v>236</v>
      </c>
      <c r="M122" s="233" t="s">
        <v>254</v>
      </c>
      <c r="N122" s="85" t="s">
        <v>228</v>
      </c>
    </row>
    <row r="123" spans="2:15" ht="15" thickBot="1" x14ac:dyDescent="0.4">
      <c r="B123" s="87" t="s">
        <v>17</v>
      </c>
      <c r="C123" s="89">
        <f>'REC Spend projected'!H4</f>
        <v>30848359.600711424</v>
      </c>
      <c r="D123" s="88">
        <f>'REC Spend projected'!B4+'REC Spend projected'!C4+'REC Spend projected'!D4</f>
        <v>216567147.48600045</v>
      </c>
      <c r="E123" s="88">
        <f>'REC Spend projected'!I4</f>
        <v>5397290.4699999997</v>
      </c>
      <c r="F123" s="88">
        <f>'REC Spend projected'!E4+'REC Spend projected'!F4+'REC Spend projected'!G4</f>
        <v>0</v>
      </c>
      <c r="G123" s="88">
        <f>'REC Spend projected'!J4+'REC Spend projected'!K4+'REC Spend projected'!L4</f>
        <v>0</v>
      </c>
      <c r="H123" s="88">
        <f>'REC Spend projected'!Q4+'REC Spend projected'!R4+'REC Spend projected'!S4+'REC Spend projected'!T4+'REC Spend projected'!U4+'REC Spend projected'!V4</f>
        <v>0</v>
      </c>
      <c r="I123" s="88">
        <f>'REC Spend projected'!W4+'REC Spend projected'!X4+'REC Spend projected'!Y4</f>
        <v>0</v>
      </c>
      <c r="J123" s="88">
        <f>'REC Spend projected'!M4+'REC Spend projected'!N4+'REC Spend projected'!O4</f>
        <v>18018880.058405567</v>
      </c>
      <c r="K123" s="88">
        <f t="shared" ref="K123:K145" si="33">SUM(C123:J123)</f>
        <v>270831677.61511743</v>
      </c>
      <c r="L123" s="88">
        <f>'REC Spend projected'!AC4</f>
        <v>519026555.7110191</v>
      </c>
      <c r="M123" s="88">
        <f>'REC Spend projected'!AD4</f>
        <v>270831677.61511743</v>
      </c>
      <c r="N123" s="88">
        <f>'REC Spend projected'!AE4</f>
        <v>248194878.09590167</v>
      </c>
      <c r="O123" s="91"/>
    </row>
    <row r="124" spans="2:15" ht="15" thickBot="1" x14ac:dyDescent="0.4">
      <c r="B124" s="87" t="s">
        <v>18</v>
      </c>
      <c r="C124" s="89">
        <f>'REC Spend projected'!H5</f>
        <v>24142255.383493654</v>
      </c>
      <c r="D124" s="88">
        <f>'REC Spend projected'!B5+'REC Spend projected'!C5+'REC Spend projected'!D5</f>
        <v>206866678.69800001</v>
      </c>
      <c r="E124" s="88">
        <f>'REC Spend projected'!I5</f>
        <v>19260591.157020841</v>
      </c>
      <c r="F124" s="88">
        <f>'REC Spend projected'!E5+'REC Spend projected'!F5+'REC Spend projected'!G5</f>
        <v>0</v>
      </c>
      <c r="G124" s="88">
        <f>'REC Spend projected'!J5+'REC Spend projected'!K5+'REC Spend projected'!L5</f>
        <v>0</v>
      </c>
      <c r="H124" s="88">
        <f>'REC Spend projected'!Q5+'REC Spend projected'!R5+'REC Spend projected'!S5+'REC Spend projected'!T5+'REC Spend projected'!U5+'REC Spend projected'!V5</f>
        <v>0</v>
      </c>
      <c r="I124" s="88">
        <f>'REC Spend projected'!W5+'REC Spend projected'!X5+'REC Spend projected'!Y5</f>
        <v>0</v>
      </c>
      <c r="J124" s="88">
        <f>'REC Spend projected'!M5+'REC Spend projected'!N5+'REC Spend projected'!O5</f>
        <v>73942135.092404008</v>
      </c>
      <c r="K124" s="88">
        <f t="shared" si="33"/>
        <v>324211660.33091855</v>
      </c>
      <c r="L124" s="88">
        <f>'REC Spend projected'!AC5</f>
        <v>712932714.5093689</v>
      </c>
      <c r="M124" s="88">
        <f>'REC Spend projected'!AD5</f>
        <v>324211660.33091855</v>
      </c>
      <c r="N124" s="88">
        <f>'REC Spend projected'!AE5</f>
        <v>388721054.17845035</v>
      </c>
      <c r="O124" s="91"/>
    </row>
    <row r="125" spans="2:15" ht="15" thickBot="1" x14ac:dyDescent="0.4">
      <c r="B125" s="87" t="s">
        <v>19</v>
      </c>
      <c r="C125" s="89">
        <f>'REC Spend projected'!H6</f>
        <v>22062344.595163539</v>
      </c>
      <c r="D125" s="88">
        <f>'REC Spend projected'!B6+'REC Spend projected'!C6+'REC Spend projected'!D6</f>
        <v>256276878.40999979</v>
      </c>
      <c r="E125" s="88">
        <f>'REC Spend projected'!I6</f>
        <v>22975411.212579787</v>
      </c>
      <c r="F125" s="88">
        <f>'REC Spend projected'!E6+'REC Spend projected'!F6+'REC Spend projected'!G6</f>
        <v>0</v>
      </c>
      <c r="G125" s="88">
        <f>'REC Spend projected'!J6+'REC Spend projected'!K6+'REC Spend projected'!L6</f>
        <v>0</v>
      </c>
      <c r="H125" s="88">
        <f>'REC Spend projected'!Q6+'REC Spend projected'!R6+'REC Spend projected'!S6+'REC Spend projected'!T6+'REC Spend projected'!U6+'REC Spend projected'!V6</f>
        <v>0</v>
      </c>
      <c r="I125" s="88">
        <f>'REC Spend projected'!W6+'REC Spend projected'!X6+'REC Spend projected'!Y6</f>
        <v>0</v>
      </c>
      <c r="J125" s="88">
        <f>'REC Spend projected'!M6+'REC Spend projected'!N6+'REC Spend projected'!O6</f>
        <v>67623889.800951704</v>
      </c>
      <c r="K125" s="88">
        <f t="shared" si="33"/>
        <v>368938524.01869482</v>
      </c>
      <c r="L125" s="88">
        <f>'REC Spend projected'!AC6</f>
        <v>976184047.54350734</v>
      </c>
      <c r="M125" s="88">
        <f>'REC Spend projected'!AD6</f>
        <v>368938524.01869482</v>
      </c>
      <c r="N125" s="88">
        <f>'REC Spend projected'!AE6</f>
        <v>607245523.52481246</v>
      </c>
      <c r="O125" s="91"/>
    </row>
    <row r="126" spans="2:15" ht="15" thickBot="1" x14ac:dyDescent="0.4">
      <c r="B126" s="87" t="s">
        <v>20</v>
      </c>
      <c r="C126" s="89">
        <f>'REC Spend projected'!H7</f>
        <v>17721007.415898785</v>
      </c>
      <c r="D126" s="88">
        <f>'REC Spend projected'!B7+'REC Spend projected'!C7+'REC Spend projected'!D7</f>
        <v>472372282.49383223</v>
      </c>
      <c r="E126" s="88">
        <f>'REC Spend projected'!I7</f>
        <v>22594914.147020839</v>
      </c>
      <c r="F126" s="88">
        <f>'REC Spend projected'!E7+'REC Spend projected'!F7+'REC Spend projected'!G7</f>
        <v>0</v>
      </c>
      <c r="G126" s="88">
        <f>'REC Spend projected'!J7+'REC Spend projected'!K7+'REC Spend projected'!L7</f>
        <v>0</v>
      </c>
      <c r="H126" s="88">
        <f>'REC Spend projected'!Q7+'REC Spend projected'!R7+'REC Spend projected'!S7+'REC Spend projected'!T7+'REC Spend projected'!U7+'REC Spend projected'!V7</f>
        <v>0</v>
      </c>
      <c r="I126" s="88">
        <f>'REC Spend projected'!W7+'REC Spend projected'!X7+'REC Spend projected'!Y7</f>
        <v>0</v>
      </c>
      <c r="J126" s="88">
        <f>'REC Spend projected'!M7+'REC Spend projected'!N7+'REC Spend projected'!O7</f>
        <v>67322647.088471591</v>
      </c>
      <c r="K126" s="88">
        <f t="shared" si="33"/>
        <v>580010851.14522338</v>
      </c>
      <c r="L126" s="88">
        <f>'REC Spend projected'!AC7</f>
        <v>1184667093.140532</v>
      </c>
      <c r="M126" s="88">
        <f>'REC Spend projected'!AD7</f>
        <v>580010851.14522338</v>
      </c>
      <c r="N126" s="88">
        <f>'REC Spend projected'!AE7</f>
        <v>604656241.99530864</v>
      </c>
      <c r="O126" s="91"/>
    </row>
    <row r="127" spans="2:15" ht="15" thickBot="1" x14ac:dyDescent="0.4">
      <c r="B127" s="87" t="s">
        <v>22</v>
      </c>
      <c r="C127" s="89">
        <f>'REC Spend projected'!H8</f>
        <v>17421541.685608782</v>
      </c>
      <c r="D127" s="88">
        <f>'REC Spend projected'!B8+'REC Spend projected'!C8+'REC Spend projected'!D8</f>
        <v>328121692.26758337</v>
      </c>
      <c r="E127" s="88">
        <f>'REC Spend projected'!I8</f>
        <v>22594914.147020839</v>
      </c>
      <c r="F127" s="88">
        <f>'REC Spend projected'!E8+'REC Spend projected'!F8+'REC Spend projected'!G8</f>
        <v>987482.15700000001</v>
      </c>
      <c r="G127" s="88">
        <f>'REC Spend projected'!J8+'REC Spend projected'!K8+'REC Spend projected'!L8</f>
        <v>38609188.695248008</v>
      </c>
      <c r="H127" s="88">
        <f>'REC Spend projected'!Q8+'REC Spend projected'!R8+'REC Spend projected'!S8+'REC Spend projected'!T8+'REC Spend projected'!U8+'REC Spend projected'!V8</f>
        <v>224697614.94838709</v>
      </c>
      <c r="I127" s="88">
        <f>'REC Spend projected'!W8+'REC Spend projected'!X8+'REC Spend projected'!Y8</f>
        <v>0</v>
      </c>
      <c r="J127" s="88">
        <f>'REC Spend projected'!M8+'REC Spend projected'!N8+'REC Spend projected'!O8</f>
        <v>77208829.557390258</v>
      </c>
      <c r="K127" s="88">
        <f t="shared" si="33"/>
        <v>709641263.45823836</v>
      </c>
      <c r="L127" s="88">
        <f>'REC Spend projected'!AC8</f>
        <v>1178283893.9083171</v>
      </c>
      <c r="M127" s="88">
        <f>'REC Spend projected'!AD8</f>
        <v>709641263.45823836</v>
      </c>
      <c r="N127" s="88">
        <f>'REC Spend projected'!AE8</f>
        <v>468642630.45007873</v>
      </c>
      <c r="O127" s="91"/>
    </row>
    <row r="128" spans="2:15" ht="15" thickBot="1" x14ac:dyDescent="0.4">
      <c r="B128" s="87" t="s">
        <v>23</v>
      </c>
      <c r="C128" s="89">
        <f>'REC Spend projected'!H9</f>
        <v>11401431.694168944</v>
      </c>
      <c r="D128" s="88">
        <f>'REC Spend projected'!B9+'REC Spend projected'!C9+'REC Spend projected'!D9</f>
        <v>208110644.0899168</v>
      </c>
      <c r="E128" s="88">
        <f>'REC Spend projected'!I9</f>
        <v>22594914.147020839</v>
      </c>
      <c r="F128" s="88">
        <f>'REC Spend projected'!E9+'REC Spend projected'!F9+'REC Spend projected'!G9</f>
        <v>23788862.848333336</v>
      </c>
      <c r="G128" s="88">
        <f>'REC Spend projected'!J9+'REC Spend projected'!K9+'REC Spend projected'!L9</f>
        <v>88481865.405167893</v>
      </c>
      <c r="H128" s="88">
        <f>'REC Spend projected'!Q9+'REC Spend projected'!R9+'REC Spend projected'!S9+'REC Spend projected'!T9+'REC Spend projected'!U9+'REC Spend projected'!V9</f>
        <v>277839059.04968148</v>
      </c>
      <c r="I128" s="88">
        <f>'REC Spend projected'!W9+'REC Spend projected'!X9+'REC Spend projected'!Y9</f>
        <v>2756889.4830357139</v>
      </c>
      <c r="J128" s="88">
        <f>'REC Spend projected'!M9+'REC Spend projected'!N9+'REC Spend projected'!O9</f>
        <v>66997493.390597343</v>
      </c>
      <c r="K128" s="88">
        <f t="shared" si="33"/>
        <v>701971160.10792232</v>
      </c>
      <c r="L128" s="88">
        <f>'REC Spend projected'!AC9</f>
        <v>1035225743.46999</v>
      </c>
      <c r="M128" s="88">
        <f>'REC Spend projected'!AD9</f>
        <v>701971160.10792232</v>
      </c>
      <c r="N128" s="88">
        <f>'REC Spend projected'!AE9</f>
        <v>333254583.3620677</v>
      </c>
      <c r="O128" s="91"/>
    </row>
    <row r="129" spans="2:15" ht="15" thickBot="1" x14ac:dyDescent="0.4">
      <c r="B129" s="87" t="s">
        <v>24</v>
      </c>
      <c r="C129" s="89">
        <f>'REC Spend projected'!H10</f>
        <v>8215431.7104763286</v>
      </c>
      <c r="D129" s="88">
        <f>'REC Spend projected'!B10+'REC Spend projected'!C10+'REC Spend projected'!D10</f>
        <v>141252177.71866673</v>
      </c>
      <c r="E129" s="88">
        <f>'REC Spend projected'!I10</f>
        <v>22594914.147020839</v>
      </c>
      <c r="F129" s="88">
        <f>'REC Spend projected'!E10+'REC Spend projected'!F10+'REC Spend projected'!G10</f>
        <v>22572185.679749995</v>
      </c>
      <c r="G129" s="88">
        <f>'REC Spend projected'!J10+'REC Spend projected'!K10+'REC Spend projected'!L10</f>
        <v>100137551.41634217</v>
      </c>
      <c r="H129" s="88">
        <f>'REC Spend projected'!Q10+'REC Spend projected'!R10+'REC Spend projected'!S10+'REC Spend projected'!T10+'REC Spend projected'!U10+'REC Spend projected'!V10</f>
        <v>328427398.66344643</v>
      </c>
      <c r="I129" s="88">
        <f>'REC Spend projected'!W10+'REC Spend projected'!X10+'REC Spend projected'!Y10</f>
        <v>2532767.1483214283</v>
      </c>
      <c r="J129" s="88">
        <f>'REC Spend projected'!M10+'REC Spend projected'!N10+'REC Spend projected'!O10</f>
        <v>66888811.399599314</v>
      </c>
      <c r="K129" s="88">
        <f t="shared" si="33"/>
        <v>692621237.88362324</v>
      </c>
      <c r="L129" s="88">
        <f>'REC Spend projected'!AC10</f>
        <v>896214963.34871161</v>
      </c>
      <c r="M129" s="88">
        <f>'REC Spend projected'!AD10</f>
        <v>692621237.88362324</v>
      </c>
      <c r="N129" s="88">
        <f>'REC Spend projected'!AE10</f>
        <v>203593725.46508837</v>
      </c>
      <c r="O129" s="91"/>
    </row>
    <row r="130" spans="2:15" ht="15" thickBot="1" x14ac:dyDescent="0.4">
      <c r="B130" s="87" t="s">
        <v>25</v>
      </c>
      <c r="C130" s="89">
        <f>'REC Spend projected'!H11</f>
        <v>4480482.7749063233</v>
      </c>
      <c r="D130" s="88">
        <f>'REC Spend projected'!B11+'REC Spend projected'!C11+'REC Spend projected'!D11</f>
        <v>118361262.50666675</v>
      </c>
      <c r="E130" s="88">
        <f>'REC Spend projected'!I11</f>
        <v>22594914.147020839</v>
      </c>
      <c r="F130" s="88">
        <f>'REC Spend projected'!E11+'REC Spend projected'!F11+'REC Spend projected'!G11</f>
        <v>22566431.409749996</v>
      </c>
      <c r="G130" s="88">
        <f>'REC Spend projected'!J11+'REC Spend projected'!K11+'REC Spend projected'!L11</f>
        <v>92870779.228916183</v>
      </c>
      <c r="H130" s="88">
        <f>'REC Spend projected'!Q11+'REC Spend projected'!R11+'REC Spend projected'!S11+'REC Spend projected'!T11+'REC Spend projected'!U11+'REC Spend projected'!V11</f>
        <v>376878459.73981261</v>
      </c>
      <c r="I130" s="88">
        <f>'REC Spend projected'!W11+'REC Spend projected'!X11+'REC Spend projected'!Y11</f>
        <v>19167647.20133194</v>
      </c>
      <c r="J130" s="88">
        <f>'REC Spend projected'!M11+'REC Spend projected'!N11+'REC Spend projected'!O11</f>
        <v>76862404.659270331</v>
      </c>
      <c r="K130" s="88">
        <f t="shared" si="33"/>
        <v>733782381.6676749</v>
      </c>
      <c r="L130" s="88">
        <f>'REC Spend projected'!AC11</f>
        <v>765673880.77409935</v>
      </c>
      <c r="M130" s="88">
        <f>'REC Spend projected'!AD11</f>
        <v>733782381.66767502</v>
      </c>
      <c r="N130" s="88">
        <f>'REC Spend projected'!AE11</f>
        <v>31891499.106424332</v>
      </c>
      <c r="O130" s="91"/>
    </row>
    <row r="131" spans="2:15" ht="15" thickBot="1" x14ac:dyDescent="0.4">
      <c r="B131" s="90" t="s">
        <v>26</v>
      </c>
      <c r="C131" s="89">
        <f>'REC Spend projected'!H12</f>
        <v>4478132.259204451</v>
      </c>
      <c r="D131" s="88">
        <f>'REC Spend projected'!B12+'REC Spend projected'!C12+'REC Spend projected'!D12</f>
        <v>99699806.236666709</v>
      </c>
      <c r="E131" s="88">
        <f>'REC Spend projected'!I12</f>
        <v>22594914.147020839</v>
      </c>
      <c r="F131" s="88">
        <f>'REC Spend projected'!E12+'REC Spend projected'!F12+'REC Spend projected'!G12</f>
        <v>22560627.099749997</v>
      </c>
      <c r="G131" s="88">
        <f>'REC Spend projected'!J12+'REC Spend projected'!K12+'REC Spend projected'!L12</f>
        <v>91376696.189103201</v>
      </c>
      <c r="H131" s="88">
        <f>'REC Spend projected'!Q12+'REC Spend projected'!R12+'REC Spend projected'!S12+'REC Spend projected'!T12+'REC Spend projected'!U12+'REC Spend projected'!V12</f>
        <v>423278302.14504027</v>
      </c>
      <c r="I131" s="88">
        <f>'REC Spend projected'!W12+'REC Spend projected'!X12+'REC Spend projected'!Y12</f>
        <v>31889126.692795843</v>
      </c>
      <c r="J131" s="88">
        <f>'REC Spend projected'!M12+'REC Spend projected'!N12+'REC Spend projected'!O12</f>
        <v>66906426.967615873</v>
      </c>
      <c r="K131" s="88">
        <f t="shared" si="33"/>
        <v>762784031.73719716</v>
      </c>
      <c r="L131" s="88">
        <f>'REC Spend projected'!AC12</f>
        <v>595439064.69362009</v>
      </c>
      <c r="M131" s="88">
        <f>'REC Spend projected'!AD12</f>
        <v>762784031.73719716</v>
      </c>
      <c r="N131" s="88">
        <f>'REC Spend projected'!AE12</f>
        <v>-167344967.04357708</v>
      </c>
      <c r="O131" s="91"/>
    </row>
    <row r="132" spans="2:15" ht="15" thickBot="1" x14ac:dyDescent="0.4">
      <c r="B132" s="87" t="s">
        <v>27</v>
      </c>
      <c r="C132" s="89">
        <f>'REC Spend projected'!H13</f>
        <v>4338008.6485485407</v>
      </c>
      <c r="D132" s="88">
        <f>'REC Spend projected'!B13+'REC Spend projected'!C13+'REC Spend projected'!D13</f>
        <v>98161506.62333335</v>
      </c>
      <c r="E132" s="88">
        <f>'REC Spend projected'!I13</f>
        <v>22594914.147020839</v>
      </c>
      <c r="F132" s="88">
        <f>'REC Spend projected'!E13+'REC Spend projected'!F13+'REC Spend projected'!G13</f>
        <v>22554946.049749997</v>
      </c>
      <c r="G132" s="88">
        <f>'REC Spend projected'!J13+'REC Spend projected'!K13+'REC Spend projected'!L13</f>
        <v>75254526.504422143</v>
      </c>
      <c r="H132" s="88">
        <f>'REC Spend projected'!Q13+'REC Spend projected'!R13+'REC Spend projected'!S13+'REC Spend projected'!T13+'REC Spend projected'!U13+'REC Spend projected'!V13</f>
        <v>467709540.50711536</v>
      </c>
      <c r="I132" s="88">
        <f>'REC Spend projected'!W13+'REC Spend projected'!X13+'REC Spend projected'!Y13</f>
        <v>52962507.195080951</v>
      </c>
      <c r="J132" s="88">
        <f>'REC Spend projected'!M13+'REC Spend projected'!N13+'REC Spend projected'!O13</f>
        <v>66920397.125927687</v>
      </c>
      <c r="K132" s="88">
        <f t="shared" si="33"/>
        <v>810496346.80119896</v>
      </c>
      <c r="L132" s="88">
        <f>'REC Spend projected'!AC13</f>
        <v>396668270.48734593</v>
      </c>
      <c r="M132" s="88">
        <f>'REC Spend projected'!AD13</f>
        <v>810496346.80119896</v>
      </c>
      <c r="N132" s="88">
        <f>'REC Spend projected'!AE13</f>
        <v>-413828076.31385303</v>
      </c>
      <c r="O132" s="91"/>
    </row>
    <row r="133" spans="2:15" ht="15" thickBot="1" x14ac:dyDescent="0.4">
      <c r="B133" s="87" t="s">
        <v>28</v>
      </c>
      <c r="C133" s="89">
        <f>'REC Spend projected'!H14</f>
        <v>4303453.6786395097</v>
      </c>
      <c r="D133" s="88">
        <f>'REC Spend projected'!B14+'REC Spend projected'!C14+'REC Spend projected'!D14</f>
        <v>94941985.500083327</v>
      </c>
      <c r="E133" s="88">
        <f>'REC Spend projected'!I14</f>
        <v>22594914.147020839</v>
      </c>
      <c r="F133" s="88">
        <f>'REC Spend projected'!E14+'REC Spend projected'!F14+'REC Spend projected'!G14</f>
        <v>22549216.199749995</v>
      </c>
      <c r="G133" s="88">
        <f>'REC Spend projected'!J14+'REC Spend projected'!K14+'REC Spend projected'!L14</f>
        <v>81206055.697945669</v>
      </c>
      <c r="H133" s="88">
        <f>'REC Spend projected'!Q14+'REC Spend projected'!R14+'REC Spend projected'!S14+'REC Spend projected'!T14+'REC Spend projected'!U14+'REC Spend projected'!V14</f>
        <v>503985883.82333887</v>
      </c>
      <c r="I133" s="88">
        <f>'REC Spend projected'!W14+'REC Spend projected'!X14+'REC Spend projected'!Y14</f>
        <v>23220002.097274076</v>
      </c>
      <c r="J133" s="88">
        <f>'REC Spend projected'!M14+'REC Spend projected'!N14+'REC Spend projected'!O14</f>
        <v>77023386.929470733</v>
      </c>
      <c r="K133" s="88">
        <f t="shared" si="33"/>
        <v>829824898.07352304</v>
      </c>
      <c r="L133" s="88">
        <f>'REC Spend projected'!AC14</f>
        <v>153618154.6685046</v>
      </c>
      <c r="M133" s="88">
        <f>'REC Spend projected'!AD14</f>
        <v>829824898.07352304</v>
      </c>
      <c r="N133" s="88">
        <f>'REC Spend projected'!AE14</f>
        <v>-676206743.40501845</v>
      </c>
      <c r="O133" s="91"/>
    </row>
    <row r="134" spans="2:15" ht="15" thickBot="1" x14ac:dyDescent="0.4">
      <c r="B134" s="87" t="s">
        <v>29</v>
      </c>
      <c r="C134" s="89">
        <f>'REC Spend projected'!H15</f>
        <v>4261079.6921323007</v>
      </c>
      <c r="D134" s="88">
        <f>'REC Spend projected'!B15+'REC Spend projected'!C15+'REC Spend projected'!D15</f>
        <v>67740992.879999995</v>
      </c>
      <c r="E134" s="88">
        <f>'REC Spend projected'!I15</f>
        <v>22594914.147020839</v>
      </c>
      <c r="F134" s="88">
        <f>'REC Spend projected'!E15+'REC Spend projected'!F15+'REC Spend projected'!G15</f>
        <v>1131628.02</v>
      </c>
      <c r="G134" s="88">
        <f>'REC Spend projected'!J15+'REC Spend projected'!K15+'REC Spend projected'!L15</f>
        <v>97972662.184820935</v>
      </c>
      <c r="H134" s="88">
        <f>'REC Spend projected'!Q15+'REC Spend projected'!R15+'REC Spend projected'!S15+'REC Spend projected'!T15+'REC Spend projected'!U15+'REC Spend projected'!V15</f>
        <v>511335586.35340101</v>
      </c>
      <c r="I134" s="88">
        <f>'REC Spend projected'!W15+'REC Spend projected'!X15+'REC Spend projected'!Y15</f>
        <v>55590276.222893953</v>
      </c>
      <c r="J134" s="88">
        <f>'REC Spend projected'!M15+'REC Spend projected'!N15+'REC Spend projected'!O15</f>
        <v>67120451.256649822</v>
      </c>
      <c r="K134" s="88">
        <f t="shared" si="33"/>
        <v>827747590.75691891</v>
      </c>
      <c r="L134" s="88">
        <f>'REC Spend projected'!AC15</f>
        <v>-105525034.85002434</v>
      </c>
      <c r="M134" s="88">
        <f>'REC Spend projected'!AD15</f>
        <v>827747590.75691891</v>
      </c>
      <c r="N134" s="88">
        <f>'REC Spend projected'!AE15</f>
        <v>-933272625.60694325</v>
      </c>
      <c r="O134" s="91"/>
    </row>
    <row r="135" spans="2:15" ht="15" thickBot="1" x14ac:dyDescent="0.4">
      <c r="B135" s="87" t="s">
        <v>30</v>
      </c>
      <c r="C135" s="89">
        <f>'REC Spend projected'!H16</f>
        <v>0</v>
      </c>
      <c r="D135" s="88">
        <f>'REC Spend projected'!B16+'REC Spend projected'!C16+'REC Spend projected'!D16</f>
        <v>67402026.459999993</v>
      </c>
      <c r="E135" s="88">
        <f>'REC Spend projected'!I16</f>
        <v>22594914.147020839</v>
      </c>
      <c r="F135" s="88">
        <f>'REC Spend projected'!E16+'REC Spend projected'!F16+'REC Spend projected'!G16</f>
        <v>1125963.74</v>
      </c>
      <c r="G135" s="88">
        <f>'REC Spend projected'!J16+'REC Spend projected'!K16+'REC Spend projected'!L16</f>
        <v>101283804.53147684</v>
      </c>
      <c r="H135" s="88">
        <f>'REC Spend projected'!Q16+'REC Spend projected'!R16+'REC Spend projected'!S16+'REC Spend projected'!T16+'REC Spend projected'!U16+'REC Spend projected'!V16</f>
        <v>512957157.96364069</v>
      </c>
      <c r="I135" s="88">
        <f>'REC Spend projected'!W16+'REC Spend projected'!X16+'REC Spend projected'!Y16</f>
        <v>146895278.14993539</v>
      </c>
      <c r="J135" s="88">
        <f>'REC Spend projected'!M16+'REC Spend projected'!N16+'REC Spend projected'!O16</f>
        <v>67234402.603198841</v>
      </c>
      <c r="K135" s="88">
        <f t="shared" si="33"/>
        <v>919493547.59527254</v>
      </c>
      <c r="L135" s="88">
        <f>'REC Spend projected'!AC16</f>
        <v>-358792538.83364844</v>
      </c>
      <c r="M135" s="88">
        <f>'REC Spend projected'!AD16</f>
        <v>919493547.59527254</v>
      </c>
      <c r="N135" s="88">
        <f>'REC Spend projected'!AE16</f>
        <v>-1278286086.428921</v>
      </c>
      <c r="O135" s="91"/>
    </row>
    <row r="136" spans="2:15" ht="15" thickBot="1" x14ac:dyDescent="0.4">
      <c r="B136" s="87" t="s">
        <v>31</v>
      </c>
      <c r="C136" s="89">
        <f>'REC Spend projected'!H17</f>
        <v>0</v>
      </c>
      <c r="D136" s="88">
        <f>'REC Spend projected'!B17+'REC Spend projected'!C17+'REC Spend projected'!D17</f>
        <v>67064831.43</v>
      </c>
      <c r="E136" s="88">
        <f>'REC Spend projected'!I17</f>
        <v>20941094.263402294</v>
      </c>
      <c r="F136" s="88">
        <f>'REC Spend projected'!E17+'REC Spend projected'!F17+'REC Spend projected'!G17</f>
        <v>1120460.8399999996</v>
      </c>
      <c r="G136" s="88">
        <f>'REC Spend projected'!J17+'REC Spend projected'!K17+'REC Spend projected'!L17</f>
        <v>94638581.346855074</v>
      </c>
      <c r="H136" s="88">
        <f>'REC Spend projected'!Q17+'REC Spend projected'!R17+'REC Spend projected'!S17+'REC Spend projected'!T17+'REC Spend projected'!U17+'REC Spend projected'!V17</f>
        <v>443666604.0154804</v>
      </c>
      <c r="I136" s="88">
        <f>'REC Spend projected'!W17+'REC Spend projected'!X17+'REC Spend projected'!Y17</f>
        <v>174216864.89113206</v>
      </c>
      <c r="J136" s="88">
        <f>'REC Spend projected'!M17+'REC Spend projected'!N17+'REC Spend projected'!O17</f>
        <v>67289396.046359867</v>
      </c>
      <c r="K136" s="88">
        <f t="shared" si="33"/>
        <v>868937832.83322966</v>
      </c>
      <c r="L136" s="88">
        <f>'REC Spend projected'!AC17</f>
        <v>-701972884.88359213</v>
      </c>
      <c r="M136" s="88">
        <f>'REC Spend projected'!AD17</f>
        <v>868937832.83322966</v>
      </c>
      <c r="N136" s="88">
        <f>'REC Spend projected'!AE17</f>
        <v>-1570910717.7168217</v>
      </c>
      <c r="O136" s="91"/>
    </row>
    <row r="137" spans="2:15" ht="15" thickBot="1" x14ac:dyDescent="0.4">
      <c r="B137" s="87" t="s">
        <v>32</v>
      </c>
      <c r="C137" s="89">
        <f>'REC Spend projected'!H18</f>
        <v>0</v>
      </c>
      <c r="D137" s="88">
        <f>'REC Spend projected'!B18+'REC Spend projected'!C18+'REC Spend projected'!D18</f>
        <v>66729338.150000006</v>
      </c>
      <c r="E137" s="88">
        <f>'REC Spend projected'!I18</f>
        <v>20941094.263402294</v>
      </c>
      <c r="F137" s="88">
        <f>'REC Spend projected'!E18+'REC Spend projected'!F18+'REC Spend projected'!G18</f>
        <v>1114743.8</v>
      </c>
      <c r="G137" s="88">
        <f>'REC Spend projected'!J18+'REC Spend projected'!K18+'REC Spend projected'!L18</f>
        <v>81175260.510741889</v>
      </c>
      <c r="H137" s="88">
        <f>'REC Spend projected'!Q18+'REC Spend projected'!R18+'REC Spend projected'!S18+'REC Spend projected'!T18+'REC Spend projected'!U18+'REC Spend projected'!V18</f>
        <v>426519638.46623099</v>
      </c>
      <c r="I137" s="88">
        <f>'REC Spend projected'!W18+'REC Spend projected'!X18+'REC Spend projected'!Y18</f>
        <v>157300025.81165487</v>
      </c>
      <c r="J137" s="88">
        <f>'REC Spend projected'!M18+'REC Spend projected'!N18+'REC Spend projected'!O18</f>
        <v>67378693.799014568</v>
      </c>
      <c r="K137" s="88">
        <f t="shared" si="33"/>
        <v>821158794.8010447</v>
      </c>
      <c r="L137" s="88">
        <f>'REC Spend projected'!AC18</f>
        <v>-991620924.4163363</v>
      </c>
      <c r="M137" s="88">
        <f>'REC Spend projected'!AD18</f>
        <v>821158794.80104458</v>
      </c>
      <c r="N137" s="88">
        <f>'REC Spend projected'!AE18</f>
        <v>-1812779719.217381</v>
      </c>
      <c r="O137" s="91"/>
    </row>
    <row r="138" spans="2:15" ht="15" thickBot="1" x14ac:dyDescent="0.4">
      <c r="B138" s="87" t="s">
        <v>33</v>
      </c>
      <c r="C138" s="89">
        <f>'REC Spend projected'!H19</f>
        <v>0</v>
      </c>
      <c r="D138" s="88">
        <f>'REC Spend projected'!B19+'REC Spend projected'!C19+'REC Spend projected'!D19</f>
        <v>66395922.589999996</v>
      </c>
      <c r="E138" s="88">
        <f>'REC Spend projected'!I19</f>
        <v>17493544.263402294</v>
      </c>
      <c r="F138" s="88">
        <f>'REC Spend projected'!E19+'REC Spend projected'!F19+'REC Spend projected'!G19</f>
        <v>1109144.31</v>
      </c>
      <c r="G138" s="88">
        <f>'REC Spend projected'!J19+'REC Spend projected'!K19+'REC Spend projected'!L19</f>
        <v>72256854.975356087</v>
      </c>
      <c r="H138" s="88">
        <f>'REC Spend projected'!Q19+'REC Spend projected'!R19+'REC Spend projected'!S19+'REC Spend projected'!T19+'REC Spend projected'!U19+'REC Spend projected'!V19</f>
        <v>410096430.93829614</v>
      </c>
      <c r="I138" s="88">
        <f>'REC Spend projected'!W19+'REC Spend projected'!X19+'REC Spend projected'!Y19</f>
        <v>98575735.640516862</v>
      </c>
      <c r="J138" s="88">
        <f>'REC Spend projected'!M19+'REC Spend projected'!N19+'REC Spend projected'!O19</f>
        <v>67444210.839039311</v>
      </c>
      <c r="K138" s="88">
        <f t="shared" si="33"/>
        <v>733371843.5566107</v>
      </c>
      <c r="L138" s="88">
        <f>'REC Spend projected'!AC19</f>
        <v>-1231306024.5827374</v>
      </c>
      <c r="M138" s="88">
        <f>'REC Spend projected'!AD19</f>
        <v>733371843.55661058</v>
      </c>
      <c r="N138" s="88">
        <f>'REC Spend projected'!AE19</f>
        <v>-1964677868.139348</v>
      </c>
      <c r="O138" s="91"/>
    </row>
    <row r="139" spans="2:15" ht="15" thickBot="1" x14ac:dyDescent="0.4">
      <c r="B139" s="87" t="s">
        <v>34</v>
      </c>
      <c r="C139" s="89">
        <f>'REC Spend projected'!H20</f>
        <v>0</v>
      </c>
      <c r="D139" s="88">
        <f>'REC Spend projected'!B20+'REC Spend projected'!C20+'REC Spend projected'!D20</f>
        <v>66064096.460000023</v>
      </c>
      <c r="E139" s="88">
        <f>'REC Spend projected'!I20</f>
        <v>5880413.46</v>
      </c>
      <c r="F139" s="88">
        <f>'REC Spend projected'!E20+'REC Spend projected'!F20+'REC Spend projected'!G20</f>
        <v>1103612.05</v>
      </c>
      <c r="G139" s="88">
        <f>'REC Spend projected'!J20+'REC Spend projected'!K20+'REC Spend projected'!L20</f>
        <v>65220188.635324076</v>
      </c>
      <c r="H139" s="88">
        <f>'REC Spend projected'!Q20+'REC Spend projected'!R20+'REC Spend projected'!S20+'REC Spend projected'!T20+'REC Spend projected'!U20+'REC Spend projected'!V20</f>
        <v>394259957.19693923</v>
      </c>
      <c r="I139" s="88">
        <f>'REC Spend projected'!W20+'REC Spend projected'!X20+'REC Spend projected'!Y20</f>
        <v>57710999.62158522</v>
      </c>
      <c r="J139" s="88">
        <f>'REC Spend projected'!M20+'REC Spend projected'!N20+'REC Spend projected'!O20</f>
        <v>67522169.66182524</v>
      </c>
      <c r="K139" s="88">
        <f t="shared" si="33"/>
        <v>657761437.08567381</v>
      </c>
      <c r="L139" s="88">
        <f>'REC Spend projected'!AC20</f>
        <v>-1380605546.0785069</v>
      </c>
      <c r="M139" s="88">
        <f>'REC Spend projected'!AD20</f>
        <v>657761437.08567381</v>
      </c>
      <c r="N139" s="88">
        <f>'REC Spend projected'!AE20</f>
        <v>-2038366983.1641808</v>
      </c>
      <c r="O139" s="91"/>
    </row>
    <row r="140" spans="2:15" ht="15" thickBot="1" x14ac:dyDescent="0.4">
      <c r="B140" s="87" t="s">
        <v>35</v>
      </c>
      <c r="C140" s="89">
        <f>'REC Spend projected'!H21</f>
        <v>0</v>
      </c>
      <c r="D140" s="88">
        <f>'REC Spend projected'!B21+'REC Spend projected'!C21+'REC Spend projected'!D21</f>
        <v>65733615.219999999</v>
      </c>
      <c r="E140" s="88">
        <f>'REC Spend projected'!I21</f>
        <v>0</v>
      </c>
      <c r="F140" s="88">
        <f>'REC Spend projected'!E21+'REC Spend projected'!F21+'REC Spend projected'!G21</f>
        <v>1097956.8499999999</v>
      </c>
      <c r="G140" s="88">
        <f>'REC Spend projected'!J21+'REC Spend projected'!K21+'REC Spend projected'!L21</f>
        <v>57911425.743519291</v>
      </c>
      <c r="H140" s="88">
        <f>'REC Spend projected'!Q21+'REC Spend projected'!R21+'REC Spend projected'!S21+'REC Spend projected'!T21+'REC Spend projected'!U21+'REC Spend projected'!V21</f>
        <v>378987098.86326987</v>
      </c>
      <c r="I140" s="88">
        <f>'REC Spend projected'!W21+'REC Spend projected'!X21+'REC Spend projected'!Y21</f>
        <v>21988268.285125755</v>
      </c>
      <c r="J140" s="88">
        <f>'REC Spend projected'!M21+'REC Spend projected'!N21+'REC Spend projected'!O21</f>
        <v>67559698.762090176</v>
      </c>
      <c r="K140" s="88">
        <f t="shared" si="33"/>
        <v>593278063.7240051</v>
      </c>
      <c r="L140" s="88">
        <f>'REC Spend projected'!AC21</f>
        <v>-1453043691.0945082</v>
      </c>
      <c r="M140" s="88">
        <f>'REC Spend projected'!AD21</f>
        <v>593278063.7240051</v>
      </c>
      <c r="N140" s="88">
        <f>'REC Spend projected'!AE21</f>
        <v>-2046321754.8185134</v>
      </c>
      <c r="O140" s="91"/>
    </row>
    <row r="141" spans="2:15" ht="15" thickBot="1" x14ac:dyDescent="0.4">
      <c r="B141" s="87" t="s">
        <v>36</v>
      </c>
      <c r="C141" s="89">
        <f>'REC Spend projected'!H22</f>
        <v>0</v>
      </c>
      <c r="D141" s="88">
        <f>'REC Spend projected'!B22+'REC Spend projected'!C22+'REC Spend projected'!D22</f>
        <v>65404727.630000032</v>
      </c>
      <c r="E141" s="88">
        <f>'REC Spend projected'!I22</f>
        <v>0</v>
      </c>
      <c r="F141" s="88">
        <f>'REC Spend projected'!E22+'REC Spend projected'!F22+'REC Spend projected'!G22</f>
        <v>1092528.2199999997</v>
      </c>
      <c r="G141" s="88">
        <f>'REC Spend projected'!J22+'REC Spend projected'!K22+'REC Spend projected'!L22</f>
        <v>51844829.029496558</v>
      </c>
      <c r="H141" s="88">
        <f>'REC Spend projected'!Q22+'REC Spend projected'!R22+'REC Spend projected'!S22+'REC Spend projected'!T22+'REC Spend projected'!U22+'REC Spend projected'!V22</f>
        <v>364255660.53869045</v>
      </c>
      <c r="I141" s="88">
        <f>'REC Spend projected'!W22+'REC Spend projected'!X22+'REC Spend projected'!Y22</f>
        <v>-20273666.208033986</v>
      </c>
      <c r="J141" s="88">
        <f>'REC Spend projected'!M22+'REC Spend projected'!N22+'REC Spend projected'!O22</f>
        <v>67642751.566603482</v>
      </c>
      <c r="K141" s="88">
        <f t="shared" si="33"/>
        <v>529966830.77675653</v>
      </c>
      <c r="L141" s="88">
        <f>'REC Spend projected'!AC22</f>
        <v>-1458230035.9317305</v>
      </c>
      <c r="M141" s="88">
        <f>'REC Spend projected'!AD22</f>
        <v>529966830.77675653</v>
      </c>
      <c r="N141" s="88">
        <f>'REC Spend projected'!AE22</f>
        <v>-1988196866.708487</v>
      </c>
      <c r="O141" s="91"/>
    </row>
    <row r="142" spans="2:15" ht="15" thickBot="1" x14ac:dyDescent="0.4">
      <c r="B142" s="87" t="s">
        <v>37</v>
      </c>
      <c r="C142" s="89">
        <f>'REC Spend projected'!H23</f>
        <v>0</v>
      </c>
      <c r="D142" s="88">
        <f>'REC Spend projected'!B23+'REC Spend projected'!C23+'REC Spend projected'!D23</f>
        <v>65077908.75</v>
      </c>
      <c r="E142" s="88">
        <f>'REC Spend projected'!I23</f>
        <v>0</v>
      </c>
      <c r="F142" s="88">
        <f>'REC Spend projected'!E23+'REC Spend projected'!F23+'REC Spend projected'!G23</f>
        <v>1087098.76</v>
      </c>
      <c r="G142" s="88">
        <f>'REC Spend projected'!J23+'REC Spend projected'!K23+'REC Spend projected'!L23</f>
        <v>46273941.959102981</v>
      </c>
      <c r="H142" s="88">
        <f>'REC Spend projected'!Q23+'REC Spend projected'!R23+'REC Spend projected'!S23+'REC Spend projected'!T23+'REC Spend projected'!U23+'REC Spend projected'!V23</f>
        <v>350044332.89445865</v>
      </c>
      <c r="I142" s="88">
        <f>'REC Spend projected'!W23+'REC Spend projected'!X23+'REC Spend projected'!Y23</f>
        <v>-59046933.775466323</v>
      </c>
      <c r="J142" s="88">
        <f>'REC Spend projected'!M23+'REC Spend projected'!N23+'REC Spend projected'!O23</f>
        <v>67710238.723197311</v>
      </c>
      <c r="K142" s="88">
        <f t="shared" si="33"/>
        <v>471146587.31129265</v>
      </c>
      <c r="L142" s="88">
        <f>'REC Spend projected'!AC23</f>
        <v>-1397855575.9352436</v>
      </c>
      <c r="M142" s="88">
        <f>'REC Spend projected'!AD23</f>
        <v>471146587.31129265</v>
      </c>
      <c r="N142" s="88">
        <f>'REC Spend projected'!AE23</f>
        <v>-1869002163.2465363</v>
      </c>
      <c r="O142" s="91"/>
    </row>
    <row r="143" spans="2:15" ht="15" thickBot="1" x14ac:dyDescent="0.4">
      <c r="B143" s="87" t="s">
        <v>38</v>
      </c>
      <c r="C143" s="89">
        <f>'REC Spend projected'!H24</f>
        <v>0</v>
      </c>
      <c r="D143" s="88">
        <f>'REC Spend projected'!B24+'REC Spend projected'!C24+'REC Spend projected'!D24</f>
        <v>64752159.359999977</v>
      </c>
      <c r="E143" s="88">
        <f>'REC Spend projected'!I24</f>
        <v>0</v>
      </c>
      <c r="F143" s="88">
        <f>'REC Spend projected'!E24+'REC Spend projected'!F24+'REC Spend projected'!G24</f>
        <v>1081640.96</v>
      </c>
      <c r="G143" s="88">
        <f>'REC Spend projected'!J24+'REC Spend projected'!K24+'REC Spend projected'!L24</f>
        <v>39154531.336603925</v>
      </c>
      <c r="H143" s="88">
        <f>'REC Spend projected'!Q24+'REC Spend projected'!R24+'REC Spend projected'!S24+'REC Spend projected'!T24+'REC Spend projected'!U24+'REC Spend projected'!V24</f>
        <v>347890729.082443</v>
      </c>
      <c r="I143" s="88">
        <f>'REC Spend projected'!W24+'REC Spend projected'!X24+'REC Spend projected'!Y24</f>
        <v>-98419542.924216941</v>
      </c>
      <c r="J143" s="88">
        <f>'REC Spend projected'!M24+'REC Spend projected'!N24+'REC Spend projected'!O24</f>
        <v>67790826.711418763</v>
      </c>
      <c r="K143" s="88">
        <f t="shared" si="33"/>
        <v>422250344.52624875</v>
      </c>
      <c r="L143" s="88">
        <f>'REC Spend projected'!AC24</f>
        <v>-1275974606.1992443</v>
      </c>
      <c r="M143" s="88">
        <f>'REC Spend projected'!AD24</f>
        <v>422250344.52624875</v>
      </c>
      <c r="N143" s="88">
        <f>'REC Spend projected'!AE24</f>
        <v>-1698224950.725493</v>
      </c>
      <c r="O143" s="91"/>
    </row>
    <row r="144" spans="2:15" ht="15" thickBot="1" x14ac:dyDescent="0.4">
      <c r="B144" s="87" t="s">
        <v>39</v>
      </c>
      <c r="C144" s="89">
        <f>'REC Spend projected'!H25</f>
        <v>0</v>
      </c>
      <c r="D144" s="88">
        <f>'REC Spend projected'!B25+'REC Spend projected'!C25+'REC Spend projected'!D25</f>
        <v>64428878.509999976</v>
      </c>
      <c r="E144" s="88">
        <f>'REC Spend projected'!I25</f>
        <v>0</v>
      </c>
      <c r="F144" s="88">
        <f>'REC Spend projected'!E25+'REC Spend projected'!F25+'REC Spend projected'!G25</f>
        <v>1076335.6499999999</v>
      </c>
      <c r="G144" s="88">
        <f>'REC Spend projected'!J25+'REC Spend projected'!K25+'REC Spend projected'!L25</f>
        <v>33327937.210552733</v>
      </c>
      <c r="H144" s="88">
        <f>'REC Spend projected'!Q25+'REC Spend projected'!R25+'REC Spend projected'!S25+'REC Spend projected'!T25+'REC Spend projected'!U25+'REC Spend projected'!V25</f>
        <v>296569211.7124728</v>
      </c>
      <c r="I144" s="88">
        <f>'REC Spend projected'!W25+'REC Spend projected'!X25+'REC Spend projected'!Y25</f>
        <v>-165071084.40226823</v>
      </c>
      <c r="J144" s="88">
        <f>'REC Spend projected'!M25+'REC Spend projected'!N25+'REC Spend projected'!O25</f>
        <v>67846294.061737657</v>
      </c>
      <c r="K144" s="88">
        <f t="shared" si="33"/>
        <v>298177572.74249494</v>
      </c>
      <c r="L144" s="88">
        <f>'REC Spend projected'!AC25</f>
        <v>-1103348482.0009046</v>
      </c>
      <c r="M144" s="88">
        <f>'REC Spend projected'!AD25</f>
        <v>298177572.74249494</v>
      </c>
      <c r="N144" s="88">
        <f>'REC Spend projected'!AE25</f>
        <v>-1401526054.7433996</v>
      </c>
      <c r="O144" s="91"/>
    </row>
    <row r="145" spans="2:15" ht="15" thickBot="1" x14ac:dyDescent="0.4">
      <c r="B145" s="87" t="s">
        <v>40</v>
      </c>
      <c r="C145" s="89">
        <f>'REC Spend projected'!H26</f>
        <v>0</v>
      </c>
      <c r="D145" s="88">
        <f>'REC Spend projected'!B26+'REC Spend projected'!C26+'REC Spend projected'!D26</f>
        <v>64106702.660000019</v>
      </c>
      <c r="E145" s="88">
        <f>'REC Spend projected'!I26</f>
        <v>0</v>
      </c>
      <c r="F145" s="88">
        <f>'REC Spend projected'!E26+'REC Spend projected'!F26+'REC Spend projected'!G26</f>
        <v>1070973.19</v>
      </c>
      <c r="G145" s="88">
        <f>'REC Spend projected'!J26+'REC Spend projected'!K26+'REC Spend projected'!L26</f>
        <v>-52208605.137226567</v>
      </c>
      <c r="H145" s="88">
        <f>'REC Spend projected'!Q26+'REC Spend projected'!R26+'REC Spend projected'!S26+'REC Spend projected'!T26+'REC Spend projected'!U26+'REC Spend projected'!V26</f>
        <v>282928087.39046544</v>
      </c>
      <c r="I145" s="88">
        <f>'REC Spend projected'!W26+'REC Spend projected'!X26+'REC Spend projected'!Y26</f>
        <v>-202997623.58865139</v>
      </c>
      <c r="J145" s="88">
        <f>'REC Spend projected'!M26+'REC Spend projected'!N26+'REC Spend projected'!O26</f>
        <v>67902792.45759207</v>
      </c>
      <c r="K145" s="88">
        <f t="shared" si="33"/>
        <v>160802326.97217956</v>
      </c>
      <c r="L145" s="88">
        <f>'REC Spend projected'!AC26</f>
        <v>-804766306.15699744</v>
      </c>
      <c r="M145" s="88">
        <f>'REC Spend projected'!AD26</f>
        <v>160802326.97217959</v>
      </c>
      <c r="N145" s="88">
        <f>'REC Spend projected'!AE26</f>
        <v>-965568633.12917709</v>
      </c>
      <c r="O145" s="91"/>
    </row>
    <row r="150" spans="2:15" ht="15" thickBot="1" x14ac:dyDescent="0.4"/>
    <row r="151" spans="2:15" ht="15" customHeight="1" thickBot="1" x14ac:dyDescent="0.4">
      <c r="B151" s="317" t="s">
        <v>244</v>
      </c>
      <c r="C151" s="318"/>
      <c r="D151" s="318"/>
      <c r="E151" s="319"/>
      <c r="F151" s="320" t="s">
        <v>242</v>
      </c>
      <c r="G151" s="318"/>
      <c r="H151" s="321" t="s">
        <v>245</v>
      </c>
      <c r="I151" s="322"/>
      <c r="J151" s="81"/>
      <c r="K151" s="241"/>
      <c r="L151" s="241"/>
      <c r="M151" s="241"/>
    </row>
    <row r="152" spans="2:15" ht="32" thickBot="1" x14ac:dyDescent="0.4">
      <c r="B152" s="82" t="s">
        <v>1</v>
      </c>
      <c r="C152" s="83" t="s">
        <v>246</v>
      </c>
      <c r="D152" s="83" t="s">
        <v>247</v>
      </c>
      <c r="E152" s="84" t="s">
        <v>248</v>
      </c>
      <c r="F152" s="84" t="s">
        <v>249</v>
      </c>
      <c r="G152" s="84" t="s">
        <v>250</v>
      </c>
      <c r="H152" s="83" t="s">
        <v>251</v>
      </c>
      <c r="I152" s="83" t="s">
        <v>252</v>
      </c>
      <c r="J152" s="83" t="s">
        <v>253</v>
      </c>
      <c r="K152" s="83" t="s">
        <v>235</v>
      </c>
      <c r="L152" s="83" t="s">
        <v>236</v>
      </c>
      <c r="M152" s="250" t="s">
        <v>228</v>
      </c>
    </row>
    <row r="153" spans="2:15" ht="15" thickBot="1" x14ac:dyDescent="0.4">
      <c r="B153" s="87" t="s">
        <v>17</v>
      </c>
      <c r="C153" s="93">
        <f>C123/1000000</f>
        <v>30.848359600711422</v>
      </c>
      <c r="D153" s="93">
        <f t="shared" ref="D153:L153" si="34">D123/1000000</f>
        <v>216.56714748600044</v>
      </c>
      <c r="E153" s="93">
        <f t="shared" si="34"/>
        <v>5.3972904699999997</v>
      </c>
      <c r="F153" s="93">
        <f t="shared" si="34"/>
        <v>0</v>
      </c>
      <c r="G153" s="93">
        <f t="shared" si="34"/>
        <v>0</v>
      </c>
      <c r="H153" s="93">
        <f t="shared" si="34"/>
        <v>0</v>
      </c>
      <c r="I153" s="93">
        <f t="shared" si="34"/>
        <v>0</v>
      </c>
      <c r="J153" s="93">
        <f t="shared" si="34"/>
        <v>18.018880058405568</v>
      </c>
      <c r="K153" s="93">
        <f t="shared" si="34"/>
        <v>270.83167761511743</v>
      </c>
      <c r="L153" s="93">
        <f t="shared" si="34"/>
        <v>519.02655571101911</v>
      </c>
      <c r="M153" s="93">
        <f t="shared" ref="M153:M175" si="35">N123/1000000</f>
        <v>248.19487809590166</v>
      </c>
    </row>
    <row r="154" spans="2:15" ht="15" thickBot="1" x14ac:dyDescent="0.4">
      <c r="B154" s="87" t="s">
        <v>18</v>
      </c>
      <c r="C154" s="93">
        <f t="shared" ref="C154:L175" si="36">C124/1000000</f>
        <v>24.142255383493655</v>
      </c>
      <c r="D154" s="93">
        <f t="shared" si="36"/>
        <v>206.86667869800002</v>
      </c>
      <c r="E154" s="93">
        <f t="shared" si="36"/>
        <v>19.260591157020841</v>
      </c>
      <c r="F154" s="93">
        <f t="shared" si="36"/>
        <v>0</v>
      </c>
      <c r="G154" s="93">
        <f t="shared" si="36"/>
        <v>0</v>
      </c>
      <c r="H154" s="93">
        <f t="shared" si="36"/>
        <v>0</v>
      </c>
      <c r="I154" s="93">
        <f t="shared" si="36"/>
        <v>0</v>
      </c>
      <c r="J154" s="93">
        <f t="shared" si="36"/>
        <v>73.942135092404001</v>
      </c>
      <c r="K154" s="93">
        <f t="shared" si="36"/>
        <v>324.21166033091856</v>
      </c>
      <c r="L154" s="93">
        <f t="shared" si="36"/>
        <v>712.93271450936891</v>
      </c>
      <c r="M154" s="93">
        <f t="shared" si="35"/>
        <v>388.72105417845034</v>
      </c>
    </row>
    <row r="155" spans="2:15" ht="15" thickBot="1" x14ac:dyDescent="0.4">
      <c r="B155" s="87" t="s">
        <v>19</v>
      </c>
      <c r="C155" s="93">
        <f t="shared" si="36"/>
        <v>22.062344595163538</v>
      </c>
      <c r="D155" s="93">
        <f t="shared" si="36"/>
        <v>256.27687840999977</v>
      </c>
      <c r="E155" s="93">
        <f t="shared" si="36"/>
        <v>22.975411212579786</v>
      </c>
      <c r="F155" s="93">
        <f t="shared" si="36"/>
        <v>0</v>
      </c>
      <c r="G155" s="93">
        <f t="shared" si="36"/>
        <v>0</v>
      </c>
      <c r="H155" s="93">
        <f t="shared" si="36"/>
        <v>0</v>
      </c>
      <c r="I155" s="93">
        <f t="shared" si="36"/>
        <v>0</v>
      </c>
      <c r="J155" s="93">
        <f t="shared" si="36"/>
        <v>67.623889800951702</v>
      </c>
      <c r="K155" s="93">
        <f t="shared" si="36"/>
        <v>368.93852401869481</v>
      </c>
      <c r="L155" s="93">
        <f t="shared" si="36"/>
        <v>976.18404754350729</v>
      </c>
      <c r="M155" s="93">
        <f t="shared" si="35"/>
        <v>607.24552352481248</v>
      </c>
    </row>
    <row r="156" spans="2:15" ht="15" thickBot="1" x14ac:dyDescent="0.4">
      <c r="B156" s="87" t="s">
        <v>20</v>
      </c>
      <c r="C156" s="93">
        <f t="shared" si="36"/>
        <v>17.721007415898786</v>
      </c>
      <c r="D156" s="93">
        <f t="shared" si="36"/>
        <v>472.37228249383224</v>
      </c>
      <c r="E156" s="93">
        <f t="shared" si="36"/>
        <v>22.594914147020837</v>
      </c>
      <c r="F156" s="93">
        <f t="shared" si="36"/>
        <v>0</v>
      </c>
      <c r="G156" s="93">
        <f t="shared" si="36"/>
        <v>0</v>
      </c>
      <c r="H156" s="93">
        <f t="shared" si="36"/>
        <v>0</v>
      </c>
      <c r="I156" s="93">
        <f t="shared" si="36"/>
        <v>0</v>
      </c>
      <c r="J156" s="93">
        <f t="shared" si="36"/>
        <v>67.322647088471598</v>
      </c>
      <c r="K156" s="93">
        <f t="shared" si="36"/>
        <v>580.01085114522334</v>
      </c>
      <c r="L156" s="93">
        <f t="shared" si="36"/>
        <v>1184.667093140532</v>
      </c>
      <c r="M156" s="93">
        <f t="shared" si="35"/>
        <v>604.65624199530862</v>
      </c>
    </row>
    <row r="157" spans="2:15" ht="15" thickBot="1" x14ac:dyDescent="0.4">
      <c r="B157" s="87" t="s">
        <v>22</v>
      </c>
      <c r="C157" s="93">
        <f t="shared" si="36"/>
        <v>17.421541685608783</v>
      </c>
      <c r="D157" s="93">
        <f t="shared" si="36"/>
        <v>328.1216922675834</v>
      </c>
      <c r="E157" s="93">
        <f t="shared" si="36"/>
        <v>22.594914147020837</v>
      </c>
      <c r="F157" s="93">
        <f t="shared" si="36"/>
        <v>0.98748215699999997</v>
      </c>
      <c r="G157" s="93">
        <f>G127/1000000</f>
        <v>38.609188695248008</v>
      </c>
      <c r="H157" s="93">
        <f>H127/1000000</f>
        <v>224.6976149483871</v>
      </c>
      <c r="I157" s="93">
        <f t="shared" si="36"/>
        <v>0</v>
      </c>
      <c r="J157" s="93">
        <f t="shared" si="36"/>
        <v>77.20882955739026</v>
      </c>
      <c r="K157" s="93">
        <f t="shared" si="36"/>
        <v>709.64126345823831</v>
      </c>
      <c r="L157" s="93">
        <f t="shared" si="36"/>
        <v>1178.2838939083172</v>
      </c>
      <c r="M157" s="93">
        <f t="shared" si="35"/>
        <v>468.64263045007874</v>
      </c>
    </row>
    <row r="158" spans="2:15" ht="15" thickBot="1" x14ac:dyDescent="0.4">
      <c r="B158" s="87" t="s">
        <v>23</v>
      </c>
      <c r="C158" s="93">
        <f t="shared" si="36"/>
        <v>11.401431694168943</v>
      </c>
      <c r="D158" s="93">
        <f t="shared" si="36"/>
        <v>208.1106440899168</v>
      </c>
      <c r="E158" s="93">
        <f t="shared" si="36"/>
        <v>22.594914147020837</v>
      </c>
      <c r="F158" s="93">
        <f t="shared" si="36"/>
        <v>23.788862848333338</v>
      </c>
      <c r="G158" s="93">
        <f t="shared" si="36"/>
        <v>88.481865405167895</v>
      </c>
      <c r="H158" s="93">
        <f t="shared" si="36"/>
        <v>277.83905904968151</v>
      </c>
      <c r="I158" s="93">
        <f t="shared" si="36"/>
        <v>2.7568894830357138</v>
      </c>
      <c r="J158" s="93">
        <f t="shared" si="36"/>
        <v>66.997493390597342</v>
      </c>
      <c r="K158" s="93">
        <f t="shared" si="36"/>
        <v>701.97116010792229</v>
      </c>
      <c r="L158" s="93">
        <f t="shared" si="36"/>
        <v>1035.22574346999</v>
      </c>
      <c r="M158" s="93">
        <f t="shared" si="35"/>
        <v>333.25458336206771</v>
      </c>
    </row>
    <row r="159" spans="2:15" ht="15" thickBot="1" x14ac:dyDescent="0.4">
      <c r="B159" s="87" t="s">
        <v>24</v>
      </c>
      <c r="C159" s="93">
        <f t="shared" si="36"/>
        <v>8.215431710476329</v>
      </c>
      <c r="D159" s="93">
        <f t="shared" si="36"/>
        <v>141.25217771866673</v>
      </c>
      <c r="E159" s="93">
        <f t="shared" si="36"/>
        <v>22.594914147020837</v>
      </c>
      <c r="F159" s="93">
        <f t="shared" si="36"/>
        <v>22.572185679749996</v>
      </c>
      <c r="G159" s="93">
        <f t="shared" si="36"/>
        <v>100.13755141634216</v>
      </c>
      <c r="H159" s="93">
        <f t="shared" si="36"/>
        <v>328.42739866344641</v>
      </c>
      <c r="I159" s="93">
        <f t="shared" si="36"/>
        <v>2.5327671483214282</v>
      </c>
      <c r="J159" s="93">
        <f t="shared" si="36"/>
        <v>66.888811399599319</v>
      </c>
      <c r="K159" s="93">
        <f t="shared" si="36"/>
        <v>692.62123788362328</v>
      </c>
      <c r="L159" s="93">
        <f t="shared" si="36"/>
        <v>896.21496334871165</v>
      </c>
      <c r="M159" s="93">
        <f t="shared" si="35"/>
        <v>203.59372546508837</v>
      </c>
    </row>
    <row r="160" spans="2:15" ht="15" thickBot="1" x14ac:dyDescent="0.4">
      <c r="B160" s="87" t="s">
        <v>25</v>
      </c>
      <c r="C160" s="93">
        <f t="shared" si="36"/>
        <v>4.4804827749063234</v>
      </c>
      <c r="D160" s="93">
        <f t="shared" si="36"/>
        <v>118.36126250666675</v>
      </c>
      <c r="E160" s="93">
        <f t="shared" si="36"/>
        <v>22.594914147020837</v>
      </c>
      <c r="F160" s="93">
        <f t="shared" si="36"/>
        <v>22.566431409749995</v>
      </c>
      <c r="G160" s="93">
        <f t="shared" si="36"/>
        <v>92.870779228916177</v>
      </c>
      <c r="H160" s="93">
        <f t="shared" si="36"/>
        <v>376.87845973981263</v>
      </c>
      <c r="I160" s="93">
        <f t="shared" si="36"/>
        <v>19.167647201331938</v>
      </c>
      <c r="J160" s="93">
        <f t="shared" si="36"/>
        <v>76.862404659270325</v>
      </c>
      <c r="K160" s="93">
        <f t="shared" si="36"/>
        <v>733.78238166767494</v>
      </c>
      <c r="L160" s="93">
        <f t="shared" si="36"/>
        <v>765.6738807740993</v>
      </c>
      <c r="M160" s="93">
        <f t="shared" si="35"/>
        <v>31.89149910642433</v>
      </c>
    </row>
    <row r="161" spans="2:13" ht="15" thickBot="1" x14ac:dyDescent="0.4">
      <c r="B161" s="90" t="s">
        <v>26</v>
      </c>
      <c r="C161" s="93">
        <f t="shared" si="36"/>
        <v>4.4781322592044512</v>
      </c>
      <c r="D161" s="93">
        <f t="shared" si="36"/>
        <v>99.699806236666703</v>
      </c>
      <c r="E161" s="93">
        <f t="shared" si="36"/>
        <v>22.594914147020837</v>
      </c>
      <c r="F161" s="93">
        <f t="shared" si="36"/>
        <v>22.560627099749997</v>
      </c>
      <c r="G161" s="93">
        <f t="shared" si="36"/>
        <v>91.3766961891032</v>
      </c>
      <c r="H161" s="93">
        <f t="shared" si="36"/>
        <v>423.2783021450403</v>
      </c>
      <c r="I161" s="93">
        <f t="shared" si="36"/>
        <v>31.889126692795841</v>
      </c>
      <c r="J161" s="93">
        <f t="shared" si="36"/>
        <v>66.906426967615872</v>
      </c>
      <c r="K161" s="93">
        <f t="shared" si="36"/>
        <v>762.78403173719721</v>
      </c>
      <c r="L161" s="93">
        <f t="shared" si="36"/>
        <v>595.43906469362014</v>
      </c>
      <c r="M161" s="93">
        <f t="shared" si="35"/>
        <v>-167.34496704357707</v>
      </c>
    </row>
    <row r="162" spans="2:13" ht="15" thickBot="1" x14ac:dyDescent="0.4">
      <c r="B162" s="87" t="s">
        <v>27</v>
      </c>
      <c r="C162" s="93">
        <f t="shared" si="36"/>
        <v>4.3380086485485405</v>
      </c>
      <c r="D162" s="93">
        <f t="shared" si="36"/>
        <v>98.161506623333352</v>
      </c>
      <c r="E162" s="93">
        <f t="shared" si="36"/>
        <v>22.594914147020837</v>
      </c>
      <c r="F162" s="93">
        <f t="shared" si="36"/>
        <v>22.554946049749997</v>
      </c>
      <c r="G162" s="93">
        <f t="shared" si="36"/>
        <v>75.254526504422145</v>
      </c>
      <c r="H162" s="93">
        <f t="shared" si="36"/>
        <v>467.70954050711538</v>
      </c>
      <c r="I162" s="93">
        <f t="shared" si="36"/>
        <v>52.962507195080953</v>
      </c>
      <c r="J162" s="93">
        <f t="shared" si="36"/>
        <v>66.920397125927693</v>
      </c>
      <c r="K162" s="93">
        <f t="shared" si="36"/>
        <v>810.49634680119891</v>
      </c>
      <c r="L162" s="93">
        <f t="shared" si="36"/>
        <v>396.66827048734592</v>
      </c>
      <c r="M162" s="93">
        <f t="shared" si="35"/>
        <v>-413.82807631385305</v>
      </c>
    </row>
    <row r="163" spans="2:13" ht="15" thickBot="1" x14ac:dyDescent="0.4">
      <c r="B163" s="87" t="s">
        <v>28</v>
      </c>
      <c r="C163" s="93">
        <f t="shared" si="36"/>
        <v>4.3034536786395101</v>
      </c>
      <c r="D163" s="93">
        <f t="shared" si="36"/>
        <v>94.941985500083334</v>
      </c>
      <c r="E163" s="93">
        <f t="shared" si="36"/>
        <v>22.594914147020837</v>
      </c>
      <c r="F163" s="93">
        <f t="shared" si="36"/>
        <v>22.549216199749996</v>
      </c>
      <c r="G163" s="93">
        <f t="shared" si="36"/>
        <v>81.206055697945672</v>
      </c>
      <c r="H163" s="93">
        <f t="shared" si="36"/>
        <v>503.98588382333884</v>
      </c>
      <c r="I163" s="93">
        <f t="shared" si="36"/>
        <v>23.220002097274076</v>
      </c>
      <c r="J163" s="93">
        <f t="shared" si="36"/>
        <v>77.023386929470732</v>
      </c>
      <c r="K163" s="93">
        <f t="shared" si="36"/>
        <v>829.82489807352306</v>
      </c>
      <c r="L163" s="93">
        <f t="shared" si="36"/>
        <v>153.61815466850459</v>
      </c>
      <c r="M163" s="93">
        <f t="shared" si="35"/>
        <v>-676.20674340501841</v>
      </c>
    </row>
    <row r="164" spans="2:13" ht="15" thickBot="1" x14ac:dyDescent="0.4">
      <c r="B164" s="87" t="s">
        <v>29</v>
      </c>
      <c r="C164" s="93">
        <f t="shared" si="36"/>
        <v>4.2610796921323004</v>
      </c>
      <c r="D164" s="93">
        <f t="shared" si="36"/>
        <v>67.740992879999993</v>
      </c>
      <c r="E164" s="93">
        <f t="shared" si="36"/>
        <v>22.594914147020837</v>
      </c>
      <c r="F164" s="93">
        <f t="shared" si="36"/>
        <v>1.13162802</v>
      </c>
      <c r="G164" s="93">
        <f t="shared" si="36"/>
        <v>97.972662184820933</v>
      </c>
      <c r="H164" s="93">
        <f t="shared" si="36"/>
        <v>511.33558635340103</v>
      </c>
      <c r="I164" s="93">
        <f t="shared" si="36"/>
        <v>55.590276222893955</v>
      </c>
      <c r="J164" s="93">
        <f t="shared" si="36"/>
        <v>67.120451256649815</v>
      </c>
      <c r="K164" s="93">
        <f t="shared" si="36"/>
        <v>827.74759075691895</v>
      </c>
      <c r="L164" s="93">
        <f t="shared" si="36"/>
        <v>-105.52503485002434</v>
      </c>
      <c r="M164" s="93">
        <f t="shared" si="35"/>
        <v>-933.27262560694328</v>
      </c>
    </row>
    <row r="165" spans="2:13" ht="15" thickBot="1" x14ac:dyDescent="0.4">
      <c r="B165" s="87" t="s">
        <v>30</v>
      </c>
      <c r="C165" s="93">
        <f t="shared" si="36"/>
        <v>0</v>
      </c>
      <c r="D165" s="93">
        <f t="shared" si="36"/>
        <v>67.402026459999988</v>
      </c>
      <c r="E165" s="93">
        <f t="shared" si="36"/>
        <v>22.594914147020837</v>
      </c>
      <c r="F165" s="93">
        <f t="shared" si="36"/>
        <v>1.12596374</v>
      </c>
      <c r="G165" s="93">
        <f t="shared" si="36"/>
        <v>101.28380453147685</v>
      </c>
      <c r="H165" s="93">
        <f t="shared" si="36"/>
        <v>512.95715796364073</v>
      </c>
      <c r="I165" s="93">
        <f t="shared" si="36"/>
        <v>146.89527814993539</v>
      </c>
      <c r="J165" s="93">
        <f t="shared" si="36"/>
        <v>67.234402603198845</v>
      </c>
      <c r="K165" s="93">
        <f t="shared" si="36"/>
        <v>919.4935475952725</v>
      </c>
      <c r="L165" s="93">
        <f t="shared" si="36"/>
        <v>-358.79253883364845</v>
      </c>
      <c r="M165" s="93">
        <f t="shared" si="35"/>
        <v>-1278.286086428921</v>
      </c>
    </row>
    <row r="166" spans="2:13" ht="15" thickBot="1" x14ac:dyDescent="0.4">
      <c r="B166" s="87" t="s">
        <v>31</v>
      </c>
      <c r="C166" s="93">
        <f t="shared" si="36"/>
        <v>0</v>
      </c>
      <c r="D166" s="93">
        <f t="shared" si="36"/>
        <v>67.064831429999998</v>
      </c>
      <c r="E166" s="93">
        <f t="shared" si="36"/>
        <v>20.941094263402295</v>
      </c>
      <c r="F166" s="93">
        <f t="shared" si="36"/>
        <v>1.1204608399999996</v>
      </c>
      <c r="G166" s="93">
        <f t="shared" si="36"/>
        <v>94.638581346855077</v>
      </c>
      <c r="H166" s="93">
        <f t="shared" si="36"/>
        <v>443.6666040154804</v>
      </c>
      <c r="I166" s="93">
        <f t="shared" si="36"/>
        <v>174.21686489113205</v>
      </c>
      <c r="J166" s="93">
        <f t="shared" si="36"/>
        <v>67.289396046359869</v>
      </c>
      <c r="K166" s="93">
        <f t="shared" si="36"/>
        <v>868.93783283322966</v>
      </c>
      <c r="L166" s="93">
        <f t="shared" si="36"/>
        <v>-701.97288488359209</v>
      </c>
      <c r="M166" s="93">
        <f t="shared" si="35"/>
        <v>-1570.9107177168216</v>
      </c>
    </row>
    <row r="167" spans="2:13" ht="15" thickBot="1" x14ac:dyDescent="0.4">
      <c r="B167" s="87" t="s">
        <v>32</v>
      </c>
      <c r="C167" s="93">
        <f t="shared" si="36"/>
        <v>0</v>
      </c>
      <c r="D167" s="93">
        <f t="shared" si="36"/>
        <v>66.729338150000004</v>
      </c>
      <c r="E167" s="93">
        <f t="shared" si="36"/>
        <v>20.941094263402295</v>
      </c>
      <c r="F167" s="93">
        <f t="shared" si="36"/>
        <v>1.1147438000000001</v>
      </c>
      <c r="G167" s="93">
        <f t="shared" si="36"/>
        <v>81.175260510741893</v>
      </c>
      <c r="H167" s="93">
        <f t="shared" si="36"/>
        <v>426.51963846623102</v>
      </c>
      <c r="I167" s="93">
        <f t="shared" si="36"/>
        <v>157.30002581165488</v>
      </c>
      <c r="J167" s="93">
        <f t="shared" si="36"/>
        <v>67.37869379901457</v>
      </c>
      <c r="K167" s="93">
        <f t="shared" si="36"/>
        <v>821.15879480104468</v>
      </c>
      <c r="L167" s="93">
        <f t="shared" si="36"/>
        <v>-991.62092441633627</v>
      </c>
      <c r="M167" s="93">
        <f t="shared" si="35"/>
        <v>-1812.7797192173809</v>
      </c>
    </row>
    <row r="168" spans="2:13" ht="15" thickBot="1" x14ac:dyDescent="0.4">
      <c r="B168" s="87" t="s">
        <v>33</v>
      </c>
      <c r="C168" s="93">
        <f t="shared" si="36"/>
        <v>0</v>
      </c>
      <c r="D168" s="93">
        <f t="shared" si="36"/>
        <v>66.395922589999998</v>
      </c>
      <c r="E168" s="93">
        <f t="shared" si="36"/>
        <v>17.493544263402296</v>
      </c>
      <c r="F168" s="93">
        <f t="shared" si="36"/>
        <v>1.10914431</v>
      </c>
      <c r="G168" s="93">
        <f t="shared" si="36"/>
        <v>72.256854975356092</v>
      </c>
      <c r="H168" s="93">
        <f t="shared" si="36"/>
        <v>410.09643093829612</v>
      </c>
      <c r="I168" s="93">
        <f t="shared" si="36"/>
        <v>98.575735640516868</v>
      </c>
      <c r="J168" s="93">
        <f t="shared" si="36"/>
        <v>67.444210839039314</v>
      </c>
      <c r="K168" s="93">
        <f t="shared" si="36"/>
        <v>733.37184355661066</v>
      </c>
      <c r="L168" s="93">
        <f t="shared" si="36"/>
        <v>-1231.3060245827373</v>
      </c>
      <c r="M168" s="93">
        <f t="shared" si="35"/>
        <v>-1964.677868139348</v>
      </c>
    </row>
    <row r="169" spans="2:13" ht="15" thickBot="1" x14ac:dyDescent="0.4">
      <c r="B169" s="87" t="s">
        <v>34</v>
      </c>
      <c r="C169" s="93">
        <f t="shared" si="36"/>
        <v>0</v>
      </c>
      <c r="D169" s="93">
        <f t="shared" si="36"/>
        <v>66.06409646000003</v>
      </c>
      <c r="E169" s="93">
        <f t="shared" si="36"/>
        <v>5.8804134599999998</v>
      </c>
      <c r="F169" s="93">
        <f t="shared" si="36"/>
        <v>1.10361205</v>
      </c>
      <c r="G169" s="93">
        <f t="shared" si="36"/>
        <v>65.220188635324078</v>
      </c>
      <c r="H169" s="93">
        <f t="shared" si="36"/>
        <v>394.25995719693924</v>
      </c>
      <c r="I169" s="93">
        <f t="shared" si="36"/>
        <v>57.710999621585223</v>
      </c>
      <c r="J169" s="93">
        <f t="shared" si="36"/>
        <v>67.522169661825245</v>
      </c>
      <c r="K169" s="93">
        <f t="shared" si="36"/>
        <v>657.76143708567383</v>
      </c>
      <c r="L169" s="93">
        <f t="shared" si="36"/>
        <v>-1380.6055460785069</v>
      </c>
      <c r="M169" s="93">
        <f t="shared" si="35"/>
        <v>-2038.3669831641807</v>
      </c>
    </row>
    <row r="170" spans="2:13" ht="15" thickBot="1" x14ac:dyDescent="0.4">
      <c r="B170" s="87" t="s">
        <v>35</v>
      </c>
      <c r="C170" s="93">
        <f t="shared" si="36"/>
        <v>0</v>
      </c>
      <c r="D170" s="93">
        <f t="shared" si="36"/>
        <v>65.733615220000004</v>
      </c>
      <c r="E170" s="93">
        <f t="shared" si="36"/>
        <v>0</v>
      </c>
      <c r="F170" s="93">
        <f t="shared" si="36"/>
        <v>1.0979568499999999</v>
      </c>
      <c r="G170" s="93">
        <f t="shared" si="36"/>
        <v>57.911425743519288</v>
      </c>
      <c r="H170" s="93">
        <f t="shared" si="36"/>
        <v>378.98709886326986</v>
      </c>
      <c r="I170" s="93">
        <f t="shared" si="36"/>
        <v>21.988268285125756</v>
      </c>
      <c r="J170" s="93">
        <f t="shared" si="36"/>
        <v>67.559698762090179</v>
      </c>
      <c r="K170" s="93">
        <f t="shared" si="36"/>
        <v>593.27806372400505</v>
      </c>
      <c r="L170" s="93">
        <f t="shared" si="36"/>
        <v>-1453.0436910945082</v>
      </c>
      <c r="M170" s="93">
        <f t="shared" si="35"/>
        <v>-2046.3217548185135</v>
      </c>
    </row>
    <row r="171" spans="2:13" ht="15" thickBot="1" x14ac:dyDescent="0.4">
      <c r="B171" s="87" t="s">
        <v>36</v>
      </c>
      <c r="C171" s="93">
        <f t="shared" si="36"/>
        <v>0</v>
      </c>
      <c r="D171" s="93">
        <f t="shared" si="36"/>
        <v>65.404727630000039</v>
      </c>
      <c r="E171" s="93">
        <f t="shared" si="36"/>
        <v>0</v>
      </c>
      <c r="F171" s="93">
        <f t="shared" si="36"/>
        <v>1.0925282199999997</v>
      </c>
      <c r="G171" s="93">
        <f t="shared" si="36"/>
        <v>51.844829029496559</v>
      </c>
      <c r="H171" s="93">
        <f t="shared" si="36"/>
        <v>364.25566053869045</v>
      </c>
      <c r="I171" s="93">
        <f t="shared" si="36"/>
        <v>-20.273666208033987</v>
      </c>
      <c r="J171" s="93">
        <f t="shared" si="36"/>
        <v>67.642751566603479</v>
      </c>
      <c r="K171" s="93">
        <f t="shared" si="36"/>
        <v>529.96683077675652</v>
      </c>
      <c r="L171" s="93">
        <f t="shared" si="36"/>
        <v>-1458.2300359317305</v>
      </c>
      <c r="M171" s="93">
        <f t="shared" si="35"/>
        <v>-1988.1968667084871</v>
      </c>
    </row>
    <row r="172" spans="2:13" ht="15" thickBot="1" x14ac:dyDescent="0.4">
      <c r="B172" s="87" t="s">
        <v>37</v>
      </c>
      <c r="C172" s="93">
        <f t="shared" si="36"/>
        <v>0</v>
      </c>
      <c r="D172" s="93">
        <f t="shared" si="36"/>
        <v>65.077908750000006</v>
      </c>
      <c r="E172" s="93">
        <f t="shared" si="36"/>
        <v>0</v>
      </c>
      <c r="F172" s="93">
        <f t="shared" si="36"/>
        <v>1.0870987599999999</v>
      </c>
      <c r="G172" s="93">
        <f t="shared" si="36"/>
        <v>46.273941959102977</v>
      </c>
      <c r="H172" s="93">
        <f t="shared" si="36"/>
        <v>350.04433289445865</v>
      </c>
      <c r="I172" s="93">
        <f t="shared" si="36"/>
        <v>-59.046933775466321</v>
      </c>
      <c r="J172" s="93">
        <f t="shared" si="36"/>
        <v>67.710238723197307</v>
      </c>
      <c r="K172" s="93">
        <f t="shared" si="36"/>
        <v>471.14658731129265</v>
      </c>
      <c r="L172" s="93">
        <f t="shared" si="36"/>
        <v>-1397.8555759352437</v>
      </c>
      <c r="M172" s="93">
        <f t="shared" si="35"/>
        <v>-1869.0021632465362</v>
      </c>
    </row>
    <row r="173" spans="2:13" ht="15" thickBot="1" x14ac:dyDescent="0.4">
      <c r="B173" s="87" t="s">
        <v>38</v>
      </c>
      <c r="C173" s="93">
        <f t="shared" si="36"/>
        <v>0</v>
      </c>
      <c r="D173" s="93">
        <f t="shared" si="36"/>
        <v>64.752159359999979</v>
      </c>
      <c r="E173" s="93">
        <f t="shared" si="36"/>
        <v>0</v>
      </c>
      <c r="F173" s="93">
        <f t="shared" si="36"/>
        <v>1.0816409599999999</v>
      </c>
      <c r="G173" s="93">
        <f t="shared" si="36"/>
        <v>39.154531336603924</v>
      </c>
      <c r="H173" s="93">
        <f t="shared" si="36"/>
        <v>347.89072908244299</v>
      </c>
      <c r="I173" s="93">
        <f t="shared" si="36"/>
        <v>-98.419542924216941</v>
      </c>
      <c r="J173" s="93">
        <f t="shared" si="36"/>
        <v>67.790826711418759</v>
      </c>
      <c r="K173" s="93">
        <f t="shared" si="36"/>
        <v>422.25034452624874</v>
      </c>
      <c r="L173" s="93">
        <f t="shared" si="36"/>
        <v>-1275.9746061992444</v>
      </c>
      <c r="M173" s="93">
        <f t="shared" si="35"/>
        <v>-1698.224950725493</v>
      </c>
    </row>
    <row r="174" spans="2:13" ht="15" thickBot="1" x14ac:dyDescent="0.4">
      <c r="B174" s="87" t="s">
        <v>39</v>
      </c>
      <c r="C174" s="93">
        <f t="shared" si="36"/>
        <v>0</v>
      </c>
      <c r="D174" s="93">
        <f t="shared" si="36"/>
        <v>64.428878509999976</v>
      </c>
      <c r="E174" s="93">
        <f t="shared" si="36"/>
        <v>0</v>
      </c>
      <c r="F174" s="93">
        <f t="shared" si="36"/>
        <v>1.0763356499999999</v>
      </c>
      <c r="G174" s="93">
        <f t="shared" si="36"/>
        <v>33.327937210552733</v>
      </c>
      <c r="H174" s="93">
        <f t="shared" si="36"/>
        <v>296.56921171247279</v>
      </c>
      <c r="I174" s="93">
        <f t="shared" si="36"/>
        <v>-165.07108440226824</v>
      </c>
      <c r="J174" s="93">
        <f t="shared" si="36"/>
        <v>67.846294061737652</v>
      </c>
      <c r="K174" s="93">
        <f t="shared" si="36"/>
        <v>298.17757274249493</v>
      </c>
      <c r="L174" s="93">
        <f t="shared" si="36"/>
        <v>-1103.3484820009046</v>
      </c>
      <c r="M174" s="93">
        <f t="shared" si="35"/>
        <v>-1401.5260547433995</v>
      </c>
    </row>
    <row r="175" spans="2:13" ht="15" thickBot="1" x14ac:dyDescent="0.4">
      <c r="B175" s="87" t="s">
        <v>40</v>
      </c>
      <c r="C175" s="93">
        <f t="shared" si="36"/>
        <v>0</v>
      </c>
      <c r="D175" s="93">
        <f t="shared" si="36"/>
        <v>64.106702660000025</v>
      </c>
      <c r="E175" s="93">
        <f t="shared" si="36"/>
        <v>0</v>
      </c>
      <c r="F175" s="93">
        <f t="shared" si="36"/>
        <v>1.0709731899999999</v>
      </c>
      <c r="G175" s="93">
        <f t="shared" si="36"/>
        <v>-52.20860513722657</v>
      </c>
      <c r="H175" s="93">
        <f t="shared" si="36"/>
        <v>282.92808739046546</v>
      </c>
      <c r="I175" s="93">
        <f t="shared" si="36"/>
        <v>-202.99762358865138</v>
      </c>
      <c r="J175" s="93">
        <f t="shared" si="36"/>
        <v>67.902792457592071</v>
      </c>
      <c r="K175" s="93">
        <f t="shared" si="36"/>
        <v>160.80232697217957</v>
      </c>
      <c r="L175" s="93">
        <f t="shared" si="36"/>
        <v>-804.76630615699742</v>
      </c>
      <c r="M175" s="93">
        <f t="shared" si="35"/>
        <v>-965.5686331291771</v>
      </c>
    </row>
  </sheetData>
  <mergeCells count="22">
    <mergeCell ref="B121:E121"/>
    <mergeCell ref="F121:G121"/>
    <mergeCell ref="H121:I121"/>
    <mergeCell ref="B151:E151"/>
    <mergeCell ref="F151:G151"/>
    <mergeCell ref="H151:I151"/>
    <mergeCell ref="B58:E58"/>
    <mergeCell ref="F58:G58"/>
    <mergeCell ref="H58:I58"/>
    <mergeCell ref="J58:K58"/>
    <mergeCell ref="B86:E86"/>
    <mergeCell ref="F86:G86"/>
    <mergeCell ref="H86:I86"/>
    <mergeCell ref="J86:K86"/>
    <mergeCell ref="B2:E2"/>
    <mergeCell ref="F2:G2"/>
    <mergeCell ref="H2:I2"/>
    <mergeCell ref="J2:K2"/>
    <mergeCell ref="B30:E30"/>
    <mergeCell ref="F30:G30"/>
    <mergeCell ref="H30:I30"/>
    <mergeCell ref="J30:K30"/>
  </mergeCells>
  <phoneticPr fontId="13" type="noConversion"/>
  <printOptions horizontalCentered="1" verticalCentered="1"/>
  <pageMargins left="0.7" right="0.7" top="0.75" bottom="0.75" header="0.3" footer="0.3"/>
  <pageSetup scale="49" orientation="landscape" r:id="rId1"/>
  <headerFooter>
    <oddHeader>&amp;A</oddHeader>
  </headerFooter>
  <rowBreaks count="2" manualBreakCount="2">
    <brk id="56" max="16383" man="1"/>
    <brk id="120" max="16383" man="1"/>
  </rowBreaks>
  <colBreaks count="1" manualBreakCount="1">
    <brk id="16" max="1048575" man="1"/>
  </colBreaks>
  <customProperties>
    <customPr name="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11784-F900-4255-ABD7-79B2653DF7EE}">
  <sheetPr>
    <tabColor theme="4" tint="0.59999389629810485"/>
    <pageSetUpPr fitToPage="1"/>
  </sheetPr>
  <dimension ref="A1:O171"/>
  <sheetViews>
    <sheetView topLeftCell="A28" zoomScale="120" zoomScaleNormal="120" workbookViewId="0">
      <selection activeCell="E50" sqref="E50"/>
    </sheetView>
  </sheetViews>
  <sheetFormatPr defaultColWidth="20.453125" defaultRowHeight="14.5" x14ac:dyDescent="0.35"/>
  <cols>
    <col min="1" max="1" width="19.54296875" bestFit="1" customWidth="1"/>
    <col min="2" max="2" width="14" bestFit="1" customWidth="1"/>
    <col min="3" max="3" width="14.54296875" bestFit="1" customWidth="1"/>
    <col min="4" max="4" width="14.453125" bestFit="1" customWidth="1"/>
    <col min="5" max="5" width="25.54296875" bestFit="1" customWidth="1"/>
    <col min="6" max="6" width="12.453125" bestFit="1" customWidth="1"/>
    <col min="11" max="11" width="14.453125" bestFit="1" customWidth="1"/>
    <col min="12" max="12" width="21.1796875" customWidth="1"/>
    <col min="14" max="14" width="22.54296875" customWidth="1"/>
  </cols>
  <sheetData>
    <row r="1" spans="1:15" x14ac:dyDescent="0.35">
      <c r="A1" s="1" t="s">
        <v>0</v>
      </c>
      <c r="B1" s="53"/>
      <c r="C1" s="53"/>
      <c r="D1" s="53"/>
      <c r="E1" s="52"/>
      <c r="F1" s="52"/>
      <c r="G1" s="52"/>
      <c r="H1" s="52"/>
      <c r="I1" s="52"/>
      <c r="J1" s="52"/>
      <c r="K1" s="52"/>
    </row>
    <row r="2" spans="1:15" ht="43.5" x14ac:dyDescent="0.35">
      <c r="A2" s="15" t="s">
        <v>1</v>
      </c>
      <c r="B2" s="15" t="s">
        <v>2</v>
      </c>
      <c r="C2" s="15" t="s">
        <v>3</v>
      </c>
      <c r="D2" s="15" t="s">
        <v>4</v>
      </c>
      <c r="E2" s="15" t="s">
        <v>5</v>
      </c>
      <c r="F2" s="15" t="s">
        <v>6</v>
      </c>
      <c r="G2" s="15" t="s">
        <v>7</v>
      </c>
      <c r="H2" s="15" t="s">
        <v>8</v>
      </c>
      <c r="I2" s="15" t="s">
        <v>9</v>
      </c>
      <c r="J2" s="15" t="s">
        <v>10</v>
      </c>
      <c r="K2" s="15" t="s">
        <v>11</v>
      </c>
    </row>
    <row r="3" spans="1:15" x14ac:dyDescent="0.35">
      <c r="A3" s="51"/>
      <c r="B3" s="51"/>
      <c r="C3" s="51"/>
      <c r="D3" s="51"/>
      <c r="E3" s="51"/>
      <c r="F3" s="51"/>
      <c r="G3" s="51"/>
      <c r="H3" s="51"/>
      <c r="I3" s="51"/>
      <c r="J3" s="51"/>
      <c r="K3" s="51"/>
    </row>
    <row r="4" spans="1:15" x14ac:dyDescent="0.35">
      <c r="A4" s="43" t="s">
        <v>12</v>
      </c>
      <c r="B4" s="43" t="s">
        <v>13</v>
      </c>
      <c r="C4" s="10" t="s">
        <v>14</v>
      </c>
      <c r="D4" s="50">
        <v>0.13</v>
      </c>
      <c r="E4" s="49">
        <f>E36+E69+E102</f>
        <v>76112663.900604993</v>
      </c>
      <c r="F4" s="48">
        <f>D4*E4</f>
        <v>9894646.3070786502</v>
      </c>
      <c r="G4" s="47">
        <f t="shared" ref="G4:G25" si="0">K4/E4</f>
        <v>1.8631099304986654</v>
      </c>
      <c r="H4" s="292" t="e">
        <f>J4/I4</f>
        <v>#DIV/0!</v>
      </c>
      <c r="I4" s="290">
        <f>I36+I69+I102</f>
        <v>0</v>
      </c>
      <c r="J4" s="291">
        <f>J36+J69+J102</f>
        <v>0</v>
      </c>
      <c r="K4" s="46">
        <f t="shared" ref="K4:K29" si="1">K69+K36+K102</f>
        <v>141806259.94992444</v>
      </c>
      <c r="O4" s="218"/>
    </row>
    <row r="5" spans="1:15" x14ac:dyDescent="0.35">
      <c r="A5" s="10" t="s">
        <v>15</v>
      </c>
      <c r="B5" s="10" t="s">
        <v>12</v>
      </c>
      <c r="C5" s="10" t="s">
        <v>14</v>
      </c>
      <c r="D5" s="50">
        <v>0.14499999999999999</v>
      </c>
      <c r="E5" s="49">
        <f t="shared" ref="E5:E29" si="2">E37+E70+E103</f>
        <v>101959380.99297675</v>
      </c>
      <c r="F5" s="48">
        <f>D5*E5</f>
        <v>14784110.243981628</v>
      </c>
      <c r="G5" s="47">
        <f>K5/E5</f>
        <v>1.8631022631949592</v>
      </c>
      <c r="H5" s="292" t="e">
        <f t="shared" ref="H5:H29" si="3">J5/I5</f>
        <v>#DIV/0!</v>
      </c>
      <c r="I5" s="290">
        <f t="shared" ref="I5:J29" si="4">I37+I70+I103</f>
        <v>0</v>
      </c>
      <c r="J5" s="291">
        <f t="shared" si="4"/>
        <v>0</v>
      </c>
      <c r="K5" s="46">
        <f>K70+K37+K103</f>
        <v>189960753.4819721</v>
      </c>
      <c r="O5" s="218"/>
    </row>
    <row r="6" spans="1:15" x14ac:dyDescent="0.35">
      <c r="A6" s="10" t="s">
        <v>16</v>
      </c>
      <c r="B6" s="10" t="s">
        <v>15</v>
      </c>
      <c r="C6" s="10" t="s">
        <v>14</v>
      </c>
      <c r="D6" s="50">
        <v>0.16</v>
      </c>
      <c r="E6" s="49">
        <f t="shared" si="2"/>
        <v>125865782.01627436</v>
      </c>
      <c r="F6" s="48">
        <f t="shared" ref="F6:F29" si="5">D6*E6</f>
        <v>20138525.122603897</v>
      </c>
      <c r="G6" s="47">
        <f t="shared" si="0"/>
        <v>1.8637295446897024</v>
      </c>
      <c r="H6" s="292" t="e">
        <f t="shared" si="3"/>
        <v>#DIV/0!</v>
      </c>
      <c r="I6" s="290">
        <f t="shared" si="4"/>
        <v>0</v>
      </c>
      <c r="J6" s="291">
        <f t="shared" si="4"/>
        <v>0</v>
      </c>
      <c r="K6" s="46">
        <f t="shared" si="1"/>
        <v>234579776.60920435</v>
      </c>
      <c r="O6" s="218"/>
    </row>
    <row r="7" spans="1:15" x14ac:dyDescent="0.35">
      <c r="A7" s="10" t="s">
        <v>17</v>
      </c>
      <c r="B7" s="10" t="s">
        <v>16</v>
      </c>
      <c r="C7" s="10" t="s">
        <v>14</v>
      </c>
      <c r="D7" s="50">
        <v>0.17500000000000004</v>
      </c>
      <c r="E7" s="49">
        <f t="shared" si="2"/>
        <v>120852469.47880016</v>
      </c>
      <c r="F7" s="48">
        <f t="shared" si="5"/>
        <v>21149182.158790033</v>
      </c>
      <c r="G7" s="47">
        <f t="shared" si="0"/>
        <v>1.8637269201154412</v>
      </c>
      <c r="H7" s="292" t="e">
        <f t="shared" si="3"/>
        <v>#DIV/0!</v>
      </c>
      <c r="I7" s="290">
        <f t="shared" si="4"/>
        <v>0</v>
      </c>
      <c r="J7" s="291">
        <f t="shared" si="4"/>
        <v>0</v>
      </c>
      <c r="K7" s="46">
        <f>K72+K39+K105</f>
        <v>225236000.73006958</v>
      </c>
      <c r="O7" s="218"/>
    </row>
    <row r="8" spans="1:15" x14ac:dyDescent="0.35">
      <c r="A8" s="10" t="s">
        <v>18</v>
      </c>
      <c r="B8" s="10" t="s">
        <v>17</v>
      </c>
      <c r="C8" s="10" t="s">
        <v>14</v>
      </c>
      <c r="D8" s="50">
        <v>0.19000000000000006</v>
      </c>
      <c r="E8" s="49">
        <f t="shared" si="2"/>
        <v>119923435.18328001</v>
      </c>
      <c r="F8" s="48">
        <f t="shared" si="5"/>
        <v>22785452.684823208</v>
      </c>
      <c r="G8" s="47">
        <f t="shared" si="0"/>
        <v>3.8752878926725569</v>
      </c>
      <c r="H8" s="292" t="e">
        <f t="shared" si="3"/>
        <v>#DIV/0!</v>
      </c>
      <c r="I8" s="290">
        <f t="shared" si="4"/>
        <v>0</v>
      </c>
      <c r="J8" s="291">
        <f t="shared" si="4"/>
        <v>0</v>
      </c>
      <c r="K8" s="46">
        <f t="shared" si="1"/>
        <v>464737836.41346717</v>
      </c>
      <c r="O8" s="218"/>
    </row>
    <row r="9" spans="1:15" x14ac:dyDescent="0.35">
      <c r="A9" s="10" t="s">
        <v>19</v>
      </c>
      <c r="B9" s="10" t="s">
        <v>18</v>
      </c>
      <c r="C9" s="10" t="s">
        <v>14</v>
      </c>
      <c r="D9" s="50">
        <v>0.20500000000000007</v>
      </c>
      <c r="E9" s="49">
        <f t="shared" si="2"/>
        <v>120302327.52374344</v>
      </c>
      <c r="F9" s="48">
        <f t="shared" si="5"/>
        <v>24661977.142367411</v>
      </c>
      <c r="G9" s="47">
        <f>K9/E9</f>
        <v>4.8832221741438255</v>
      </c>
      <c r="H9" s="292" t="e">
        <f t="shared" si="3"/>
        <v>#DIV/0!</v>
      </c>
      <c r="I9" s="290">
        <f t="shared" si="4"/>
        <v>0</v>
      </c>
      <c r="J9" s="291">
        <f t="shared" si="4"/>
        <v>0</v>
      </c>
      <c r="K9" s="46">
        <f t="shared" si="1"/>
        <v>587462993.36505699</v>
      </c>
      <c r="O9" s="218"/>
    </row>
    <row r="10" spans="1:15" x14ac:dyDescent="0.35">
      <c r="A10" s="43" t="s">
        <v>20</v>
      </c>
      <c r="B10" s="10" t="s">
        <v>19</v>
      </c>
      <c r="C10" s="10" t="s">
        <v>14</v>
      </c>
      <c r="D10" s="50">
        <v>0.22000000000000008</v>
      </c>
      <c r="E10" s="49">
        <f t="shared" si="2"/>
        <v>118284569.94609663</v>
      </c>
      <c r="F10" s="48">
        <f t="shared" si="5"/>
        <v>26022605.388141267</v>
      </c>
      <c r="G10" s="47">
        <f t="shared" si="0"/>
        <v>4.8816305447012747</v>
      </c>
      <c r="H10" s="292">
        <f t="shared" ref="H10" si="6">J10/I10</f>
        <v>0.31358750000000002</v>
      </c>
      <c r="I10" s="290">
        <f>I42+I75+I108</f>
        <v>800000</v>
      </c>
      <c r="J10" s="291">
        <f t="shared" si="4"/>
        <v>250870</v>
      </c>
      <c r="K10" s="46">
        <f>K75+K42+K108</f>
        <v>577421569.61571968</v>
      </c>
      <c r="L10" t="s">
        <v>21</v>
      </c>
      <c r="O10" s="218"/>
    </row>
    <row r="11" spans="1:15" x14ac:dyDescent="0.35">
      <c r="A11" s="43" t="s">
        <v>22</v>
      </c>
      <c r="B11" s="43" t="s">
        <v>20</v>
      </c>
      <c r="C11" s="10" t="s">
        <v>14</v>
      </c>
      <c r="D11" s="50">
        <v>0.2350000000000001</v>
      </c>
      <c r="E11" s="49">
        <f t="shared" si="2"/>
        <v>117448534.41866967</v>
      </c>
      <c r="F11" s="48">
        <f t="shared" si="5"/>
        <v>27600405.588387385</v>
      </c>
      <c r="G11" s="47">
        <f t="shared" si="0"/>
        <v>4.884076712853596</v>
      </c>
      <c r="H11" s="293" t="e">
        <f>J11/I11</f>
        <v>#DIV/0!</v>
      </c>
      <c r="I11" s="290">
        <f>I43+I76+I109</f>
        <v>0</v>
      </c>
      <c r="J11" s="291">
        <f t="shared" si="4"/>
        <v>0</v>
      </c>
      <c r="K11" s="46">
        <f t="shared" si="1"/>
        <v>573627651.91300857</v>
      </c>
      <c r="L11" s="185"/>
      <c r="M11" s="185"/>
      <c r="O11" s="218"/>
    </row>
    <row r="12" spans="1:15" x14ac:dyDescent="0.35">
      <c r="A12" s="43" t="s">
        <v>23</v>
      </c>
      <c r="B12" s="43" t="s">
        <v>22</v>
      </c>
      <c r="C12" s="10" t="s">
        <v>14</v>
      </c>
      <c r="D12" s="50">
        <v>0.25000000000000011</v>
      </c>
      <c r="E12" s="49">
        <f t="shared" si="2"/>
        <v>116009160.13942751</v>
      </c>
      <c r="F12" s="48">
        <f t="shared" si="5"/>
        <v>29002290.034856889</v>
      </c>
      <c r="G12" s="47">
        <f t="shared" si="0"/>
        <v>4.883951511578517</v>
      </c>
      <c r="H12" s="292" t="e">
        <f t="shared" si="3"/>
        <v>#DIV/0!</v>
      </c>
      <c r="I12" s="290">
        <f t="shared" si="4"/>
        <v>0</v>
      </c>
      <c r="J12" s="291">
        <f t="shared" si="4"/>
        <v>0</v>
      </c>
      <c r="K12" s="46">
        <f t="shared" si="1"/>
        <v>566583113.01991129</v>
      </c>
      <c r="L12" s="185"/>
      <c r="M12" s="185"/>
      <c r="O12" s="218"/>
    </row>
    <row r="13" spans="1:15" x14ac:dyDescent="0.35">
      <c r="A13" s="10" t="s">
        <v>24</v>
      </c>
      <c r="B13" s="10" t="s">
        <v>23</v>
      </c>
      <c r="C13" s="10" t="s">
        <v>14</v>
      </c>
      <c r="D13" s="50">
        <v>0.28000000000000003</v>
      </c>
      <c r="E13" s="49">
        <f t="shared" si="2"/>
        <v>115254880.84831586</v>
      </c>
      <c r="F13" s="48">
        <f t="shared" si="5"/>
        <v>32271366.637528446</v>
      </c>
      <c r="G13" s="47">
        <f t="shared" si="0"/>
        <v>4.8844819051745176</v>
      </c>
      <c r="H13" s="292" t="e">
        <f t="shared" si="3"/>
        <v>#DIV/0!</v>
      </c>
      <c r="I13" s="290">
        <f t="shared" si="4"/>
        <v>0</v>
      </c>
      <c r="J13" s="291">
        <f t="shared" si="4"/>
        <v>0</v>
      </c>
      <c r="K13" s="46">
        <f t="shared" si="1"/>
        <v>562960379.98664391</v>
      </c>
      <c r="L13" s="185"/>
      <c r="M13" s="185"/>
      <c r="O13" s="218"/>
    </row>
    <row r="14" spans="1:15" x14ac:dyDescent="0.35">
      <c r="A14" s="10" t="s">
        <v>25</v>
      </c>
      <c r="B14" s="10" t="s">
        <v>24</v>
      </c>
      <c r="C14" s="10" t="s">
        <v>14</v>
      </c>
      <c r="D14" s="50">
        <v>0.31</v>
      </c>
      <c r="E14" s="49">
        <f t="shared" si="2"/>
        <v>115059568.07173257</v>
      </c>
      <c r="F14" s="48">
        <f t="shared" si="5"/>
        <v>35668466.102237098</v>
      </c>
      <c r="G14" s="47">
        <f t="shared" si="0"/>
        <v>4.8851231125653847</v>
      </c>
      <c r="H14" s="292" t="e">
        <f t="shared" si="3"/>
        <v>#DIV/0!</v>
      </c>
      <c r="I14" s="290">
        <f t="shared" si="4"/>
        <v>0</v>
      </c>
      <c r="J14" s="291">
        <f t="shared" si="4"/>
        <v>0</v>
      </c>
      <c r="K14" s="46">
        <f t="shared" si="1"/>
        <v>562080155.30901098</v>
      </c>
      <c r="L14" s="185"/>
      <c r="M14" s="185"/>
      <c r="O14" s="218"/>
    </row>
    <row r="15" spans="1:15" x14ac:dyDescent="0.35">
      <c r="A15" s="10" t="s">
        <v>26</v>
      </c>
      <c r="B15" s="10" t="s">
        <v>25</v>
      </c>
      <c r="C15" s="10" t="s">
        <v>14</v>
      </c>
      <c r="D15" s="50">
        <v>0.34</v>
      </c>
      <c r="E15" s="49">
        <f t="shared" si="2"/>
        <v>115352048.76349725</v>
      </c>
      <c r="F15" s="48">
        <f t="shared" si="5"/>
        <v>39219696.579589069</v>
      </c>
      <c r="G15" s="47">
        <f t="shared" si="0"/>
        <v>4.8854577931478262</v>
      </c>
      <c r="H15" s="292" t="e">
        <f t="shared" si="3"/>
        <v>#DIV/0!</v>
      </c>
      <c r="I15" s="290">
        <f t="shared" si="4"/>
        <v>0</v>
      </c>
      <c r="J15" s="291">
        <f t="shared" si="4"/>
        <v>0</v>
      </c>
      <c r="K15" s="46">
        <f>K80+K47+K113</f>
        <v>563547565.58719575</v>
      </c>
      <c r="L15" s="185"/>
      <c r="M15" s="185"/>
      <c r="O15" s="218"/>
    </row>
    <row r="16" spans="1:15" x14ac:dyDescent="0.35">
      <c r="A16" s="43" t="s">
        <v>27</v>
      </c>
      <c r="B16" s="10" t="s">
        <v>26</v>
      </c>
      <c r="C16" s="10" t="s">
        <v>14</v>
      </c>
      <c r="D16" s="50">
        <v>0.37</v>
      </c>
      <c r="E16" s="49">
        <f t="shared" si="2"/>
        <v>115444801.36907181</v>
      </c>
      <c r="F16" s="48">
        <f t="shared" si="5"/>
        <v>42714576.506556571</v>
      </c>
      <c r="G16" s="47">
        <f t="shared" si="0"/>
        <v>4.8855663558881108</v>
      </c>
      <c r="H16" s="292" t="e">
        <f t="shared" si="3"/>
        <v>#DIV/0!</v>
      </c>
      <c r="I16" s="290">
        <f t="shared" si="4"/>
        <v>0</v>
      </c>
      <c r="J16" s="291">
        <f t="shared" si="4"/>
        <v>0</v>
      </c>
      <c r="K16" s="46">
        <f t="shared" si="1"/>
        <v>564013237.53092301</v>
      </c>
      <c r="L16" s="185"/>
      <c r="M16" s="185"/>
      <c r="O16" s="218"/>
    </row>
    <row r="17" spans="1:15" x14ac:dyDescent="0.35">
      <c r="A17" s="43" t="s">
        <v>28</v>
      </c>
      <c r="B17" s="43" t="s">
        <v>27</v>
      </c>
      <c r="C17" s="10" t="s">
        <v>14</v>
      </c>
      <c r="D17" s="50">
        <v>0.4</v>
      </c>
      <c r="E17" s="49">
        <f t="shared" si="2"/>
        <v>116128439.89725208</v>
      </c>
      <c r="F17" s="48">
        <f>D17*E17</f>
        <v>46451375.958900839</v>
      </c>
      <c r="G17" s="47">
        <f t="shared" si="0"/>
        <v>4.886367469367725</v>
      </c>
      <c r="H17" s="292" t="e">
        <f t="shared" si="3"/>
        <v>#DIV/0!</v>
      </c>
      <c r="I17" s="290">
        <f t="shared" si="4"/>
        <v>0</v>
      </c>
      <c r="J17" s="291">
        <f t="shared" si="4"/>
        <v>0</v>
      </c>
      <c r="K17" s="46">
        <f t="shared" si="1"/>
        <v>567446230.98235762</v>
      </c>
      <c r="L17" s="185"/>
      <c r="M17" s="185"/>
      <c r="O17" s="218"/>
    </row>
    <row r="18" spans="1:15" x14ac:dyDescent="0.35">
      <c r="A18" s="43" t="s">
        <v>29</v>
      </c>
      <c r="B18" s="43" t="s">
        <v>28</v>
      </c>
      <c r="C18" s="10" t="s">
        <v>14</v>
      </c>
      <c r="D18" s="50">
        <v>0.40902608000000001</v>
      </c>
      <c r="E18" s="49">
        <f t="shared" si="2"/>
        <v>116772618.43303859</v>
      </c>
      <c r="F18" s="48">
        <f t="shared" si="5"/>
        <v>47763046.369001523</v>
      </c>
      <c r="G18" s="47">
        <f t="shared" si="0"/>
        <v>4.8871192254907125</v>
      </c>
      <c r="H18" s="292" t="e">
        <f t="shared" si="3"/>
        <v>#DIV/0!</v>
      </c>
      <c r="I18" s="290">
        <f t="shared" si="4"/>
        <v>0</v>
      </c>
      <c r="J18" s="291">
        <f t="shared" si="4"/>
        <v>0</v>
      </c>
      <c r="K18" s="46">
        <f t="shared" si="1"/>
        <v>570681708.55499411</v>
      </c>
      <c r="L18" s="185"/>
      <c r="M18" s="185"/>
      <c r="O18" s="218"/>
    </row>
    <row r="19" spans="1:15" x14ac:dyDescent="0.35">
      <c r="A19" s="10" t="s">
        <v>30</v>
      </c>
      <c r="B19" s="10" t="s">
        <v>29</v>
      </c>
      <c r="C19" s="10" t="s">
        <v>14</v>
      </c>
      <c r="D19" s="50">
        <v>0.41825583530041599</v>
      </c>
      <c r="E19" s="49">
        <f t="shared" si="2"/>
        <v>117528902.61606564</v>
      </c>
      <c r="F19" s="48">
        <f t="shared" si="5"/>
        <v>49157149.335623778</v>
      </c>
      <c r="G19" s="47">
        <f t="shared" si="0"/>
        <v>4.8879898815184388</v>
      </c>
      <c r="H19" s="292" t="e">
        <f t="shared" si="3"/>
        <v>#DIV/0!</v>
      </c>
      <c r="I19" s="290">
        <f t="shared" si="4"/>
        <v>0</v>
      </c>
      <c r="J19" s="291">
        <f t="shared" si="4"/>
        <v>0</v>
      </c>
      <c r="K19" s="46">
        <f t="shared" si="1"/>
        <v>574480086.77329481</v>
      </c>
      <c r="L19" s="185"/>
      <c r="M19" s="185"/>
      <c r="O19" s="218"/>
    </row>
    <row r="20" spans="1:15" x14ac:dyDescent="0.35">
      <c r="A20" s="10" t="s">
        <v>31</v>
      </c>
      <c r="B20" s="10" t="s">
        <v>30</v>
      </c>
      <c r="C20" s="10" t="s">
        <v>14</v>
      </c>
      <c r="D20" s="50">
        <v>0.42769386187513697</v>
      </c>
      <c r="E20" s="49">
        <f t="shared" si="2"/>
        <v>117893798.69128877</v>
      </c>
      <c r="F20" s="48">
        <f t="shared" si="5"/>
        <v>50422454.053407259</v>
      </c>
      <c r="G20" s="47">
        <f t="shared" si="0"/>
        <v>4.888409805628843</v>
      </c>
      <c r="H20" s="292" t="e">
        <f t="shared" si="3"/>
        <v>#DIV/0!</v>
      </c>
      <c r="I20" s="290">
        <f t="shared" si="4"/>
        <v>0</v>
      </c>
      <c r="J20" s="291">
        <f t="shared" si="4"/>
        <v>0</v>
      </c>
      <c r="K20" s="46">
        <f t="shared" si="1"/>
        <v>576313201.54532886</v>
      </c>
      <c r="L20" s="185"/>
      <c r="M20" s="185"/>
      <c r="O20" s="218"/>
    </row>
    <row r="21" spans="1:15" x14ac:dyDescent="0.35">
      <c r="A21" s="10" t="s">
        <v>32</v>
      </c>
      <c r="B21" s="10" t="s">
        <v>31</v>
      </c>
      <c r="C21" s="10" t="s">
        <v>14</v>
      </c>
      <c r="D21" s="50">
        <v>0.43734485940712181</v>
      </c>
      <c r="E21" s="49">
        <f t="shared" si="2"/>
        <v>118486356.65467341</v>
      </c>
      <c r="F21" s="48">
        <f t="shared" si="5"/>
        <v>51819398.992800236</v>
      </c>
      <c r="G21" s="47">
        <f t="shared" si="0"/>
        <v>4.8890843609008607</v>
      </c>
      <c r="H21" s="292" t="e">
        <f t="shared" si="3"/>
        <v>#DIV/0!</v>
      </c>
      <c r="I21" s="290">
        <f t="shared" si="4"/>
        <v>0</v>
      </c>
      <c r="J21" s="291">
        <f t="shared" si="4"/>
        <v>0</v>
      </c>
      <c r="K21" s="46">
        <f t="shared" si="1"/>
        <v>579289793.30048537</v>
      </c>
      <c r="L21" s="185"/>
      <c r="M21" s="185"/>
      <c r="O21" s="218"/>
    </row>
    <row r="22" spans="1:15" x14ac:dyDescent="0.35">
      <c r="A22" s="10" t="s">
        <v>33</v>
      </c>
      <c r="B22" s="10" t="s">
        <v>32</v>
      </c>
      <c r="C22" s="10" t="s">
        <v>14</v>
      </c>
      <c r="D22" s="50">
        <v>0.44721363362861538</v>
      </c>
      <c r="E22" s="49">
        <f t="shared" si="2"/>
        <v>118921146.03699698</v>
      </c>
      <c r="F22" s="48">
        <f t="shared" si="5"/>
        <v>53183157.834484629</v>
      </c>
      <c r="G22" s="47">
        <f t="shared" si="0"/>
        <v>4.8895735873058612</v>
      </c>
      <c r="H22" s="292" t="e">
        <f t="shared" si="3"/>
        <v>#DIV/0!</v>
      </c>
      <c r="I22" s="290">
        <f t="shared" si="4"/>
        <v>0</v>
      </c>
      <c r="J22" s="291">
        <f t="shared" si="4"/>
        <v>0</v>
      </c>
      <c r="K22" s="46">
        <f t="shared" si="1"/>
        <v>581473694.63464355</v>
      </c>
      <c r="L22" s="185"/>
      <c r="M22" s="185"/>
      <c r="O22" s="218"/>
    </row>
    <row r="23" spans="1:15" x14ac:dyDescent="0.35">
      <c r="A23" s="10" t="s">
        <v>34</v>
      </c>
      <c r="B23" s="10" t="s">
        <v>33</v>
      </c>
      <c r="C23" s="10" t="s">
        <v>14</v>
      </c>
      <c r="D23" s="50">
        <v>0.45730509871417185</v>
      </c>
      <c r="E23" s="49">
        <f t="shared" si="2"/>
        <v>119438458.76329821</v>
      </c>
      <c r="F23" s="48">
        <f t="shared" si="5"/>
        <v>54619816.175018631</v>
      </c>
      <c r="G23" s="47">
        <f t="shared" si="0"/>
        <v>4.8901528712652684</v>
      </c>
      <c r="H23" s="292" t="e">
        <f t="shared" si="3"/>
        <v>#DIV/0!</v>
      </c>
      <c r="I23" s="290">
        <f t="shared" si="4"/>
        <v>0</v>
      </c>
      <c r="J23" s="291">
        <f t="shared" si="4"/>
        <v>0</v>
      </c>
      <c r="K23" s="46">
        <f t="shared" si="1"/>
        <v>584072322.06084108</v>
      </c>
      <c r="L23" s="185"/>
      <c r="M23" s="185"/>
      <c r="O23" s="218"/>
    </row>
    <row r="24" spans="1:15" x14ac:dyDescent="0.35">
      <c r="A24" s="10" t="s">
        <v>35</v>
      </c>
      <c r="B24" s="10" t="s">
        <v>34</v>
      </c>
      <c r="C24" s="10" t="s">
        <v>14</v>
      </c>
      <c r="D24" s="50">
        <v>0.46762427972767689</v>
      </c>
      <c r="E24" s="49">
        <f t="shared" si="2"/>
        <v>119687558.50863524</v>
      </c>
      <c r="F24" s="48">
        <f t="shared" si="5"/>
        <v>55968808.33996474</v>
      </c>
      <c r="G24" s="47">
        <f t="shared" si="0"/>
        <v>4.8904272036549443</v>
      </c>
      <c r="H24" s="292" t="e">
        <f t="shared" si="3"/>
        <v>#DIV/0!</v>
      </c>
      <c r="I24" s="290">
        <f t="shared" si="4"/>
        <v>0</v>
      </c>
      <c r="J24" s="291">
        <f t="shared" si="4"/>
        <v>0</v>
      </c>
      <c r="K24" s="46">
        <f t="shared" si="1"/>
        <v>585323292.06967258</v>
      </c>
      <c r="L24" s="185"/>
      <c r="M24" s="185"/>
      <c r="O24" s="218"/>
    </row>
    <row r="25" spans="1:15" x14ac:dyDescent="0.35">
      <c r="A25" s="10" t="s">
        <v>36</v>
      </c>
      <c r="B25" s="10" t="s">
        <v>35</v>
      </c>
      <c r="C25" s="10" t="s">
        <v>14</v>
      </c>
      <c r="D25" s="50">
        <v>0.47817631512458791</v>
      </c>
      <c r="E25" s="49">
        <f t="shared" si="2"/>
        <v>120238640.29400086</v>
      </c>
      <c r="F25" s="48">
        <f t="shared" si="5"/>
        <v>57495269.951376133</v>
      </c>
      <c r="G25" s="47">
        <f t="shared" si="0"/>
        <v>4.8910376684966961</v>
      </c>
      <c r="H25" s="292" t="e">
        <f t="shared" si="3"/>
        <v>#DIV/0!</v>
      </c>
      <c r="I25" s="290">
        <f t="shared" si="4"/>
        <v>0</v>
      </c>
      <c r="J25" s="291">
        <f t="shared" si="4"/>
        <v>0</v>
      </c>
      <c r="K25" s="46">
        <f t="shared" si="1"/>
        <v>588091718.88678288</v>
      </c>
      <c r="L25" s="185"/>
      <c r="M25" s="185"/>
      <c r="O25" s="218"/>
    </row>
    <row r="26" spans="1:15" x14ac:dyDescent="0.35">
      <c r="A26" s="10" t="s">
        <v>37</v>
      </c>
      <c r="B26" s="10" t="s">
        <v>36</v>
      </c>
      <c r="C26" s="10" t="s">
        <v>14</v>
      </c>
      <c r="D26" s="50">
        <v>0.48896645931063754</v>
      </c>
      <c r="E26" s="49">
        <f t="shared" si="2"/>
        <v>120686452.29894094</v>
      </c>
      <c r="F26" s="48">
        <f t="shared" si="5"/>
        <v>59011627.267375305</v>
      </c>
      <c r="G26" s="47">
        <v>4.8906096307934241</v>
      </c>
      <c r="H26" s="292" t="e">
        <f t="shared" si="3"/>
        <v>#DIV/0!</v>
      </c>
      <c r="I26" s="290">
        <f t="shared" si="4"/>
        <v>0</v>
      </c>
      <c r="J26" s="291">
        <f t="shared" si="4"/>
        <v>0</v>
      </c>
      <c r="K26" s="46">
        <f t="shared" si="1"/>
        <v>590341290.77324343</v>
      </c>
      <c r="L26" s="185"/>
      <c r="M26" s="185"/>
      <c r="O26" s="218"/>
    </row>
    <row r="27" spans="1:15" x14ac:dyDescent="0.35">
      <c r="A27" s="10" t="s">
        <v>38</v>
      </c>
      <c r="B27" s="10" t="s">
        <v>37</v>
      </c>
      <c r="C27" s="10" t="s">
        <v>14</v>
      </c>
      <c r="D27" s="50">
        <v>0.50000008525827411</v>
      </c>
      <c r="E27" s="49">
        <f t="shared" si="2"/>
        <v>121221161.66351463</v>
      </c>
      <c r="F27" s="48">
        <f t="shared" si="5"/>
        <v>60610591.166864343</v>
      </c>
      <c r="G27" s="47">
        <v>4.8906096307934241</v>
      </c>
      <c r="H27" s="292" t="e">
        <f t="shared" si="3"/>
        <v>#DIV/0!</v>
      </c>
      <c r="I27" s="290">
        <f t="shared" si="4"/>
        <v>0</v>
      </c>
      <c r="J27" s="291">
        <f t="shared" si="4"/>
        <v>0</v>
      </c>
      <c r="K27" s="46">
        <f t="shared" si="1"/>
        <v>593027557.04729199</v>
      </c>
      <c r="L27" s="185"/>
      <c r="M27" s="185"/>
      <c r="O27" s="218"/>
    </row>
    <row r="28" spans="1:15" x14ac:dyDescent="0.35">
      <c r="A28" s="10" t="s">
        <v>39</v>
      </c>
      <c r="B28" s="10" t="s">
        <v>38</v>
      </c>
      <c r="C28" s="10" t="s">
        <v>14</v>
      </c>
      <c r="D28" s="50">
        <v>0.5</v>
      </c>
      <c r="E28" s="49">
        <f t="shared" si="2"/>
        <v>121589216.69504304</v>
      </c>
      <c r="F28" s="48">
        <f t="shared" si="5"/>
        <v>60794608.347521521</v>
      </c>
      <c r="G28" s="47">
        <v>4.8906096307934241</v>
      </c>
      <c r="H28" s="292" t="e">
        <f t="shared" si="3"/>
        <v>#DIV/0!</v>
      </c>
      <c r="I28" s="290">
        <f t="shared" si="4"/>
        <v>0</v>
      </c>
      <c r="J28" s="291">
        <f t="shared" si="4"/>
        <v>0</v>
      </c>
      <c r="K28" s="46">
        <f t="shared" si="1"/>
        <v>594876468.72458827</v>
      </c>
      <c r="L28" s="185"/>
    </row>
    <row r="29" spans="1:15" x14ac:dyDescent="0.35">
      <c r="A29" s="10" t="s">
        <v>40</v>
      </c>
      <c r="B29" s="10" t="s">
        <v>39</v>
      </c>
      <c r="C29" s="10" t="s">
        <v>14</v>
      </c>
      <c r="D29" s="50">
        <v>0.5</v>
      </c>
      <c r="E29" s="49">
        <f t="shared" si="2"/>
        <v>121964101.55949385</v>
      </c>
      <c r="F29" s="48">
        <f t="shared" si="5"/>
        <v>60982050.779746927</v>
      </c>
      <c r="G29" s="47">
        <v>4.8906096307934241</v>
      </c>
      <c r="H29" s="292" t="e">
        <f t="shared" si="3"/>
        <v>#DIV/0!</v>
      </c>
      <c r="I29" s="290">
        <f t="shared" si="4"/>
        <v>0</v>
      </c>
      <c r="J29" s="291">
        <f t="shared" si="4"/>
        <v>0</v>
      </c>
      <c r="K29" s="46">
        <f t="shared" si="1"/>
        <v>596759748.58640218</v>
      </c>
      <c r="L29" s="185"/>
    </row>
    <row r="33" spans="1:12" x14ac:dyDescent="0.35">
      <c r="A33" s="1" t="s">
        <v>41</v>
      </c>
    </row>
    <row r="34" spans="1:12" ht="43.5" x14ac:dyDescent="0.35">
      <c r="A34" s="15" t="s">
        <v>1</v>
      </c>
      <c r="B34" s="15" t="s">
        <v>2</v>
      </c>
      <c r="C34" s="15" t="s">
        <v>3</v>
      </c>
      <c r="D34" s="15" t="s">
        <v>4</v>
      </c>
      <c r="E34" s="209" t="s">
        <v>42</v>
      </c>
      <c r="F34" s="15" t="s">
        <v>6</v>
      </c>
      <c r="G34" s="15" t="s">
        <v>7</v>
      </c>
      <c r="H34" s="15" t="s">
        <v>8</v>
      </c>
      <c r="I34" s="15" t="s">
        <v>9</v>
      </c>
      <c r="J34" s="15" t="s">
        <v>10</v>
      </c>
      <c r="K34" s="15" t="s">
        <v>11</v>
      </c>
    </row>
    <row r="35" spans="1:12" x14ac:dyDescent="0.35">
      <c r="A35" s="51"/>
      <c r="B35" s="51"/>
      <c r="C35" s="51"/>
      <c r="D35" s="51"/>
      <c r="E35" s="51"/>
      <c r="F35" s="51"/>
      <c r="G35" s="51"/>
      <c r="H35" s="51"/>
      <c r="I35" s="51"/>
      <c r="J35" s="51"/>
      <c r="K35" s="51"/>
    </row>
    <row r="36" spans="1:12" x14ac:dyDescent="0.35">
      <c r="A36" s="43" t="s">
        <v>12</v>
      </c>
      <c r="B36" s="43" t="s">
        <v>13</v>
      </c>
      <c r="C36" s="10" t="s">
        <v>41</v>
      </c>
      <c r="D36" s="50">
        <v>0.13</v>
      </c>
      <c r="E36" s="69">
        <v>21152969.5</v>
      </c>
      <c r="F36" s="48">
        <f t="shared" ref="F36:F61" si="7">D36*E36</f>
        <v>2749886.0350000001</v>
      </c>
      <c r="G36" s="54">
        <v>1.8053999999999999</v>
      </c>
      <c r="H36" s="54"/>
      <c r="I36" s="54"/>
      <c r="J36" s="54"/>
      <c r="K36" s="46">
        <f>E36*G36</f>
        <v>38189571.135299996</v>
      </c>
    </row>
    <row r="37" spans="1:12" x14ac:dyDescent="0.35">
      <c r="A37" s="10" t="s">
        <v>15</v>
      </c>
      <c r="B37" s="10" t="s">
        <v>12</v>
      </c>
      <c r="C37" s="10" t="s">
        <v>41</v>
      </c>
      <c r="D37" s="50">
        <v>0.14499999999999999</v>
      </c>
      <c r="E37" s="69">
        <v>29995819.886929087</v>
      </c>
      <c r="F37" s="48">
        <f t="shared" si="7"/>
        <v>4349393.8836047174</v>
      </c>
      <c r="G37" s="54">
        <v>1.8053999999999999</v>
      </c>
      <c r="H37" s="54"/>
      <c r="I37" s="54"/>
      <c r="J37" s="54"/>
      <c r="K37" s="46">
        <f>E37*G37</f>
        <v>54154453.223861769</v>
      </c>
    </row>
    <row r="38" spans="1:12" x14ac:dyDescent="0.35">
      <c r="A38" s="10" t="s">
        <v>16</v>
      </c>
      <c r="B38" s="10" t="s">
        <v>15</v>
      </c>
      <c r="C38" s="10" t="s">
        <v>41</v>
      </c>
      <c r="D38" s="50">
        <v>0.16</v>
      </c>
      <c r="E38" s="69">
        <v>36810006</v>
      </c>
      <c r="F38" s="48">
        <f t="shared" si="7"/>
        <v>5889600.96</v>
      </c>
      <c r="G38" s="54">
        <v>1.8053999999999999</v>
      </c>
      <c r="H38" s="54"/>
      <c r="I38" s="54"/>
      <c r="J38" s="54"/>
      <c r="K38" s="46">
        <f>E38*G38</f>
        <v>66456784.832399994</v>
      </c>
    </row>
    <row r="39" spans="1:12" x14ac:dyDescent="0.35">
      <c r="A39" s="10" t="s">
        <v>17</v>
      </c>
      <c r="B39" s="10" t="s">
        <v>16</v>
      </c>
      <c r="C39" s="10" t="s">
        <v>41</v>
      </c>
      <c r="D39" s="50">
        <v>0.17500000000000004</v>
      </c>
      <c r="E39" s="69">
        <f>35620834882/1000</f>
        <v>35620834.881999999</v>
      </c>
      <c r="F39" s="48">
        <f t="shared" si="7"/>
        <v>6233646.1043500016</v>
      </c>
      <c r="G39" s="54">
        <v>1.8053999999999999</v>
      </c>
      <c r="H39" s="54"/>
      <c r="I39" s="54"/>
      <c r="J39" s="54"/>
      <c r="K39" s="46">
        <f>E39*G39</f>
        <v>64309855.295962796</v>
      </c>
    </row>
    <row r="40" spans="1:12" x14ac:dyDescent="0.35">
      <c r="A40" s="10" t="s">
        <v>18</v>
      </c>
      <c r="B40" s="10" t="s">
        <v>17</v>
      </c>
      <c r="C40" s="10" t="s">
        <v>41</v>
      </c>
      <c r="D40" s="50">
        <v>0.19000000000000006</v>
      </c>
      <c r="E40" s="69">
        <v>35458611</v>
      </c>
      <c r="F40" s="48">
        <f t="shared" si="7"/>
        <v>6737136.0900000017</v>
      </c>
      <c r="G40" s="61">
        <f>(G39*(1/3))+(G41*(2/3))</f>
        <v>3.652133333333333</v>
      </c>
      <c r="H40" s="61"/>
      <c r="I40" s="61"/>
      <c r="J40" s="61"/>
      <c r="K40" s="46">
        <f>E40*G40</f>
        <v>129499575.18679999</v>
      </c>
    </row>
    <row r="41" spans="1:12" x14ac:dyDescent="0.35">
      <c r="A41" s="10" t="s">
        <v>19</v>
      </c>
      <c r="B41" s="10" t="s">
        <v>18</v>
      </c>
      <c r="C41" s="10" t="s">
        <v>41</v>
      </c>
      <c r="D41" s="50">
        <v>0.20500000000000007</v>
      </c>
      <c r="E41" s="69">
        <v>35074493</v>
      </c>
      <c r="F41" s="48">
        <f t="shared" si="7"/>
        <v>7190271.0650000023</v>
      </c>
      <c r="G41" s="54">
        <v>4.5754999999999999</v>
      </c>
      <c r="H41" s="54"/>
      <c r="I41" s="54"/>
      <c r="J41" s="54"/>
      <c r="K41" s="46">
        <f t="shared" ref="K41:K61" si="8">G41*E41</f>
        <v>160483342.72150001</v>
      </c>
    </row>
    <row r="42" spans="1:12" x14ac:dyDescent="0.35">
      <c r="A42" s="43" t="s">
        <v>20</v>
      </c>
      <c r="B42" s="10" t="s">
        <v>19</v>
      </c>
      <c r="C42" s="10" t="s">
        <v>41</v>
      </c>
      <c r="D42" s="50">
        <v>0.22000000000000008</v>
      </c>
      <c r="E42" s="69">
        <f>34318518.792809</f>
        <v>34318518.792809002</v>
      </c>
      <c r="F42" s="48">
        <f t="shared" si="7"/>
        <v>7550074.1344179837</v>
      </c>
      <c r="G42" s="54">
        <v>4.5754999999999999</v>
      </c>
      <c r="H42" s="245">
        <v>0.31391599999999997</v>
      </c>
      <c r="I42" s="13">
        <v>200000</v>
      </c>
      <c r="J42" s="28">
        <f>H42*I42</f>
        <v>62783.199999999997</v>
      </c>
      <c r="K42" s="294">
        <f>(G42*E42)-J42</f>
        <v>156961599.53649759</v>
      </c>
      <c r="L42" s="31" t="s">
        <v>344</v>
      </c>
    </row>
    <row r="43" spans="1:12" x14ac:dyDescent="0.35">
      <c r="A43" s="43" t="s">
        <v>22</v>
      </c>
      <c r="B43" s="43" t="s">
        <v>20</v>
      </c>
      <c r="C43" s="10" t="s">
        <v>41</v>
      </c>
      <c r="D43" s="50">
        <v>0.2350000000000001</v>
      </c>
      <c r="E43" s="69">
        <v>33963264.598822832</v>
      </c>
      <c r="F43" s="48">
        <f t="shared" si="7"/>
        <v>7981367.1807233691</v>
      </c>
      <c r="G43" s="54">
        <v>4.5754999999999999</v>
      </c>
      <c r="H43" s="54"/>
      <c r="I43" s="54"/>
      <c r="J43" s="54"/>
      <c r="K43" s="46">
        <f t="shared" si="8"/>
        <v>155398917.17191386</v>
      </c>
    </row>
    <row r="44" spans="1:12" x14ac:dyDescent="0.35">
      <c r="A44" s="43" t="s">
        <v>23</v>
      </c>
      <c r="B44" s="43" t="s">
        <v>22</v>
      </c>
      <c r="C44" s="10" t="s">
        <v>41</v>
      </c>
      <c r="D44" s="50">
        <v>0.25000000000000011</v>
      </c>
      <c r="E44" s="69">
        <v>33546577.545502201</v>
      </c>
      <c r="F44" s="48">
        <f t="shared" si="7"/>
        <v>8386644.3863755539</v>
      </c>
      <c r="G44" s="54">
        <v>4.5754999999999999</v>
      </c>
      <c r="H44" s="54"/>
      <c r="I44" s="54"/>
      <c r="J44" s="54"/>
      <c r="K44" s="46">
        <f t="shared" si="8"/>
        <v>153492365.55944532</v>
      </c>
      <c r="L44" s="31"/>
    </row>
    <row r="45" spans="1:12" x14ac:dyDescent="0.35">
      <c r="A45" s="10" t="s">
        <v>24</v>
      </c>
      <c r="B45" s="10" t="s">
        <v>23</v>
      </c>
      <c r="C45" s="10" t="s">
        <v>41</v>
      </c>
      <c r="D45" s="50">
        <v>0.28000000000000003</v>
      </c>
      <c r="E45" s="69">
        <v>33164501.805676758</v>
      </c>
      <c r="F45" s="48">
        <f t="shared" si="7"/>
        <v>9286060.5055894926</v>
      </c>
      <c r="G45" s="54">
        <v>4.5754999999999999</v>
      </c>
      <c r="H45" s="54"/>
      <c r="I45" s="54"/>
      <c r="J45" s="54"/>
      <c r="K45" s="46">
        <f t="shared" si="8"/>
        <v>151744178.01187399</v>
      </c>
    </row>
    <row r="46" spans="1:12" x14ac:dyDescent="0.35">
      <c r="A46" s="10" t="s">
        <v>25</v>
      </c>
      <c r="B46" s="10" t="s">
        <v>24</v>
      </c>
      <c r="C46" s="10" t="s">
        <v>41</v>
      </c>
      <c r="D46" s="50">
        <v>0.31</v>
      </c>
      <c r="E46" s="69">
        <v>32936208.175366048</v>
      </c>
      <c r="F46" s="48">
        <f t="shared" si="7"/>
        <v>10210224.534363475</v>
      </c>
      <c r="G46" s="54">
        <v>4.5754999999999999</v>
      </c>
      <c r="H46" s="54"/>
      <c r="I46" s="54"/>
      <c r="J46" s="54"/>
      <c r="K46" s="46">
        <f t="shared" si="8"/>
        <v>150699620.50638735</v>
      </c>
    </row>
    <row r="47" spans="1:12" x14ac:dyDescent="0.35">
      <c r="A47" s="10" t="s">
        <v>26</v>
      </c>
      <c r="B47" s="10" t="s">
        <v>25</v>
      </c>
      <c r="C47" s="10" t="s">
        <v>41</v>
      </c>
      <c r="D47" s="50">
        <v>0.34</v>
      </c>
      <c r="E47" s="69">
        <v>32936208.175366048</v>
      </c>
      <c r="F47" s="48">
        <f t="shared" si="7"/>
        <v>11198310.779624457</v>
      </c>
      <c r="G47" s="54">
        <v>4.5754999999999999</v>
      </c>
      <c r="H47" s="54"/>
      <c r="I47" s="54"/>
      <c r="J47" s="54"/>
      <c r="K47" s="46">
        <f t="shared" si="8"/>
        <v>150699620.50638735</v>
      </c>
    </row>
    <row r="48" spans="1:12" x14ac:dyDescent="0.35">
      <c r="A48" s="43" t="s">
        <v>27</v>
      </c>
      <c r="B48" s="10" t="s">
        <v>26</v>
      </c>
      <c r="C48" s="10" t="s">
        <v>41</v>
      </c>
      <c r="D48" s="50">
        <v>0.37</v>
      </c>
      <c r="E48" s="69">
        <v>32936208.175366048</v>
      </c>
      <c r="F48" s="48">
        <f t="shared" si="7"/>
        <v>12186397.024885438</v>
      </c>
      <c r="G48" s="54">
        <v>4.5754999999999999</v>
      </c>
      <c r="H48" s="54"/>
      <c r="I48" s="54"/>
      <c r="J48" s="54"/>
      <c r="K48" s="46">
        <f t="shared" si="8"/>
        <v>150699620.50638735</v>
      </c>
    </row>
    <row r="49" spans="1:13" x14ac:dyDescent="0.35">
      <c r="A49" s="43" t="s">
        <v>28</v>
      </c>
      <c r="B49" s="43" t="s">
        <v>27</v>
      </c>
      <c r="C49" s="10" t="s">
        <v>41</v>
      </c>
      <c r="D49" s="50">
        <v>0.4</v>
      </c>
      <c r="E49" s="69">
        <v>32936208.175366048</v>
      </c>
      <c r="F49" s="48">
        <f t="shared" si="7"/>
        <v>13174483.27014642</v>
      </c>
      <c r="G49" s="54">
        <v>4.5754999999999999</v>
      </c>
      <c r="H49" s="54"/>
      <c r="I49" s="54"/>
      <c r="J49" s="54"/>
      <c r="K49" s="46">
        <f t="shared" si="8"/>
        <v>150699620.50638735</v>
      </c>
    </row>
    <row r="50" spans="1:13" x14ac:dyDescent="0.35">
      <c r="A50" s="43" t="s">
        <v>29</v>
      </c>
      <c r="B50" s="43" t="s">
        <v>28</v>
      </c>
      <c r="C50" s="10" t="s">
        <v>41</v>
      </c>
      <c r="D50" s="50">
        <v>0.40902608000000001</v>
      </c>
      <c r="E50" s="69">
        <v>32936208.175366048</v>
      </c>
      <c r="F50" s="48">
        <f t="shared" si="7"/>
        <v>13471768.120033927</v>
      </c>
      <c r="G50" s="54">
        <v>4.5754999999999999</v>
      </c>
      <c r="H50" s="54"/>
      <c r="I50" s="54"/>
      <c r="J50" s="54"/>
      <c r="K50" s="46">
        <f>G50*E50</f>
        <v>150699620.50638735</v>
      </c>
    </row>
    <row r="51" spans="1:13" x14ac:dyDescent="0.35">
      <c r="A51" s="10" t="s">
        <v>30</v>
      </c>
      <c r="B51" s="10" t="s">
        <v>29</v>
      </c>
      <c r="C51" s="10" t="s">
        <v>41</v>
      </c>
      <c r="D51" s="50">
        <v>0.41825583530041599</v>
      </c>
      <c r="E51" s="69">
        <v>32936208.175366048</v>
      </c>
      <c r="F51" s="48">
        <f t="shared" si="7"/>
        <v>13775761.262016116</v>
      </c>
      <c r="G51" s="54">
        <v>4.5754999999999999</v>
      </c>
      <c r="H51" s="54"/>
      <c r="I51" s="54"/>
      <c r="J51" s="54"/>
      <c r="K51" s="46">
        <f t="shared" si="8"/>
        <v>150699620.50638735</v>
      </c>
    </row>
    <row r="52" spans="1:13" x14ac:dyDescent="0.35">
      <c r="A52" s="10" t="s">
        <v>31</v>
      </c>
      <c r="B52" s="10" t="s">
        <v>30</v>
      </c>
      <c r="C52" s="10" t="s">
        <v>41</v>
      </c>
      <c r="D52" s="50">
        <v>0.42769386187513697</v>
      </c>
      <c r="E52" s="69">
        <v>32936208.175366048</v>
      </c>
      <c r="F52" s="48">
        <f t="shared" si="7"/>
        <v>14086614.070045764</v>
      </c>
      <c r="G52" s="54">
        <v>4.5754999999999999</v>
      </c>
      <c r="H52" s="54"/>
      <c r="I52" s="54"/>
      <c r="J52" s="54"/>
      <c r="K52" s="46">
        <f t="shared" si="8"/>
        <v>150699620.50638735</v>
      </c>
    </row>
    <row r="53" spans="1:13" x14ac:dyDescent="0.35">
      <c r="A53" s="10" t="s">
        <v>32</v>
      </c>
      <c r="B53" s="10" t="s">
        <v>31</v>
      </c>
      <c r="C53" s="10" t="s">
        <v>41</v>
      </c>
      <c r="D53" s="50">
        <v>0.43734485940712181</v>
      </c>
      <c r="E53" s="69">
        <v>32936208.175366048</v>
      </c>
      <c r="F53" s="48">
        <f t="shared" si="7"/>
        <v>14404481.333859161</v>
      </c>
      <c r="G53" s="54">
        <v>4.5754999999999999</v>
      </c>
      <c r="H53" s="54"/>
      <c r="I53" s="54"/>
      <c r="J53" s="54"/>
      <c r="K53" s="46">
        <f t="shared" si="8"/>
        <v>150699620.50638735</v>
      </c>
    </row>
    <row r="54" spans="1:13" x14ac:dyDescent="0.35">
      <c r="A54" s="10" t="s">
        <v>33</v>
      </c>
      <c r="B54" s="10" t="s">
        <v>32</v>
      </c>
      <c r="C54" s="10" t="s">
        <v>41</v>
      </c>
      <c r="D54" s="50">
        <v>0.44721363362861538</v>
      </c>
      <c r="E54" s="69">
        <v>32936208.175366048</v>
      </c>
      <c r="F54" s="48">
        <f t="shared" si="7"/>
        <v>14729521.336053958</v>
      </c>
      <c r="G54" s="54">
        <v>4.5754999999999999</v>
      </c>
      <c r="H54" s="54"/>
      <c r="I54" s="54"/>
      <c r="J54" s="54"/>
      <c r="K54" s="46">
        <f t="shared" si="8"/>
        <v>150699620.50638735</v>
      </c>
    </row>
    <row r="55" spans="1:13" x14ac:dyDescent="0.35">
      <c r="A55" s="10" t="s">
        <v>34</v>
      </c>
      <c r="B55" s="10" t="s">
        <v>33</v>
      </c>
      <c r="C55" s="10" t="s">
        <v>41</v>
      </c>
      <c r="D55" s="50">
        <v>0.45730509871417185</v>
      </c>
      <c r="E55" s="69">
        <v>32936208.175366048</v>
      </c>
      <c r="F55" s="48">
        <f t="shared" si="7"/>
        <v>15061895.930906285</v>
      </c>
      <c r="G55" s="54">
        <v>4.5754999999999999</v>
      </c>
      <c r="H55" s="54"/>
      <c r="I55" s="54"/>
      <c r="J55" s="54"/>
      <c r="K55" s="46">
        <f t="shared" si="8"/>
        <v>150699620.50638735</v>
      </c>
      <c r="M55" s="72"/>
    </row>
    <row r="56" spans="1:13" x14ac:dyDescent="0.35">
      <c r="A56" s="10" t="s">
        <v>35</v>
      </c>
      <c r="B56" s="10" t="s">
        <v>34</v>
      </c>
      <c r="C56" s="10" t="s">
        <v>41</v>
      </c>
      <c r="D56" s="50">
        <v>0.46762427972767689</v>
      </c>
      <c r="E56" s="69">
        <v>32936208.175366048</v>
      </c>
      <c r="F56" s="48">
        <f t="shared" si="7"/>
        <v>15401770.624966372</v>
      </c>
      <c r="G56" s="54">
        <v>4.5754999999999999</v>
      </c>
      <c r="H56" s="54"/>
      <c r="I56" s="54"/>
      <c r="J56" s="54"/>
      <c r="K56" s="46">
        <f t="shared" si="8"/>
        <v>150699620.50638735</v>
      </c>
      <c r="M56" s="72"/>
    </row>
    <row r="57" spans="1:13" x14ac:dyDescent="0.35">
      <c r="A57" s="10" t="s">
        <v>36</v>
      </c>
      <c r="B57" s="10" t="s">
        <v>35</v>
      </c>
      <c r="C57" s="10" t="s">
        <v>41</v>
      </c>
      <c r="D57" s="50">
        <v>0.47817631512458803</v>
      </c>
      <c r="E57" s="69">
        <v>32936208.175366048</v>
      </c>
      <c r="F57" s="48">
        <f t="shared" si="7"/>
        <v>15749314.659472868</v>
      </c>
      <c r="G57" s="54">
        <v>4.5754999999999999</v>
      </c>
      <c r="H57" s="54"/>
      <c r="I57" s="54"/>
      <c r="J57" s="54"/>
      <c r="K57" s="46">
        <f t="shared" si="8"/>
        <v>150699620.50638735</v>
      </c>
      <c r="M57" s="72"/>
    </row>
    <row r="58" spans="1:13" x14ac:dyDescent="0.35">
      <c r="A58" s="10" t="s">
        <v>37</v>
      </c>
      <c r="B58" s="10" t="s">
        <v>36</v>
      </c>
      <c r="C58" s="10" t="s">
        <v>41</v>
      </c>
      <c r="D58" s="50">
        <v>0.48896645931063754</v>
      </c>
      <c r="E58" s="69">
        <v>32936208.175366048</v>
      </c>
      <c r="F58" s="48">
        <f t="shared" si="7"/>
        <v>16104701.09462681</v>
      </c>
      <c r="G58" s="54">
        <v>4.5754999999999999</v>
      </c>
      <c r="H58" s="54"/>
      <c r="I58" s="54"/>
      <c r="J58" s="54"/>
      <c r="K58" s="46">
        <f t="shared" si="8"/>
        <v>150699620.50638735</v>
      </c>
      <c r="M58" s="72"/>
    </row>
    <row r="59" spans="1:13" x14ac:dyDescent="0.35">
      <c r="A59" s="10" t="s">
        <v>38</v>
      </c>
      <c r="B59" s="10" t="s">
        <v>37</v>
      </c>
      <c r="C59" s="10" t="s">
        <v>41</v>
      </c>
      <c r="D59" s="50">
        <v>0.50000008525827411</v>
      </c>
      <c r="E59" s="69">
        <v>32936208.175366048</v>
      </c>
      <c r="F59" s="48">
        <f t="shared" si="7"/>
        <v>16468106.895767288</v>
      </c>
      <c r="G59" s="54">
        <v>4.5754999999999999</v>
      </c>
      <c r="H59" s="54"/>
      <c r="I59" s="54"/>
      <c r="J59" s="54"/>
      <c r="K59" s="46">
        <f t="shared" si="8"/>
        <v>150699620.50638735</v>
      </c>
      <c r="M59" s="72"/>
    </row>
    <row r="60" spans="1:13" x14ac:dyDescent="0.35">
      <c r="A60" s="10" t="s">
        <v>39</v>
      </c>
      <c r="B60" s="10" t="s">
        <v>38</v>
      </c>
      <c r="C60" s="10" t="s">
        <v>41</v>
      </c>
      <c r="D60" s="50">
        <v>0.5</v>
      </c>
      <c r="E60" s="69">
        <v>32936208.175366048</v>
      </c>
      <c r="F60" s="48">
        <f t="shared" si="7"/>
        <v>16468104.087683024</v>
      </c>
      <c r="G60" s="54">
        <v>4.5754999999999999</v>
      </c>
      <c r="H60" s="54"/>
      <c r="I60" s="54"/>
      <c r="J60" s="54"/>
      <c r="K60" s="46">
        <f t="shared" si="8"/>
        <v>150699620.50638735</v>
      </c>
      <c r="M60" s="72"/>
    </row>
    <row r="61" spans="1:13" x14ac:dyDescent="0.35">
      <c r="A61" s="10" t="s">
        <v>40</v>
      </c>
      <c r="B61" s="10" t="s">
        <v>39</v>
      </c>
      <c r="C61" s="10" t="s">
        <v>41</v>
      </c>
      <c r="D61" s="50">
        <v>0.5</v>
      </c>
      <c r="E61" s="69">
        <v>32936208.175366048</v>
      </c>
      <c r="F61" s="48">
        <f t="shared" si="7"/>
        <v>16468104.087683024</v>
      </c>
      <c r="G61" s="54">
        <v>4.5754999999999999</v>
      </c>
      <c r="H61" s="54"/>
      <c r="I61" s="54"/>
      <c r="J61" s="54"/>
      <c r="K61" s="46">
        <f t="shared" si="8"/>
        <v>150699620.50638735</v>
      </c>
      <c r="M61" s="72"/>
    </row>
    <row r="64" spans="1:13" x14ac:dyDescent="0.35">
      <c r="A64" s="52"/>
      <c r="B64" s="52"/>
      <c r="C64" s="52"/>
      <c r="D64" s="68"/>
      <c r="F64" s="67"/>
      <c r="G64" s="66"/>
      <c r="H64" s="66"/>
      <c r="I64" s="66"/>
      <c r="J64" s="66"/>
      <c r="K64" s="56"/>
    </row>
    <row r="65" spans="1:12" x14ac:dyDescent="0.35">
      <c r="A65" s="52"/>
      <c r="B65" s="52"/>
      <c r="C65" s="52"/>
      <c r="D65" s="68"/>
      <c r="E65" s="71"/>
      <c r="F65" s="67"/>
      <c r="G65" s="66"/>
      <c r="H65" s="66"/>
      <c r="I65" s="66"/>
      <c r="J65" s="66"/>
      <c r="K65" s="56"/>
    </row>
    <row r="66" spans="1:12" x14ac:dyDescent="0.35">
      <c r="A66" s="1" t="s">
        <v>43</v>
      </c>
      <c r="B66" s="53"/>
      <c r="C66" s="53"/>
      <c r="D66" s="53"/>
      <c r="E66" s="52"/>
      <c r="F66" s="52"/>
      <c r="G66" s="52"/>
      <c r="H66" s="52"/>
      <c r="I66" s="52"/>
      <c r="J66" s="52"/>
      <c r="K66" s="52"/>
    </row>
    <row r="67" spans="1:12" ht="55.5" customHeight="1" x14ac:dyDescent="0.35">
      <c r="A67" s="15" t="s">
        <v>1</v>
      </c>
      <c r="B67" s="15" t="s">
        <v>2</v>
      </c>
      <c r="C67" s="15" t="s">
        <v>3</v>
      </c>
      <c r="D67" s="15" t="s">
        <v>4</v>
      </c>
      <c r="E67" s="15" t="s">
        <v>5</v>
      </c>
      <c r="F67" s="15" t="s">
        <v>6</v>
      </c>
      <c r="G67" s="15" t="s">
        <v>7</v>
      </c>
      <c r="H67" s="15" t="s">
        <v>8</v>
      </c>
      <c r="I67" s="15" t="s">
        <v>9</v>
      </c>
      <c r="J67" s="15" t="s">
        <v>10</v>
      </c>
      <c r="K67" s="15" t="s">
        <v>11</v>
      </c>
    </row>
    <row r="68" spans="1:12" x14ac:dyDescent="0.35">
      <c r="A68" s="51"/>
      <c r="B68" s="51"/>
      <c r="C68" s="51"/>
      <c r="D68" s="51"/>
      <c r="E68" s="51"/>
      <c r="F68" s="51"/>
      <c r="G68" s="51"/>
      <c r="H68" s="51"/>
      <c r="I68" s="51"/>
      <c r="J68" s="51"/>
      <c r="K68" s="51"/>
    </row>
    <row r="69" spans="1:12" x14ac:dyDescent="0.35">
      <c r="A69" s="43" t="s">
        <v>12</v>
      </c>
      <c r="B69" s="43" t="s">
        <v>13</v>
      </c>
      <c r="C69" s="10" t="s">
        <v>43</v>
      </c>
      <c r="D69" s="50">
        <v>0.13</v>
      </c>
      <c r="E69" s="69">
        <v>54420529.400604993</v>
      </c>
      <c r="F69" s="48">
        <f t="shared" ref="F69:F94" si="9">D69*E69</f>
        <v>7074668.822078649</v>
      </c>
      <c r="G69" s="54">
        <v>1.8916999999999999</v>
      </c>
      <c r="H69" s="54"/>
      <c r="I69" s="54"/>
      <c r="J69" s="54"/>
      <c r="K69" s="46">
        <f t="shared" ref="K69:K94" si="10">G69*E69</f>
        <v>102947315.46712446</v>
      </c>
    </row>
    <row r="70" spans="1:12" x14ac:dyDescent="0.35">
      <c r="A70" s="10" t="s">
        <v>15</v>
      </c>
      <c r="B70" s="10" t="s">
        <v>12</v>
      </c>
      <c r="C70" s="10" t="s">
        <v>43</v>
      </c>
      <c r="D70" s="50">
        <v>0.14499999999999999</v>
      </c>
      <c r="E70" s="70">
        <v>71460380.10604766</v>
      </c>
      <c r="F70" s="48">
        <f t="shared" si="9"/>
        <v>10361755.11537691</v>
      </c>
      <c r="G70" s="54">
        <v>1.8916999999999999</v>
      </c>
      <c r="H70" s="54"/>
      <c r="I70" s="54"/>
      <c r="J70" s="54"/>
      <c r="K70" s="46">
        <f t="shared" si="10"/>
        <v>135181601.04661036</v>
      </c>
    </row>
    <row r="71" spans="1:12" x14ac:dyDescent="0.35">
      <c r="A71" s="10" t="s">
        <v>16</v>
      </c>
      <c r="B71" s="10" t="s">
        <v>15</v>
      </c>
      <c r="C71" s="10" t="s">
        <v>43</v>
      </c>
      <c r="D71" s="50">
        <v>0.16</v>
      </c>
      <c r="E71" s="69">
        <v>88526985.316209987</v>
      </c>
      <c r="F71" s="48">
        <f t="shared" si="9"/>
        <v>14164317.650593597</v>
      </c>
      <c r="G71" s="54">
        <v>1.8916999999999999</v>
      </c>
      <c r="H71" s="54"/>
      <c r="I71" s="54"/>
      <c r="J71" s="54"/>
      <c r="K71" s="46">
        <f t="shared" si="10"/>
        <v>167466498.12267444</v>
      </c>
    </row>
    <row r="72" spans="1:12" x14ac:dyDescent="0.35">
      <c r="A72" s="10" t="s">
        <v>17</v>
      </c>
      <c r="B72" s="10" t="s">
        <v>16</v>
      </c>
      <c r="C72" s="10" t="s">
        <v>43</v>
      </c>
      <c r="D72" s="50">
        <v>0.17500000000000004</v>
      </c>
      <c r="E72" s="69">
        <f>84760183147/1000</f>
        <v>84760183.147</v>
      </c>
      <c r="F72" s="48">
        <f t="shared" si="9"/>
        <v>14833032.050725004</v>
      </c>
      <c r="G72" s="54">
        <v>1.8916999999999999</v>
      </c>
      <c r="H72" s="54"/>
      <c r="I72" s="54"/>
      <c r="J72" s="54"/>
      <c r="K72" s="46">
        <f t="shared" si="10"/>
        <v>160340838.45917991</v>
      </c>
    </row>
    <row r="73" spans="1:12" x14ac:dyDescent="0.35">
      <c r="A73" s="10" t="s">
        <v>18</v>
      </c>
      <c r="B73" s="10" t="s">
        <v>17</v>
      </c>
      <c r="C73" s="10" t="s">
        <v>43</v>
      </c>
      <c r="D73" s="50">
        <v>0.19000000000000006</v>
      </c>
      <c r="E73" s="69">
        <v>83931773.183280006</v>
      </c>
      <c r="F73" s="48">
        <f t="shared" si="9"/>
        <v>15947036.904823206</v>
      </c>
      <c r="G73" s="61">
        <f>(G72*(1/3))+(G74*(2/3))</f>
        <v>3.980433333333333</v>
      </c>
      <c r="H73" s="61"/>
      <c r="I73" s="61"/>
      <c r="J73" s="61"/>
      <c r="K73" s="46">
        <f t="shared" si="10"/>
        <v>334084827.7045005</v>
      </c>
    </row>
    <row r="74" spans="1:12" x14ac:dyDescent="0.35">
      <c r="A74" s="10" t="s">
        <v>19</v>
      </c>
      <c r="B74" s="10" t="s">
        <v>18</v>
      </c>
      <c r="C74" s="10" t="s">
        <v>43</v>
      </c>
      <c r="D74" s="50">
        <v>0.20500000000000007</v>
      </c>
      <c r="E74" s="69">
        <v>84697301.866293222</v>
      </c>
      <c r="F74" s="48">
        <f t="shared" si="9"/>
        <v>17362946.882590115</v>
      </c>
      <c r="G74" s="54">
        <v>5.0247999999999999</v>
      </c>
      <c r="H74" s="54"/>
      <c r="I74" s="54"/>
      <c r="J74" s="54"/>
      <c r="K74" s="46">
        <f t="shared" si="10"/>
        <v>425587002.41775018</v>
      </c>
    </row>
    <row r="75" spans="1:12" x14ac:dyDescent="0.35">
      <c r="A75" s="43" t="s">
        <v>20</v>
      </c>
      <c r="B75" s="10" t="s">
        <v>19</v>
      </c>
      <c r="C75" s="10" t="s">
        <v>43</v>
      </c>
      <c r="D75" s="50">
        <v>0.22000000000000008</v>
      </c>
      <c r="E75" s="69">
        <v>83439108.509810001</v>
      </c>
      <c r="F75" s="48">
        <f t="shared" si="9"/>
        <v>18356603.872158207</v>
      </c>
      <c r="G75" s="54">
        <v>5.0247999999999999</v>
      </c>
      <c r="H75" s="245">
        <v>0.31347799999999998</v>
      </c>
      <c r="I75" s="13">
        <v>600000</v>
      </c>
      <c r="J75" s="28">
        <f>H75*I75</f>
        <v>188086.8</v>
      </c>
      <c r="K75" s="294">
        <f>(G75*E75)-J75</f>
        <v>419076745.64009327</v>
      </c>
      <c r="L75" t="s">
        <v>344</v>
      </c>
    </row>
    <row r="76" spans="1:12" x14ac:dyDescent="0.35">
      <c r="A76" s="43" t="s">
        <v>22</v>
      </c>
      <c r="B76" s="43" t="s">
        <v>20</v>
      </c>
      <c r="C76" s="10" t="s">
        <v>43</v>
      </c>
      <c r="D76" s="50">
        <v>0.2350000000000001</v>
      </c>
      <c r="E76" s="69">
        <v>82956872.015999988</v>
      </c>
      <c r="F76" s="48">
        <f t="shared" si="9"/>
        <v>19494864.923760004</v>
      </c>
      <c r="G76" s="54">
        <v>5.0247999999999999</v>
      </c>
      <c r="H76" s="54"/>
      <c r="I76" s="54"/>
      <c r="J76" s="54"/>
      <c r="K76" s="46">
        <f t="shared" si="10"/>
        <v>416841690.5059967</v>
      </c>
    </row>
    <row r="77" spans="1:12" x14ac:dyDescent="0.35">
      <c r="A77" s="43" t="s">
        <v>23</v>
      </c>
      <c r="B77" s="43" t="s">
        <v>22</v>
      </c>
      <c r="C77" s="10" t="s">
        <v>43</v>
      </c>
      <c r="D77" s="50">
        <v>0.25000000000000011</v>
      </c>
      <c r="E77" s="69">
        <v>81934522.939999998</v>
      </c>
      <c r="F77" s="48">
        <f t="shared" si="9"/>
        <v>20483630.735000007</v>
      </c>
      <c r="G77" s="54">
        <v>5.0247999999999999</v>
      </c>
      <c r="H77" s="54"/>
      <c r="I77" s="54"/>
      <c r="J77" s="54"/>
      <c r="K77" s="46">
        <f t="shared" si="10"/>
        <v>411704590.86891198</v>
      </c>
    </row>
    <row r="78" spans="1:12" x14ac:dyDescent="0.35">
      <c r="A78" s="10" t="s">
        <v>24</v>
      </c>
      <c r="B78" s="10" t="s">
        <v>23</v>
      </c>
      <c r="C78" s="10" t="s">
        <v>43</v>
      </c>
      <c r="D78" s="50">
        <v>0.28000000000000003</v>
      </c>
      <c r="E78" s="69">
        <v>81560528.789000005</v>
      </c>
      <c r="F78" s="48">
        <f t="shared" si="9"/>
        <v>22836948.060920004</v>
      </c>
      <c r="G78" s="54">
        <v>5.0247999999999999</v>
      </c>
      <c r="H78" s="54"/>
      <c r="I78" s="54"/>
      <c r="J78" s="54"/>
      <c r="K78" s="46">
        <f t="shared" si="10"/>
        <v>409825345.05896723</v>
      </c>
    </row>
    <row r="79" spans="1:12" x14ac:dyDescent="0.35">
      <c r="A79" s="10" t="s">
        <v>25</v>
      </c>
      <c r="B79" s="10" t="s">
        <v>24</v>
      </c>
      <c r="C79" s="10" t="s">
        <v>43</v>
      </c>
      <c r="D79" s="50">
        <v>0.31</v>
      </c>
      <c r="E79" s="69">
        <v>81592930.692000002</v>
      </c>
      <c r="F79" s="48">
        <f t="shared" si="9"/>
        <v>25293808.514520001</v>
      </c>
      <c r="G79" s="54">
        <v>5.0247999999999999</v>
      </c>
      <c r="H79" s="54"/>
      <c r="I79" s="54"/>
      <c r="J79" s="54"/>
      <c r="K79" s="46">
        <f t="shared" si="10"/>
        <v>409988158.14116162</v>
      </c>
    </row>
    <row r="80" spans="1:12" x14ac:dyDescent="0.35">
      <c r="A80" s="10" t="s">
        <v>26</v>
      </c>
      <c r="B80" s="10" t="s">
        <v>25</v>
      </c>
      <c r="C80" s="10" t="s">
        <v>43</v>
      </c>
      <c r="D80" s="50">
        <v>0.34</v>
      </c>
      <c r="E80" s="69">
        <v>81884475.179999992</v>
      </c>
      <c r="F80" s="48">
        <f t="shared" si="9"/>
        <v>27840721.5612</v>
      </c>
      <c r="G80" s="54">
        <v>5.0247999999999999</v>
      </c>
      <c r="H80" s="54"/>
      <c r="I80" s="54"/>
      <c r="J80" s="54"/>
      <c r="K80" s="46">
        <f t="shared" si="10"/>
        <v>411453110.88446397</v>
      </c>
    </row>
    <row r="81" spans="1:13" x14ac:dyDescent="0.35">
      <c r="A81" s="43" t="s">
        <v>27</v>
      </c>
      <c r="B81" s="10" t="s">
        <v>26</v>
      </c>
      <c r="C81" s="10" t="s">
        <v>43</v>
      </c>
      <c r="D81" s="50">
        <v>0.37</v>
      </c>
      <c r="E81" s="69">
        <v>81977064.710000008</v>
      </c>
      <c r="F81" s="48">
        <f t="shared" si="9"/>
        <v>30331513.942700002</v>
      </c>
      <c r="G81" s="54">
        <v>5.0247999999999999</v>
      </c>
      <c r="H81" s="54"/>
      <c r="I81" s="54"/>
      <c r="J81" s="54"/>
      <c r="K81" s="46">
        <f t="shared" si="10"/>
        <v>411918354.75480801</v>
      </c>
    </row>
    <row r="82" spans="1:13" x14ac:dyDescent="0.35">
      <c r="A82" s="43" t="s">
        <v>28</v>
      </c>
      <c r="B82" s="43" t="s">
        <v>27</v>
      </c>
      <c r="C82" s="10" t="s">
        <v>43</v>
      </c>
      <c r="D82" s="50">
        <v>0.4</v>
      </c>
      <c r="E82" s="69">
        <v>82659805.902999997</v>
      </c>
      <c r="F82" s="48">
        <f t="shared" si="9"/>
        <v>33063922.361200001</v>
      </c>
      <c r="G82" s="54">
        <v>5.0247999999999999</v>
      </c>
      <c r="H82" s="54"/>
      <c r="I82" s="54"/>
      <c r="J82" s="54"/>
      <c r="K82" s="46">
        <f t="shared" si="10"/>
        <v>415348992.70139438</v>
      </c>
    </row>
    <row r="83" spans="1:13" x14ac:dyDescent="0.35">
      <c r="A83" s="43" t="s">
        <v>29</v>
      </c>
      <c r="B83" s="43" t="s">
        <v>28</v>
      </c>
      <c r="C83" s="10" t="s">
        <v>43</v>
      </c>
      <c r="D83" s="50">
        <v>0.40902608000000001</v>
      </c>
      <c r="E83" s="69">
        <v>83303404.917999998</v>
      </c>
      <c r="F83" s="48">
        <f t="shared" si="9"/>
        <v>34073265.164262265</v>
      </c>
      <c r="G83" s="54">
        <v>5.0247999999999999</v>
      </c>
      <c r="H83" s="54"/>
      <c r="I83" s="54"/>
      <c r="J83" s="54"/>
      <c r="K83" s="46">
        <f t="shared" si="10"/>
        <v>418582949.03196639</v>
      </c>
      <c r="M83" s="65"/>
    </row>
    <row r="84" spans="1:13" x14ac:dyDescent="0.35">
      <c r="A84" s="10" t="s">
        <v>30</v>
      </c>
      <c r="B84" s="10" t="s">
        <v>29</v>
      </c>
      <c r="C84" s="10" t="s">
        <v>43</v>
      </c>
      <c r="D84" s="50">
        <v>0.41825583530041599</v>
      </c>
      <c r="E84" s="69">
        <v>84058939.645000011</v>
      </c>
      <c r="F84" s="48">
        <f t="shared" si="9"/>
        <v>35158142.015686736</v>
      </c>
      <c r="G84" s="54">
        <v>5.0247999999999999</v>
      </c>
      <c r="H84" s="54"/>
      <c r="I84" s="54"/>
      <c r="J84" s="54"/>
      <c r="K84" s="46">
        <f t="shared" si="10"/>
        <v>422379359.92819607</v>
      </c>
      <c r="M84" s="72"/>
    </row>
    <row r="85" spans="1:13" x14ac:dyDescent="0.35">
      <c r="A85" s="10" t="s">
        <v>31</v>
      </c>
      <c r="B85" s="10" t="s">
        <v>30</v>
      </c>
      <c r="C85" s="10" t="s">
        <v>43</v>
      </c>
      <c r="D85" s="50">
        <v>0.42769386187513697</v>
      </c>
      <c r="E85" s="69">
        <v>84423662.777999997</v>
      </c>
      <c r="F85" s="48">
        <f t="shared" si="9"/>
        <v>36107482.367167071</v>
      </c>
      <c r="G85" s="54">
        <v>5.0247999999999999</v>
      </c>
      <c r="H85" s="54"/>
      <c r="I85" s="54"/>
      <c r="J85" s="54"/>
      <c r="K85" s="46">
        <f t="shared" si="10"/>
        <v>424212020.72689438</v>
      </c>
      <c r="M85" s="72"/>
    </row>
    <row r="86" spans="1:13" x14ac:dyDescent="0.35">
      <c r="A86" s="10" t="s">
        <v>32</v>
      </c>
      <c r="B86" s="10" t="s">
        <v>31</v>
      </c>
      <c r="C86" s="10" t="s">
        <v>43</v>
      </c>
      <c r="D86" s="50">
        <v>0.43734485940712181</v>
      </c>
      <c r="E86" s="69">
        <v>85015848.419</v>
      </c>
      <c r="F86" s="48">
        <f t="shared" si="9"/>
        <v>37181244.274184734</v>
      </c>
      <c r="G86" s="54">
        <v>5.0247999999999999</v>
      </c>
      <c r="H86" s="54"/>
      <c r="I86" s="54"/>
      <c r="J86" s="54"/>
      <c r="K86" s="46">
        <f t="shared" si="10"/>
        <v>427187635.13579118</v>
      </c>
      <c r="M86" s="72"/>
    </row>
    <row r="87" spans="1:13" x14ac:dyDescent="0.35">
      <c r="A87" s="10" t="s">
        <v>33</v>
      </c>
      <c r="B87" s="10" t="s">
        <v>32</v>
      </c>
      <c r="C87" s="10" t="s">
        <v>43</v>
      </c>
      <c r="D87" s="50">
        <v>0.44721363362861538</v>
      </c>
      <c r="E87" s="69">
        <v>85450292.625</v>
      </c>
      <c r="F87" s="48">
        <f t="shared" si="9"/>
        <v>38214535.859454721</v>
      </c>
      <c r="G87" s="54">
        <v>5.0247999999999999</v>
      </c>
      <c r="H87" s="54"/>
      <c r="I87" s="54"/>
      <c r="J87" s="54"/>
      <c r="K87" s="46">
        <f t="shared" si="10"/>
        <v>429370630.38209999</v>
      </c>
      <c r="M87" s="72"/>
    </row>
    <row r="88" spans="1:13" x14ac:dyDescent="0.35">
      <c r="A88" s="10" t="s">
        <v>34</v>
      </c>
      <c r="B88" s="10" t="s">
        <v>33</v>
      </c>
      <c r="C88" s="10" t="s">
        <v>43</v>
      </c>
      <c r="D88" s="50">
        <v>0.45730509871417185</v>
      </c>
      <c r="E88" s="69">
        <v>85967286.341000006</v>
      </c>
      <c r="F88" s="48">
        <f t="shared" si="9"/>
        <v>39313278.366360486</v>
      </c>
      <c r="G88" s="54">
        <v>5.0247999999999999</v>
      </c>
      <c r="H88" s="54"/>
      <c r="I88" s="54"/>
      <c r="J88" s="54"/>
      <c r="K88" s="46">
        <f t="shared" si="10"/>
        <v>431968420.40625679</v>
      </c>
      <c r="M88" s="72"/>
    </row>
    <row r="89" spans="1:13" x14ac:dyDescent="0.35">
      <c r="A89" s="10" t="s">
        <v>35</v>
      </c>
      <c r="B89" s="10" t="s">
        <v>34</v>
      </c>
      <c r="C89" s="10" t="s">
        <v>43</v>
      </c>
      <c r="D89" s="50">
        <v>0.46762427972767689</v>
      </c>
      <c r="E89" s="69">
        <v>86216091.731999993</v>
      </c>
      <c r="F89" s="48">
        <f t="shared" si="9"/>
        <v>40316737.797111817</v>
      </c>
      <c r="G89" s="54">
        <v>5.0247999999999999</v>
      </c>
      <c r="H89" s="54"/>
      <c r="I89" s="54"/>
      <c r="J89" s="54"/>
      <c r="K89" s="46">
        <f t="shared" si="10"/>
        <v>433218617.73495358</v>
      </c>
      <c r="M89" s="72"/>
    </row>
    <row r="90" spans="1:13" x14ac:dyDescent="0.35">
      <c r="A90" s="10" t="s">
        <v>36</v>
      </c>
      <c r="B90" s="10" t="s">
        <v>35</v>
      </c>
      <c r="C90" s="10" t="s">
        <v>43</v>
      </c>
      <c r="D90" s="50">
        <v>0.47817631512458791</v>
      </c>
      <c r="E90" s="69">
        <v>86766903.104000002</v>
      </c>
      <c r="F90" s="48">
        <f t="shared" si="9"/>
        <v>41489878.001042888</v>
      </c>
      <c r="G90" s="54">
        <v>5.0247999999999999</v>
      </c>
      <c r="H90" s="54"/>
      <c r="I90" s="54"/>
      <c r="J90" s="54"/>
      <c r="K90" s="46">
        <f t="shared" si="10"/>
        <v>435986334.71697921</v>
      </c>
      <c r="M90" s="72"/>
    </row>
    <row r="91" spans="1:13" x14ac:dyDescent="0.35">
      <c r="A91" s="10" t="s">
        <v>37</v>
      </c>
      <c r="B91" s="10" t="s">
        <v>36</v>
      </c>
      <c r="C91" s="10" t="s">
        <v>43</v>
      </c>
      <c r="D91" s="50">
        <v>0.48896645931063754</v>
      </c>
      <c r="E91" s="69">
        <v>87214467.640000001</v>
      </c>
      <c r="F91" s="48">
        <f t="shared" si="9"/>
        <v>42644949.442592971</v>
      </c>
      <c r="G91" s="54">
        <v>5.0247999999999999</v>
      </c>
      <c r="H91" s="54"/>
      <c r="I91" s="54"/>
      <c r="J91" s="54"/>
      <c r="K91" s="46">
        <f t="shared" si="10"/>
        <v>438235256.99747199</v>
      </c>
      <c r="M91" s="72"/>
    </row>
    <row r="92" spans="1:13" x14ac:dyDescent="0.35">
      <c r="A92" s="10" t="s">
        <v>38</v>
      </c>
      <c r="B92" s="10" t="s">
        <v>37</v>
      </c>
      <c r="C92" s="10" t="s">
        <v>43</v>
      </c>
      <c r="D92" s="50">
        <v>0.50000008525827411</v>
      </c>
      <c r="E92" s="69">
        <v>87748951.427000001</v>
      </c>
      <c r="F92" s="48">
        <f t="shared" si="9"/>
        <v>43874483.194824152</v>
      </c>
      <c r="G92" s="54">
        <v>5.0247999999999999</v>
      </c>
      <c r="H92" s="54"/>
      <c r="I92" s="54"/>
      <c r="J92" s="54"/>
      <c r="K92" s="46">
        <f t="shared" si="10"/>
        <v>440920931.13038957</v>
      </c>
      <c r="M92" s="72"/>
    </row>
    <row r="93" spans="1:13" x14ac:dyDescent="0.35">
      <c r="A93" s="10" t="s">
        <v>39</v>
      </c>
      <c r="B93" s="10" t="s">
        <v>38</v>
      </c>
      <c r="C93" s="10" t="s">
        <v>43</v>
      </c>
      <c r="D93" s="50">
        <v>0.5</v>
      </c>
      <c r="E93" s="69">
        <v>88116801.755999997</v>
      </c>
      <c r="F93" s="48">
        <f t="shared" si="9"/>
        <v>44058400.877999999</v>
      </c>
      <c r="G93" s="54">
        <v>5.0247999999999999</v>
      </c>
      <c r="H93" s="54"/>
      <c r="I93" s="54"/>
      <c r="J93" s="54"/>
      <c r="K93" s="46">
        <f t="shared" si="10"/>
        <v>442769305.46354878</v>
      </c>
      <c r="M93" s="72"/>
    </row>
    <row r="94" spans="1:13" x14ac:dyDescent="0.35">
      <c r="A94" s="10" t="s">
        <v>40</v>
      </c>
      <c r="B94" s="10" t="s">
        <v>39</v>
      </c>
      <c r="C94" s="10" t="s">
        <v>43</v>
      </c>
      <c r="D94" s="50">
        <v>0.5</v>
      </c>
      <c r="E94" s="69">
        <v>88491502.603</v>
      </c>
      <c r="F94" s="48">
        <f t="shared" si="9"/>
        <v>44245751.3015</v>
      </c>
      <c r="G94" s="54">
        <v>5.0247999999999999</v>
      </c>
      <c r="H94" s="54"/>
      <c r="I94" s="54"/>
      <c r="J94" s="54"/>
      <c r="K94" s="46">
        <f t="shared" si="10"/>
        <v>444652102.27955437</v>
      </c>
      <c r="M94" s="72"/>
    </row>
    <row r="97" spans="1:13" x14ac:dyDescent="0.35">
      <c r="A97" s="52"/>
      <c r="B97" s="52"/>
      <c r="C97" s="52"/>
      <c r="D97" s="68"/>
      <c r="F97" s="67"/>
      <c r="G97" s="66"/>
      <c r="H97" s="66"/>
      <c r="I97" s="66"/>
      <c r="J97" s="66"/>
      <c r="K97" s="56"/>
      <c r="M97" s="65"/>
    </row>
    <row r="98" spans="1:13" x14ac:dyDescent="0.35">
      <c r="A98" s="52"/>
      <c r="B98" s="52"/>
      <c r="C98" s="52"/>
      <c r="D98" s="52"/>
      <c r="E98" s="52"/>
    </row>
    <row r="99" spans="1:13" x14ac:dyDescent="0.35">
      <c r="A99" s="1" t="s">
        <v>44</v>
      </c>
      <c r="B99" s="53"/>
      <c r="C99" s="53"/>
      <c r="D99" s="53"/>
      <c r="E99" s="52"/>
      <c r="F99" s="52"/>
      <c r="G99" s="52"/>
      <c r="H99" s="52"/>
      <c r="I99" s="52"/>
      <c r="J99" s="52"/>
      <c r="K99" s="52"/>
    </row>
    <row r="100" spans="1:13" ht="58" x14ac:dyDescent="0.35">
      <c r="A100" s="15" t="s">
        <v>1</v>
      </c>
      <c r="B100" s="15" t="s">
        <v>2</v>
      </c>
      <c r="C100" s="15" t="s">
        <v>3</v>
      </c>
      <c r="D100" s="15" t="s">
        <v>4</v>
      </c>
      <c r="E100" s="15" t="s">
        <v>45</v>
      </c>
      <c r="F100" s="15" t="s">
        <v>6</v>
      </c>
      <c r="G100" s="15" t="s">
        <v>7</v>
      </c>
      <c r="H100" s="15" t="s">
        <v>8</v>
      </c>
      <c r="I100" s="15" t="s">
        <v>9</v>
      </c>
      <c r="J100" s="15" t="s">
        <v>10</v>
      </c>
      <c r="K100" s="15" t="s">
        <v>11</v>
      </c>
      <c r="L100" s="56" t="s">
        <v>46</v>
      </c>
    </row>
    <row r="101" spans="1:13" x14ac:dyDescent="0.35">
      <c r="A101" s="51"/>
      <c r="B101" s="51"/>
      <c r="C101" s="51"/>
      <c r="D101" s="51"/>
      <c r="E101" s="64">
        <f>26.0253830755776%</f>
        <v>0.26025383075577602</v>
      </c>
      <c r="F101" s="51"/>
      <c r="G101" s="51"/>
      <c r="H101" s="51"/>
      <c r="I101" s="51"/>
      <c r="J101" s="51"/>
      <c r="K101" s="51"/>
      <c r="L101" s="63">
        <v>44348</v>
      </c>
    </row>
    <row r="102" spans="1:13" x14ac:dyDescent="0.35">
      <c r="A102" s="43" t="s">
        <v>12</v>
      </c>
      <c r="B102" s="43" t="s">
        <v>13</v>
      </c>
      <c r="C102" s="10" t="s">
        <v>44</v>
      </c>
      <c r="D102" s="50">
        <v>0.13</v>
      </c>
      <c r="E102" s="59">
        <v>539165</v>
      </c>
      <c r="F102" s="48">
        <f t="shared" ref="F102:F127" si="11">D102*E102</f>
        <v>70091.45</v>
      </c>
      <c r="G102" s="54">
        <v>1.2415</v>
      </c>
      <c r="H102" s="54"/>
      <c r="I102" s="54"/>
      <c r="J102" s="54"/>
      <c r="K102" s="46">
        <f>G102*E102</f>
        <v>669373.34750000003</v>
      </c>
      <c r="L102" s="56"/>
    </row>
    <row r="103" spans="1:13" x14ac:dyDescent="0.35">
      <c r="A103" s="10" t="s">
        <v>15</v>
      </c>
      <c r="B103" s="10" t="s">
        <v>12</v>
      </c>
      <c r="C103" s="10" t="s">
        <v>44</v>
      </c>
      <c r="D103" s="50">
        <v>0.14499999999999999</v>
      </c>
      <c r="E103" s="59">
        <v>503181</v>
      </c>
      <c r="F103" s="48">
        <f t="shared" si="11"/>
        <v>72961.244999999995</v>
      </c>
      <c r="G103" s="54">
        <v>1.2415</v>
      </c>
      <c r="H103" s="54"/>
      <c r="I103" s="54"/>
      <c r="J103" s="54"/>
      <c r="K103" s="46">
        <f>G103*E103</f>
        <v>624699.21149999998</v>
      </c>
    </row>
    <row r="104" spans="1:13" x14ac:dyDescent="0.35">
      <c r="A104" s="10" t="s">
        <v>16</v>
      </c>
      <c r="B104" s="10" t="s">
        <v>15</v>
      </c>
      <c r="C104" s="10" t="s">
        <v>44</v>
      </c>
      <c r="D104" s="50">
        <v>0.16</v>
      </c>
      <c r="E104" s="59">
        <v>528790.700064381</v>
      </c>
      <c r="F104" s="48">
        <f t="shared" si="11"/>
        <v>84606.512010300969</v>
      </c>
      <c r="G104" s="54">
        <v>1.2415</v>
      </c>
      <c r="H104" s="54"/>
      <c r="I104" s="54"/>
      <c r="J104" s="54"/>
      <c r="K104" s="46">
        <f>G104*E104</f>
        <v>656493.65412992903</v>
      </c>
    </row>
    <row r="105" spans="1:13" x14ac:dyDescent="0.35">
      <c r="A105" s="10" t="s">
        <v>17</v>
      </c>
      <c r="B105" s="10" t="s">
        <v>16</v>
      </c>
      <c r="C105" s="10" t="s">
        <v>44</v>
      </c>
      <c r="D105" s="50">
        <v>0.17500000000000004</v>
      </c>
      <c r="E105" s="59">
        <v>471451.44980015844</v>
      </c>
      <c r="F105" s="48">
        <f t="shared" si="11"/>
        <v>82504.003715027749</v>
      </c>
      <c r="G105" s="54">
        <v>1.2415</v>
      </c>
      <c r="H105" s="54"/>
      <c r="I105" s="54"/>
      <c r="J105" s="54"/>
      <c r="K105" s="46">
        <f>G105*E105</f>
        <v>585306.97492689674</v>
      </c>
      <c r="L105" s="62">
        <v>1811506.2838117136</v>
      </c>
    </row>
    <row r="106" spans="1:13" x14ac:dyDescent="0.35">
      <c r="A106" s="10" t="s">
        <v>18</v>
      </c>
      <c r="B106" s="10" t="s">
        <v>17</v>
      </c>
      <c r="C106" s="10" t="s">
        <v>44</v>
      </c>
      <c r="D106" s="50">
        <v>0.19000000000000006</v>
      </c>
      <c r="E106" s="59">
        <v>533051</v>
      </c>
      <c r="F106" s="48">
        <f t="shared" si="11"/>
        <v>101279.69000000003</v>
      </c>
      <c r="G106" s="61">
        <f>(G105*(1/3))+(G107*(2/3))</f>
        <v>2.1638333333333333</v>
      </c>
      <c r="H106" s="61"/>
      <c r="I106" s="61"/>
      <c r="J106" s="61"/>
      <c r="K106" s="46">
        <f>G106*E106</f>
        <v>1153433.5221666666</v>
      </c>
      <c r="L106" s="60">
        <v>1936031</v>
      </c>
    </row>
    <row r="107" spans="1:13" x14ac:dyDescent="0.35">
      <c r="A107" s="10" t="s">
        <v>19</v>
      </c>
      <c r="B107" s="10" t="s">
        <v>18</v>
      </c>
      <c r="C107" s="10" t="s">
        <v>44</v>
      </c>
      <c r="D107" s="50">
        <v>0.20500000000000007</v>
      </c>
      <c r="E107" s="59">
        <v>530532.65745021519</v>
      </c>
      <c r="F107" s="48">
        <f t="shared" si="11"/>
        <v>108759.19477729415</v>
      </c>
      <c r="G107" s="54">
        <v>2.625</v>
      </c>
      <c r="H107" s="54"/>
      <c r="I107" s="54"/>
      <c r="J107" s="54"/>
      <c r="K107" s="46">
        <f t="shared" ref="K107:K127" si="12">G107*E107</f>
        <v>1392648.2258068149</v>
      </c>
      <c r="L107" s="58">
        <v>1913299.2299400053</v>
      </c>
      <c r="M107" s="39"/>
    </row>
    <row r="108" spans="1:13" x14ac:dyDescent="0.35">
      <c r="A108" s="43" t="s">
        <v>20</v>
      </c>
      <c r="B108" s="10" t="s">
        <v>19</v>
      </c>
      <c r="C108" s="10" t="s">
        <v>44</v>
      </c>
      <c r="D108" s="50">
        <v>0.22000000000000008</v>
      </c>
      <c r="E108" s="59">
        <v>526942.64347762323</v>
      </c>
      <c r="F108" s="48">
        <f t="shared" si="11"/>
        <v>115927.38156507716</v>
      </c>
      <c r="G108" s="54">
        <v>2.625</v>
      </c>
      <c r="H108" s="54"/>
      <c r="I108" s="54"/>
      <c r="J108" s="54"/>
      <c r="K108" s="46">
        <f t="shared" si="12"/>
        <v>1383224.4391287609</v>
      </c>
      <c r="L108" s="58">
        <v>1985842.9875904245</v>
      </c>
      <c r="M108" s="39"/>
    </row>
    <row r="109" spans="1:13" x14ac:dyDescent="0.35">
      <c r="A109" s="43" t="s">
        <v>22</v>
      </c>
      <c r="B109" s="43" t="s">
        <v>20</v>
      </c>
      <c r="C109" s="10" t="s">
        <v>44</v>
      </c>
      <c r="D109" s="50">
        <v>0.2350000000000001</v>
      </c>
      <c r="E109" s="59">
        <v>528397.803846856</v>
      </c>
      <c r="F109" s="48">
        <f t="shared" si="11"/>
        <v>124173.48390401121</v>
      </c>
      <c r="G109" s="54">
        <v>2.625</v>
      </c>
      <c r="H109" s="54"/>
      <c r="I109" s="54"/>
      <c r="J109" s="54"/>
      <c r="K109" s="46">
        <f t="shared" si="12"/>
        <v>1387044.2350979969</v>
      </c>
      <c r="L109" s="58">
        <v>2031361.7468766836</v>
      </c>
      <c r="M109" s="39"/>
    </row>
    <row r="110" spans="1:13" x14ac:dyDescent="0.35">
      <c r="A110" s="43" t="s">
        <v>23</v>
      </c>
      <c r="B110" s="43" t="s">
        <v>22</v>
      </c>
      <c r="C110" s="10" t="s">
        <v>44</v>
      </c>
      <c r="D110" s="50">
        <v>0.25000000000000011</v>
      </c>
      <c r="E110" s="55">
        <v>528059.65392531082</v>
      </c>
      <c r="F110" s="48">
        <f t="shared" si="11"/>
        <v>132014.91348132776</v>
      </c>
      <c r="G110" s="54">
        <v>2.625</v>
      </c>
      <c r="H110" s="54"/>
      <c r="I110" s="54"/>
      <c r="J110" s="54"/>
      <c r="K110" s="46">
        <f t="shared" si="12"/>
        <v>1386156.5915539409</v>
      </c>
      <c r="L110" s="58">
        <v>2031757.1150187554</v>
      </c>
      <c r="M110" s="39"/>
    </row>
    <row r="111" spans="1:13" x14ac:dyDescent="0.35">
      <c r="A111" s="10" t="s">
        <v>24</v>
      </c>
      <c r="B111" s="10" t="s">
        <v>23</v>
      </c>
      <c r="C111" s="10" t="s">
        <v>44</v>
      </c>
      <c r="D111" s="50">
        <v>0.28000000000000003</v>
      </c>
      <c r="E111" s="55">
        <v>529850.25363910827</v>
      </c>
      <c r="F111" s="48">
        <f t="shared" si="11"/>
        <v>148358.07101895032</v>
      </c>
      <c r="G111" s="54">
        <v>2.625</v>
      </c>
      <c r="H111" s="54"/>
      <c r="I111" s="54"/>
      <c r="J111" s="54"/>
      <c r="K111" s="46">
        <f t="shared" si="12"/>
        <v>1390856.9158026592</v>
      </c>
      <c r="L111" s="58">
        <v>2032902.5821294354</v>
      </c>
      <c r="M111" s="39"/>
    </row>
    <row r="112" spans="1:13" x14ac:dyDescent="0.35">
      <c r="A112" s="10" t="s">
        <v>25</v>
      </c>
      <c r="B112" s="10" t="s">
        <v>24</v>
      </c>
      <c r="C112" s="10" t="s">
        <v>44</v>
      </c>
      <c r="D112" s="50">
        <v>0.31</v>
      </c>
      <c r="E112" s="55">
        <v>530429.20436652494</v>
      </c>
      <c r="F112" s="48">
        <f t="shared" si="11"/>
        <v>164433.05335362273</v>
      </c>
      <c r="G112" s="54">
        <v>2.625</v>
      </c>
      <c r="H112" s="54"/>
      <c r="I112" s="54"/>
      <c r="J112" s="54"/>
      <c r="K112" s="46">
        <f t="shared" si="12"/>
        <v>1392376.6614621279</v>
      </c>
      <c r="L112" s="58">
        <v>2034248.8457400231</v>
      </c>
      <c r="M112" s="39"/>
    </row>
    <row r="113" spans="1:13" x14ac:dyDescent="0.35">
      <c r="A113" s="10" t="s">
        <v>26</v>
      </c>
      <c r="B113" s="10" t="s">
        <v>25</v>
      </c>
      <c r="C113" s="10" t="s">
        <v>44</v>
      </c>
      <c r="D113" s="50">
        <v>0.34</v>
      </c>
      <c r="E113" s="55">
        <v>531365.40813121572</v>
      </c>
      <c r="F113" s="48">
        <f t="shared" si="11"/>
        <v>180664.23876461337</v>
      </c>
      <c r="G113" s="54">
        <v>2.625</v>
      </c>
      <c r="H113" s="54"/>
      <c r="I113" s="54"/>
      <c r="J113" s="54"/>
      <c r="K113" s="46">
        <f t="shared" si="12"/>
        <v>1394834.1963444413</v>
      </c>
      <c r="L113" s="58">
        <v>2035436.7095460405</v>
      </c>
      <c r="M113" s="39"/>
    </row>
    <row r="114" spans="1:13" x14ac:dyDescent="0.35">
      <c r="A114" s="43" t="s">
        <v>27</v>
      </c>
      <c r="B114" s="10" t="s">
        <v>26</v>
      </c>
      <c r="C114" s="10" t="s">
        <v>44</v>
      </c>
      <c r="D114" s="50">
        <v>0.37</v>
      </c>
      <c r="E114" s="55">
        <v>531528.48370576557</v>
      </c>
      <c r="F114" s="48">
        <f t="shared" si="11"/>
        <v>196665.53897113327</v>
      </c>
      <c r="G114" s="54">
        <v>2.625</v>
      </c>
      <c r="H114" s="54"/>
      <c r="I114" s="54"/>
      <c r="J114" s="54"/>
      <c r="K114" s="46">
        <f t="shared" si="12"/>
        <v>1395262.2697276347</v>
      </c>
      <c r="L114" s="58">
        <v>2036877.7836252931</v>
      </c>
      <c r="M114" s="39"/>
    </row>
    <row r="115" spans="1:13" x14ac:dyDescent="0.35">
      <c r="A115" s="43" t="s">
        <v>28</v>
      </c>
      <c r="B115" s="43" t="s">
        <v>27</v>
      </c>
      <c r="C115" s="10" t="s">
        <v>44</v>
      </c>
      <c r="D115" s="50">
        <v>0.4</v>
      </c>
      <c r="E115" s="55">
        <v>532425.81888603442</v>
      </c>
      <c r="F115" s="48">
        <f t="shared" si="11"/>
        <v>212970.32755441379</v>
      </c>
      <c r="G115" s="54">
        <v>2.625</v>
      </c>
      <c r="H115" s="54"/>
      <c r="I115" s="54"/>
      <c r="J115" s="54"/>
      <c r="K115" s="46">
        <f t="shared" si="12"/>
        <v>1397617.7745758404</v>
      </c>
      <c r="L115" s="58">
        <v>2038203.8653873855</v>
      </c>
      <c r="M115" s="39"/>
    </row>
    <row r="116" spans="1:13" x14ac:dyDescent="0.35">
      <c r="A116" s="43" t="s">
        <v>29</v>
      </c>
      <c r="B116" s="43" t="s">
        <v>28</v>
      </c>
      <c r="C116" s="10" t="s">
        <v>44</v>
      </c>
      <c r="D116" s="50">
        <v>0.40902608000000001</v>
      </c>
      <c r="E116" s="55">
        <v>533005.33967255801</v>
      </c>
      <c r="F116" s="48">
        <f t="shared" si="11"/>
        <v>218013.08470533488</v>
      </c>
      <c r="G116" s="54">
        <v>2.625</v>
      </c>
      <c r="H116" s="54"/>
      <c r="I116" s="54"/>
      <c r="J116" s="54"/>
      <c r="K116" s="46">
        <f t="shared" si="12"/>
        <v>1399139.0166404648</v>
      </c>
      <c r="L116" s="58">
        <v>2039151.6884040157</v>
      </c>
      <c r="M116" s="39"/>
    </row>
    <row r="117" spans="1:13" x14ac:dyDescent="0.35">
      <c r="A117" s="10" t="s">
        <v>30</v>
      </c>
      <c r="B117" s="10" t="s">
        <v>29</v>
      </c>
      <c r="C117" s="10" t="s">
        <v>44</v>
      </c>
      <c r="D117" s="50">
        <v>0.41825583530041599</v>
      </c>
      <c r="E117" s="55">
        <v>533754.79569958372</v>
      </c>
      <c r="F117" s="48">
        <f t="shared" si="11"/>
        <v>223246.05792093228</v>
      </c>
      <c r="G117" s="54">
        <v>2.625</v>
      </c>
      <c r="H117" s="54"/>
      <c r="I117" s="54"/>
      <c r="J117" s="54"/>
      <c r="K117" s="46">
        <f t="shared" si="12"/>
        <v>1401106.3387114073</v>
      </c>
      <c r="L117" s="58">
        <v>2040028.7592896603</v>
      </c>
      <c r="M117" s="39"/>
    </row>
    <row r="118" spans="1:13" x14ac:dyDescent="0.35">
      <c r="A118" s="10" t="s">
        <v>31</v>
      </c>
      <c r="B118" s="10" t="s">
        <v>30</v>
      </c>
      <c r="C118" s="10" t="s">
        <v>44</v>
      </c>
      <c r="D118" s="50">
        <v>0.42769386187513697</v>
      </c>
      <c r="E118" s="55">
        <v>533927.73792272958</v>
      </c>
      <c r="F118" s="48">
        <f t="shared" si="11"/>
        <v>228357.61619442824</v>
      </c>
      <c r="G118" s="54">
        <v>2.625</v>
      </c>
      <c r="H118" s="54"/>
      <c r="I118" s="54"/>
      <c r="J118" s="54"/>
      <c r="K118" s="46">
        <f t="shared" si="12"/>
        <v>1401560.3120471651</v>
      </c>
      <c r="L118" s="58">
        <v>2040801.2574976794</v>
      </c>
      <c r="M118" s="39"/>
    </row>
    <row r="119" spans="1:13" x14ac:dyDescent="0.35">
      <c r="A119" s="10" t="s">
        <v>32</v>
      </c>
      <c r="B119" s="10" t="s">
        <v>31</v>
      </c>
      <c r="C119" s="10" t="s">
        <v>44</v>
      </c>
      <c r="D119" s="50">
        <v>0.43734485940712181</v>
      </c>
      <c r="E119" s="55">
        <v>534300.06030736852</v>
      </c>
      <c r="F119" s="48">
        <f t="shared" si="11"/>
        <v>233673.3847563428</v>
      </c>
      <c r="G119" s="54">
        <v>2.625</v>
      </c>
      <c r="H119" s="54"/>
      <c r="I119" s="54"/>
      <c r="J119" s="54"/>
      <c r="K119" s="46">
        <f t="shared" si="12"/>
        <v>1402537.6583068424</v>
      </c>
      <c r="L119" s="58">
        <v>2041559.7906517184</v>
      </c>
      <c r="M119" s="39"/>
    </row>
    <row r="120" spans="1:13" x14ac:dyDescent="0.35">
      <c r="A120" s="10" t="s">
        <v>33</v>
      </c>
      <c r="B120" s="10" t="s">
        <v>32</v>
      </c>
      <c r="C120" s="10" t="s">
        <v>44</v>
      </c>
      <c r="D120" s="50">
        <v>0.44721363362861538</v>
      </c>
      <c r="E120" s="55">
        <v>534645.23663093371</v>
      </c>
      <c r="F120" s="48">
        <f t="shared" si="11"/>
        <v>239100.63897595077</v>
      </c>
      <c r="G120" s="54">
        <v>2.625</v>
      </c>
      <c r="H120" s="54"/>
      <c r="I120" s="54"/>
      <c r="J120" s="54"/>
      <c r="K120" s="46">
        <f t="shared" si="12"/>
        <v>1403443.746156201</v>
      </c>
      <c r="L120" s="58">
        <v>2042228.0448328247</v>
      </c>
      <c r="M120" s="39"/>
    </row>
    <row r="121" spans="1:13" x14ac:dyDescent="0.35">
      <c r="A121" s="10" t="s">
        <v>34</v>
      </c>
      <c r="B121" s="10" t="s">
        <v>33</v>
      </c>
      <c r="C121" s="10" t="s">
        <v>44</v>
      </c>
      <c r="D121" s="50">
        <v>0.45730509871417185</v>
      </c>
      <c r="E121" s="55">
        <v>534964.2469321622</v>
      </c>
      <c r="F121" s="48">
        <f t="shared" si="11"/>
        <v>244641.87775186505</v>
      </c>
      <c r="G121" s="54">
        <v>2.625</v>
      </c>
      <c r="H121" s="54"/>
      <c r="I121" s="54"/>
      <c r="J121" s="54"/>
      <c r="K121" s="46">
        <f t="shared" si="12"/>
        <v>1404281.1481969259</v>
      </c>
      <c r="L121" s="58">
        <v>2042622.4927971303</v>
      </c>
      <c r="M121" s="39"/>
    </row>
    <row r="122" spans="1:13" x14ac:dyDescent="0.35">
      <c r="A122" s="10" t="s">
        <v>35</v>
      </c>
      <c r="B122" s="10" t="s">
        <v>34</v>
      </c>
      <c r="C122" s="10" t="s">
        <v>44</v>
      </c>
      <c r="D122" s="50">
        <v>0.46762427972767689</v>
      </c>
      <c r="E122" s="55">
        <v>535258.6012692037</v>
      </c>
      <c r="F122" s="48">
        <f t="shared" si="11"/>
        <v>250299.91788655519</v>
      </c>
      <c r="G122" s="54">
        <v>2.625</v>
      </c>
      <c r="H122" s="54"/>
      <c r="I122" s="54"/>
      <c r="J122" s="54"/>
      <c r="K122" s="46">
        <f t="shared" si="12"/>
        <v>1405053.8283316598</v>
      </c>
      <c r="L122" s="58">
        <v>2043089.2737057647</v>
      </c>
      <c r="M122" s="39"/>
    </row>
    <row r="123" spans="1:13" x14ac:dyDescent="0.35">
      <c r="A123" s="10" t="s">
        <v>36</v>
      </c>
      <c r="B123" s="10" t="s">
        <v>35</v>
      </c>
      <c r="C123" s="10" t="s">
        <v>44</v>
      </c>
      <c r="D123" s="50">
        <v>0.47817631512458791</v>
      </c>
      <c r="E123" s="55">
        <v>535529.01463481109</v>
      </c>
      <c r="F123" s="48">
        <f t="shared" si="11"/>
        <v>256077.29086037548</v>
      </c>
      <c r="G123" s="54">
        <v>2.625</v>
      </c>
      <c r="H123" s="54"/>
      <c r="I123" s="54"/>
      <c r="J123" s="54"/>
      <c r="K123" s="46">
        <f t="shared" si="12"/>
        <v>1405763.6634163791</v>
      </c>
      <c r="L123" s="57">
        <v>2043809.8008337496</v>
      </c>
      <c r="M123" s="39"/>
    </row>
    <row r="124" spans="1:13" x14ac:dyDescent="0.35">
      <c r="A124" s="10" t="s">
        <v>37</v>
      </c>
      <c r="B124" s="10" t="s">
        <v>36</v>
      </c>
      <c r="C124" s="10" t="s">
        <v>44</v>
      </c>
      <c r="D124" s="50">
        <v>0.48896645931063754</v>
      </c>
      <c r="E124" s="55">
        <v>535776.48357490334</v>
      </c>
      <c r="F124" s="48">
        <f t="shared" si="11"/>
        <v>261976.73015552442</v>
      </c>
      <c r="G124" s="54">
        <v>2.625</v>
      </c>
      <c r="H124" s="54"/>
      <c r="I124" s="54"/>
      <c r="J124" s="54"/>
      <c r="K124" s="46">
        <f t="shared" si="12"/>
        <v>1406413.2693841213</v>
      </c>
      <c r="L124" s="56"/>
      <c r="M124" s="39"/>
    </row>
    <row r="125" spans="1:13" x14ac:dyDescent="0.35">
      <c r="A125" s="10" t="s">
        <v>38</v>
      </c>
      <c r="B125" s="10" t="s">
        <v>37</v>
      </c>
      <c r="C125" s="10" t="s">
        <v>44</v>
      </c>
      <c r="D125" s="50">
        <v>0.50000008525827411</v>
      </c>
      <c r="E125" s="55">
        <v>536002.06114858564</v>
      </c>
      <c r="F125" s="48">
        <f t="shared" si="11"/>
        <v>268001.07627290348</v>
      </c>
      <c r="G125" s="54">
        <v>2.625</v>
      </c>
      <c r="H125" s="54"/>
      <c r="I125" s="54"/>
      <c r="J125" s="54"/>
      <c r="K125" s="46">
        <f t="shared" si="12"/>
        <v>1407005.4105150374</v>
      </c>
      <c r="M125" s="39"/>
    </row>
    <row r="126" spans="1:13" x14ac:dyDescent="0.35">
      <c r="A126" s="10" t="s">
        <v>39</v>
      </c>
      <c r="B126" s="10" t="s">
        <v>38</v>
      </c>
      <c r="C126" s="10" t="s">
        <v>44</v>
      </c>
      <c r="D126" s="50">
        <v>0.5</v>
      </c>
      <c r="E126" s="55">
        <v>536206.763677001</v>
      </c>
      <c r="F126" s="48">
        <f t="shared" si="11"/>
        <v>268103.3818385005</v>
      </c>
      <c r="G126" s="54">
        <v>2.625</v>
      </c>
      <c r="H126" s="54"/>
      <c r="I126" s="54"/>
      <c r="J126" s="54"/>
      <c r="K126" s="46">
        <f t="shared" si="12"/>
        <v>1407542.7546521276</v>
      </c>
      <c r="M126" s="39"/>
    </row>
    <row r="127" spans="1:13" x14ac:dyDescent="0.35">
      <c r="A127" s="10" t="s">
        <v>40</v>
      </c>
      <c r="B127" s="10" t="s">
        <v>39</v>
      </c>
      <c r="C127" s="10" t="s">
        <v>44</v>
      </c>
      <c r="D127" s="50">
        <v>0.5</v>
      </c>
      <c r="E127" s="55">
        <v>536390.78112780477</v>
      </c>
      <c r="F127" s="48">
        <f t="shared" si="11"/>
        <v>268195.39056390239</v>
      </c>
      <c r="G127" s="54">
        <v>2.625</v>
      </c>
      <c r="H127" s="54"/>
      <c r="I127" s="54"/>
      <c r="J127" s="54"/>
      <c r="K127" s="46">
        <f t="shared" si="12"/>
        <v>1408025.8004604876</v>
      </c>
      <c r="M127" s="39"/>
    </row>
    <row r="139" spans="1:5" x14ac:dyDescent="0.35">
      <c r="A139" s="307" t="s">
        <v>47</v>
      </c>
      <c r="B139" s="307"/>
    </row>
    <row r="140" spans="1:5" x14ac:dyDescent="0.35">
      <c r="B140" s="44" t="s">
        <v>41</v>
      </c>
      <c r="C140" s="44" t="s">
        <v>43</v>
      </c>
      <c r="D140" s="44" t="s">
        <v>44</v>
      </c>
      <c r="E140" s="44" t="s">
        <v>48</v>
      </c>
    </row>
    <row r="141" spans="1:5" x14ac:dyDescent="0.35">
      <c r="A141" t="s">
        <v>49</v>
      </c>
      <c r="B141" s="239">
        <v>23519409</v>
      </c>
      <c r="C141" s="73">
        <v>44214248</v>
      </c>
      <c r="D141" s="45">
        <v>13556</v>
      </c>
      <c r="E141" s="181">
        <f>SUM(B141:D141)</f>
        <v>67747213</v>
      </c>
    </row>
    <row r="142" spans="1:5" x14ac:dyDescent="0.35">
      <c r="A142" t="s">
        <v>50</v>
      </c>
      <c r="B142" s="239">
        <v>12955428</v>
      </c>
      <c r="C142" s="237">
        <v>23326123.079999998</v>
      </c>
      <c r="D142" s="238"/>
      <c r="E142" s="181">
        <f>SUM(B142:D142)</f>
        <v>36281551.079999998</v>
      </c>
    </row>
    <row r="143" spans="1:5" x14ac:dyDescent="0.35">
      <c r="A143" t="s">
        <v>51</v>
      </c>
      <c r="B143" s="237">
        <v>41705.58</v>
      </c>
      <c r="C143" s="237">
        <v>1692119.3599999999</v>
      </c>
      <c r="D143" s="238"/>
      <c r="E143" s="181">
        <f>SUM(B143:D143)</f>
        <v>1733824.94</v>
      </c>
    </row>
    <row r="144" spans="1:5" x14ac:dyDescent="0.35">
      <c r="A144" t="s">
        <v>52</v>
      </c>
      <c r="B144" s="237">
        <f>B142-B143</f>
        <v>12913722.42</v>
      </c>
      <c r="C144" s="237">
        <f>C142-C143</f>
        <v>21634003.719999999</v>
      </c>
      <c r="D144" s="238"/>
      <c r="E144" s="181">
        <f>SUM(B144:D144)</f>
        <v>34547726.140000001</v>
      </c>
    </row>
    <row r="145" spans="1:10" x14ac:dyDescent="0.35">
      <c r="A145" s="253" t="s">
        <v>53</v>
      </c>
      <c r="B145" s="255">
        <f>B144+B141</f>
        <v>36433131.420000002</v>
      </c>
      <c r="C145" s="255">
        <f>C144+C141</f>
        <v>65848251.719999999</v>
      </c>
      <c r="D145" s="255">
        <f>D144+D141</f>
        <v>13556</v>
      </c>
      <c r="E145" s="181">
        <f>SUM(B145:D145)</f>
        <v>102294939.14</v>
      </c>
    </row>
    <row r="146" spans="1:10" x14ac:dyDescent="0.35">
      <c r="B146" s="19"/>
      <c r="C146" s="19"/>
      <c r="D146" s="19"/>
      <c r="E146" s="19"/>
    </row>
    <row r="147" spans="1:10" x14ac:dyDescent="0.35">
      <c r="B147" s="19"/>
      <c r="C147" s="19"/>
      <c r="D147" s="19"/>
      <c r="E147" s="19"/>
    </row>
    <row r="148" spans="1:10" ht="29" x14ac:dyDescent="0.35">
      <c r="A148" s="15" t="s">
        <v>1</v>
      </c>
      <c r="B148" s="44" t="s">
        <v>41</v>
      </c>
      <c r="C148" s="44" t="s">
        <v>43</v>
      </c>
      <c r="D148" s="44" t="s">
        <v>44</v>
      </c>
      <c r="E148" s="254" t="s">
        <v>54</v>
      </c>
    </row>
    <row r="149" spans="1:10" x14ac:dyDescent="0.35">
      <c r="A149" s="10" t="s">
        <v>17</v>
      </c>
      <c r="B149" s="17">
        <f t="shared" ref="B149:B171" si="13">K39</f>
        <v>64309855.295962796</v>
      </c>
      <c r="C149" s="17">
        <f>K72</f>
        <v>160340838.45917991</v>
      </c>
      <c r="D149" s="17">
        <f t="shared" ref="D149:D171" si="14">K107</f>
        <v>1392648.2258068149</v>
      </c>
      <c r="E149" s="23">
        <f>B149+C149+D149+$E$141</f>
        <v>293790554.98094952</v>
      </c>
      <c r="G149" s="19"/>
      <c r="H149" s="19"/>
      <c r="I149" s="19"/>
      <c r="J149" s="19"/>
    </row>
    <row r="150" spans="1:10" x14ac:dyDescent="0.35">
      <c r="A150" s="10" t="s">
        <v>18</v>
      </c>
      <c r="B150" s="17">
        <f t="shared" si="13"/>
        <v>129499575.18679999</v>
      </c>
      <c r="C150" s="17">
        <f t="shared" ref="C150:C171" si="15">K73</f>
        <v>334084827.7045005</v>
      </c>
      <c r="D150" s="17">
        <f t="shared" si="14"/>
        <v>1383224.4391287609</v>
      </c>
      <c r="E150" s="23">
        <f t="shared" ref="E150:E171" si="16">B150+C150+D150+$E$141</f>
        <v>532714840.33042926</v>
      </c>
    </row>
    <row r="151" spans="1:10" x14ac:dyDescent="0.35">
      <c r="A151" s="10" t="s">
        <v>19</v>
      </c>
      <c r="B151" s="17">
        <f t="shared" si="13"/>
        <v>160483342.72150001</v>
      </c>
      <c r="C151" s="17">
        <f t="shared" si="15"/>
        <v>425587002.41775018</v>
      </c>
      <c r="D151" s="17">
        <f t="shared" si="14"/>
        <v>1387044.2350979969</v>
      </c>
      <c r="E151" s="23">
        <f t="shared" si="16"/>
        <v>655204602.37434816</v>
      </c>
    </row>
    <row r="152" spans="1:10" x14ac:dyDescent="0.35">
      <c r="A152" s="43" t="s">
        <v>20</v>
      </c>
      <c r="B152" s="17">
        <f t="shared" si="13"/>
        <v>156961599.53649759</v>
      </c>
      <c r="C152" s="17">
        <f t="shared" si="15"/>
        <v>419076745.64009327</v>
      </c>
      <c r="D152" s="17">
        <f t="shared" si="14"/>
        <v>1386156.5915539409</v>
      </c>
      <c r="E152" s="23">
        <f t="shared" si="16"/>
        <v>645171714.76814485</v>
      </c>
    </row>
    <row r="153" spans="1:10" x14ac:dyDescent="0.35">
      <c r="A153" s="43" t="s">
        <v>22</v>
      </c>
      <c r="B153" s="17">
        <f t="shared" si="13"/>
        <v>155398917.17191386</v>
      </c>
      <c r="C153" s="17">
        <f t="shared" si="15"/>
        <v>416841690.5059967</v>
      </c>
      <c r="D153" s="17">
        <f t="shared" si="14"/>
        <v>1390856.9158026592</v>
      </c>
      <c r="E153" s="23">
        <f t="shared" si="16"/>
        <v>641378677.59371328</v>
      </c>
    </row>
    <row r="154" spans="1:10" x14ac:dyDescent="0.35">
      <c r="A154" s="43" t="s">
        <v>23</v>
      </c>
      <c r="B154" s="17">
        <f t="shared" si="13"/>
        <v>153492365.55944532</v>
      </c>
      <c r="C154" s="17">
        <f t="shared" si="15"/>
        <v>411704590.86891198</v>
      </c>
      <c r="D154" s="17">
        <f t="shared" si="14"/>
        <v>1392376.6614621279</v>
      </c>
      <c r="E154" s="23">
        <f t="shared" si="16"/>
        <v>634336546.08981943</v>
      </c>
    </row>
    <row r="155" spans="1:10" x14ac:dyDescent="0.35">
      <c r="A155" s="10" t="s">
        <v>24</v>
      </c>
      <c r="B155" s="17">
        <f t="shared" si="13"/>
        <v>151744178.01187399</v>
      </c>
      <c r="C155" s="17">
        <f t="shared" si="15"/>
        <v>409825345.05896723</v>
      </c>
      <c r="D155" s="17">
        <f t="shared" si="14"/>
        <v>1394834.1963444413</v>
      </c>
      <c r="E155" s="23">
        <f t="shared" si="16"/>
        <v>630711570.26718569</v>
      </c>
    </row>
    <row r="156" spans="1:10" x14ac:dyDescent="0.35">
      <c r="A156" s="10" t="s">
        <v>25</v>
      </c>
      <c r="B156" s="17">
        <f t="shared" si="13"/>
        <v>150699620.50638735</v>
      </c>
      <c r="C156" s="17">
        <f t="shared" si="15"/>
        <v>409988158.14116162</v>
      </c>
      <c r="D156" s="17">
        <f t="shared" si="14"/>
        <v>1395262.2697276347</v>
      </c>
      <c r="E156" s="23">
        <f t="shared" si="16"/>
        <v>629830253.9172765</v>
      </c>
    </row>
    <row r="157" spans="1:10" x14ac:dyDescent="0.35">
      <c r="A157" s="10" t="s">
        <v>26</v>
      </c>
      <c r="B157" s="17">
        <f t="shared" si="13"/>
        <v>150699620.50638735</v>
      </c>
      <c r="C157" s="17">
        <f t="shared" si="15"/>
        <v>411453110.88446397</v>
      </c>
      <c r="D157" s="17">
        <f t="shared" si="14"/>
        <v>1397617.7745758404</v>
      </c>
      <c r="E157" s="23">
        <f t="shared" si="16"/>
        <v>631297562.16542709</v>
      </c>
    </row>
    <row r="158" spans="1:10" x14ac:dyDescent="0.35">
      <c r="A158" s="43" t="s">
        <v>27</v>
      </c>
      <c r="B158" s="17">
        <f t="shared" si="13"/>
        <v>150699620.50638735</v>
      </c>
      <c r="C158" s="17">
        <f t="shared" si="15"/>
        <v>411918354.75480801</v>
      </c>
      <c r="D158" s="17">
        <f t="shared" si="14"/>
        <v>1399139.0166404648</v>
      </c>
      <c r="E158" s="23">
        <f t="shared" si="16"/>
        <v>631764327.27783585</v>
      </c>
    </row>
    <row r="159" spans="1:10" x14ac:dyDescent="0.35">
      <c r="A159" s="43" t="s">
        <v>28</v>
      </c>
      <c r="B159" s="17">
        <f t="shared" si="13"/>
        <v>150699620.50638735</v>
      </c>
      <c r="C159" s="17">
        <f t="shared" si="15"/>
        <v>415348992.70139438</v>
      </c>
      <c r="D159" s="17">
        <f t="shared" si="14"/>
        <v>1401106.3387114073</v>
      </c>
      <c r="E159" s="23">
        <f t="shared" si="16"/>
        <v>635196932.54649317</v>
      </c>
    </row>
    <row r="160" spans="1:10" x14ac:dyDescent="0.35">
      <c r="A160" s="43" t="s">
        <v>29</v>
      </c>
      <c r="B160" s="17">
        <f t="shared" si="13"/>
        <v>150699620.50638735</v>
      </c>
      <c r="C160" s="17">
        <f t="shared" si="15"/>
        <v>418582949.03196639</v>
      </c>
      <c r="D160" s="17">
        <f t="shared" si="14"/>
        <v>1401560.3120471651</v>
      </c>
      <c r="E160" s="23">
        <f t="shared" si="16"/>
        <v>638431342.85040081</v>
      </c>
    </row>
    <row r="161" spans="1:5" x14ac:dyDescent="0.35">
      <c r="A161" s="10" t="s">
        <v>30</v>
      </c>
      <c r="B161" s="17">
        <f t="shared" si="13"/>
        <v>150699620.50638735</v>
      </c>
      <c r="C161" s="17">
        <f t="shared" si="15"/>
        <v>422379359.92819607</v>
      </c>
      <c r="D161" s="17">
        <f t="shared" si="14"/>
        <v>1402537.6583068424</v>
      </c>
      <c r="E161" s="23">
        <f t="shared" si="16"/>
        <v>642228731.09289026</v>
      </c>
    </row>
    <row r="162" spans="1:5" x14ac:dyDescent="0.35">
      <c r="A162" s="10" t="s">
        <v>31</v>
      </c>
      <c r="B162" s="17">
        <f t="shared" si="13"/>
        <v>150699620.50638735</v>
      </c>
      <c r="C162" s="17">
        <f t="shared" si="15"/>
        <v>424212020.72689438</v>
      </c>
      <c r="D162" s="17">
        <f t="shared" si="14"/>
        <v>1403443.746156201</v>
      </c>
      <c r="E162" s="23">
        <f t="shared" si="16"/>
        <v>644062297.97943795</v>
      </c>
    </row>
    <row r="163" spans="1:5" x14ac:dyDescent="0.35">
      <c r="A163" s="10" t="s">
        <v>32</v>
      </c>
      <c r="B163" s="17">
        <f t="shared" si="13"/>
        <v>150699620.50638735</v>
      </c>
      <c r="C163" s="17">
        <f t="shared" si="15"/>
        <v>427187635.13579118</v>
      </c>
      <c r="D163" s="17">
        <f t="shared" si="14"/>
        <v>1404281.1481969259</v>
      </c>
      <c r="E163" s="23">
        <f t="shared" si="16"/>
        <v>647038749.79037547</v>
      </c>
    </row>
    <row r="164" spans="1:5" x14ac:dyDescent="0.35">
      <c r="A164" s="10" t="s">
        <v>33</v>
      </c>
      <c r="B164" s="17">
        <f t="shared" si="13"/>
        <v>150699620.50638735</v>
      </c>
      <c r="C164" s="17">
        <f t="shared" si="15"/>
        <v>429370630.38209999</v>
      </c>
      <c r="D164" s="17">
        <f t="shared" si="14"/>
        <v>1405053.8283316598</v>
      </c>
      <c r="E164" s="23">
        <f t="shared" si="16"/>
        <v>649222517.71681905</v>
      </c>
    </row>
    <row r="165" spans="1:5" x14ac:dyDescent="0.35">
      <c r="A165" s="10" t="s">
        <v>34</v>
      </c>
      <c r="B165" s="17">
        <f t="shared" si="13"/>
        <v>150699620.50638735</v>
      </c>
      <c r="C165" s="17">
        <f t="shared" si="15"/>
        <v>431968420.40625679</v>
      </c>
      <c r="D165" s="17">
        <f t="shared" si="14"/>
        <v>1405763.6634163791</v>
      </c>
      <c r="E165" s="23">
        <f t="shared" si="16"/>
        <v>651821017.57606053</v>
      </c>
    </row>
    <row r="166" spans="1:5" x14ac:dyDescent="0.35">
      <c r="A166" s="10" t="s">
        <v>35</v>
      </c>
      <c r="B166" s="17">
        <f t="shared" si="13"/>
        <v>150699620.50638735</v>
      </c>
      <c r="C166" s="17">
        <f t="shared" si="15"/>
        <v>433218617.73495358</v>
      </c>
      <c r="D166" s="17">
        <f t="shared" si="14"/>
        <v>1406413.2693841213</v>
      </c>
      <c r="E166" s="23">
        <f t="shared" si="16"/>
        <v>653071864.51072502</v>
      </c>
    </row>
    <row r="167" spans="1:5" x14ac:dyDescent="0.35">
      <c r="A167" s="10" t="s">
        <v>36</v>
      </c>
      <c r="B167" s="17">
        <f t="shared" si="13"/>
        <v>150699620.50638735</v>
      </c>
      <c r="C167" s="17">
        <f t="shared" si="15"/>
        <v>435986334.71697921</v>
      </c>
      <c r="D167" s="17">
        <f t="shared" si="14"/>
        <v>1407005.4105150374</v>
      </c>
      <c r="E167" s="23">
        <f t="shared" si="16"/>
        <v>655840173.63388157</v>
      </c>
    </row>
    <row r="168" spans="1:5" x14ac:dyDescent="0.35">
      <c r="A168" s="10" t="s">
        <v>37</v>
      </c>
      <c r="B168" s="17">
        <f t="shared" si="13"/>
        <v>150699620.50638735</v>
      </c>
      <c r="C168" s="17">
        <f t="shared" si="15"/>
        <v>438235256.99747199</v>
      </c>
      <c r="D168" s="17">
        <f t="shared" si="14"/>
        <v>1407542.7546521276</v>
      </c>
      <c r="E168" s="23">
        <f t="shared" si="16"/>
        <v>658089633.25851142</v>
      </c>
    </row>
    <row r="169" spans="1:5" x14ac:dyDescent="0.35">
      <c r="A169" s="10" t="s">
        <v>38</v>
      </c>
      <c r="B169" s="17">
        <f t="shared" si="13"/>
        <v>150699620.50638735</v>
      </c>
      <c r="C169" s="17">
        <f t="shared" si="15"/>
        <v>440920931.13038957</v>
      </c>
      <c r="D169" s="17">
        <f t="shared" si="14"/>
        <v>1408025.8004604876</v>
      </c>
      <c r="E169" s="23">
        <f t="shared" si="16"/>
        <v>660775790.43723738</v>
      </c>
    </row>
    <row r="170" spans="1:5" x14ac:dyDescent="0.35">
      <c r="A170" s="10" t="s">
        <v>39</v>
      </c>
      <c r="B170" s="17">
        <f t="shared" si="13"/>
        <v>150699620.50638735</v>
      </c>
      <c r="C170" s="17">
        <f t="shared" si="15"/>
        <v>442769305.46354878</v>
      </c>
      <c r="D170" s="17">
        <f t="shared" si="14"/>
        <v>0</v>
      </c>
      <c r="E170" s="23">
        <f t="shared" si="16"/>
        <v>661216138.96993613</v>
      </c>
    </row>
    <row r="171" spans="1:5" x14ac:dyDescent="0.35">
      <c r="A171" s="10" t="s">
        <v>40</v>
      </c>
      <c r="B171" s="17">
        <f t="shared" si="13"/>
        <v>150699620.50638735</v>
      </c>
      <c r="C171" s="17">
        <f t="shared" si="15"/>
        <v>444652102.27955437</v>
      </c>
      <c r="D171" s="17">
        <f t="shared" si="14"/>
        <v>0</v>
      </c>
      <c r="E171" s="23">
        <f t="shared" si="16"/>
        <v>663098935.78594172</v>
      </c>
    </row>
  </sheetData>
  <mergeCells count="1">
    <mergeCell ref="A139:B139"/>
  </mergeCells>
  <printOptions horizontalCentered="1" verticalCentered="1"/>
  <pageMargins left="0.25" right="0.25" top="0.75" bottom="0.75" header="0.3" footer="0.3"/>
  <pageSetup scale="56" fitToHeight="6" orientation="landscape" r:id="rId1"/>
  <headerFooter>
    <oddHeader>&amp;A</oddHeader>
  </headerFooter>
  <rowBreaks count="3" manualBreakCount="3">
    <brk id="64" max="16383" man="1"/>
    <brk id="97" max="16383" man="1"/>
    <brk id="137" max="16383" man="1"/>
  </rowBreaks>
  <customProperties>
    <customPr name="GUID" r:id="rId2"/>
  </customProperties>
  <ignoredErrors>
    <ignoredError sqref="H4 H5:H9 H12:H29"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FBF2-FF33-4526-A654-A9B4C5FF1FB0}">
  <sheetPr>
    <tabColor theme="5" tint="0.59999389629810485"/>
    <pageSetUpPr fitToPage="1"/>
  </sheetPr>
  <dimension ref="A1:AH92"/>
  <sheetViews>
    <sheetView topLeftCell="M1" zoomScale="120" zoomScaleNormal="120" workbookViewId="0">
      <selection activeCell="D2" sqref="D2:X2"/>
    </sheetView>
  </sheetViews>
  <sheetFormatPr defaultRowHeight="14.5" x14ac:dyDescent="0.35"/>
  <cols>
    <col min="2" max="2" width="17.453125" bestFit="1" customWidth="1"/>
    <col min="4" max="24" width="9.453125" bestFit="1" customWidth="1"/>
    <col min="25" max="25" width="24.54296875" bestFit="1" customWidth="1"/>
    <col min="26" max="26" width="14.453125" bestFit="1" customWidth="1"/>
  </cols>
  <sheetData>
    <row r="1" spans="1:34" x14ac:dyDescent="0.35">
      <c r="A1" t="s">
        <v>342</v>
      </c>
      <c r="D1" s="243"/>
      <c r="E1" s="243">
        <v>37.613780663780666</v>
      </c>
      <c r="F1" s="243">
        <v>44.955644841269844</v>
      </c>
      <c r="G1" s="244">
        <v>48.608571428571423</v>
      </c>
      <c r="H1" s="243">
        <v>49.615019841269842</v>
      </c>
      <c r="I1" s="243">
        <v>50.852212301587315</v>
      </c>
      <c r="J1" s="243">
        <v>51.05367063492065</v>
      </c>
      <c r="K1" s="243">
        <v>53.916884920634928</v>
      </c>
      <c r="L1" s="243">
        <v>52.77331349206348</v>
      </c>
      <c r="M1" s="243">
        <v>49.639583333333334</v>
      </c>
      <c r="N1" s="243">
        <v>48.957053571428574</v>
      </c>
      <c r="O1" s="243">
        <v>50.107996031746026</v>
      </c>
      <c r="P1" s="243">
        <v>52.531825396825397</v>
      </c>
      <c r="Q1" s="243">
        <v>54.128938492063497</v>
      </c>
      <c r="R1" s="243">
        <v>55.387113095238092</v>
      </c>
      <c r="S1" s="243">
        <v>56.706170634920632</v>
      </c>
      <c r="T1" s="243">
        <v>57.801765873015881</v>
      </c>
      <c r="U1" s="243">
        <v>58.812281746031744</v>
      </c>
      <c r="V1" s="243">
        <v>60.124315476190475</v>
      </c>
      <c r="W1" s="243">
        <v>61.200416666666669</v>
      </c>
      <c r="X1" s="243">
        <v>62.253025793650792</v>
      </c>
    </row>
    <row r="2" spans="1:34" s="105" customFormat="1" x14ac:dyDescent="0.35">
      <c r="B2" s="105" t="s">
        <v>55</v>
      </c>
      <c r="D2" s="219">
        <v>0</v>
      </c>
      <c r="E2" s="219">
        <v>0</v>
      </c>
      <c r="F2" s="219">
        <v>0</v>
      </c>
      <c r="G2" s="219">
        <v>0</v>
      </c>
      <c r="H2" s="219">
        <v>0</v>
      </c>
      <c r="I2" s="219">
        <v>0</v>
      </c>
      <c r="J2" s="219">
        <v>0</v>
      </c>
      <c r="K2" s="219">
        <v>0</v>
      </c>
      <c r="L2" s="219">
        <v>0</v>
      </c>
      <c r="M2" s="219">
        <v>0</v>
      </c>
      <c r="N2" s="219">
        <v>0</v>
      </c>
      <c r="O2" s="219">
        <v>0</v>
      </c>
      <c r="P2" s="219">
        <v>0</v>
      </c>
      <c r="Q2" s="219">
        <v>0</v>
      </c>
      <c r="R2" s="219">
        <v>0</v>
      </c>
      <c r="S2" s="219">
        <v>0</v>
      </c>
      <c r="T2" s="219">
        <v>0</v>
      </c>
      <c r="U2" s="219">
        <v>0</v>
      </c>
      <c r="V2" s="219">
        <v>0</v>
      </c>
      <c r="W2" s="219">
        <v>0</v>
      </c>
      <c r="X2" s="219">
        <v>0</v>
      </c>
    </row>
    <row r="3" spans="1:34" x14ac:dyDescent="0.35">
      <c r="B3" s="1" t="s">
        <v>56</v>
      </c>
      <c r="D3" s="96"/>
      <c r="E3" s="96"/>
      <c r="F3" s="96"/>
      <c r="G3" s="96"/>
      <c r="H3" s="96"/>
      <c r="I3" s="96"/>
      <c r="J3" s="96"/>
      <c r="K3" s="96"/>
      <c r="L3" s="96"/>
      <c r="M3" s="96"/>
      <c r="N3" s="96"/>
      <c r="O3" s="96"/>
      <c r="P3" s="96"/>
      <c r="Q3" s="96"/>
      <c r="R3" s="96"/>
      <c r="S3" s="96"/>
      <c r="T3" s="96"/>
      <c r="U3" s="96"/>
      <c r="V3" s="96"/>
      <c r="W3" s="96"/>
      <c r="X3" s="189"/>
    </row>
    <row r="4" spans="1:34" x14ac:dyDescent="0.35">
      <c r="C4" t="s">
        <v>1</v>
      </c>
    </row>
    <row r="5" spans="1:34" ht="18.5" x14ac:dyDescent="0.35">
      <c r="C5" s="2">
        <v>2022</v>
      </c>
      <c r="D5" s="2">
        <v>2023</v>
      </c>
      <c r="E5" s="2">
        <v>2024</v>
      </c>
      <c r="F5" s="2">
        <v>2025</v>
      </c>
      <c r="G5" s="2">
        <v>2026</v>
      </c>
      <c r="H5" s="2">
        <v>2027</v>
      </c>
      <c r="I5" s="2">
        <v>2028</v>
      </c>
      <c r="J5" s="2">
        <v>2029</v>
      </c>
      <c r="K5" s="2">
        <v>2030</v>
      </c>
      <c r="L5" s="2">
        <v>2031</v>
      </c>
      <c r="M5" s="2">
        <v>2032</v>
      </c>
      <c r="N5" s="2">
        <v>2033</v>
      </c>
      <c r="O5" s="2">
        <v>2034</v>
      </c>
      <c r="P5" s="2">
        <v>2035</v>
      </c>
      <c r="Q5" s="2">
        <v>2036</v>
      </c>
      <c r="R5" s="2">
        <v>2037</v>
      </c>
      <c r="S5" s="2">
        <v>2038</v>
      </c>
      <c r="T5" s="2">
        <v>2039</v>
      </c>
      <c r="U5" s="2">
        <v>2040</v>
      </c>
      <c r="V5" s="2">
        <v>2041</v>
      </c>
      <c r="W5" s="2">
        <v>2042</v>
      </c>
      <c r="X5" s="169">
        <v>2043</v>
      </c>
    </row>
    <row r="6" spans="1:34" x14ac:dyDescent="0.35">
      <c r="B6" t="s">
        <v>57</v>
      </c>
      <c r="C6" s="3"/>
      <c r="D6" s="96">
        <f>D1*(1+D2)</f>
        <v>0</v>
      </c>
      <c r="E6" s="96">
        <f>E1*(1+E2)</f>
        <v>37.613780663780666</v>
      </c>
      <c r="F6" s="96">
        <f>F1*(1+F2)</f>
        <v>44.955644841269844</v>
      </c>
      <c r="G6" s="96">
        <f>G1*(1+G2)</f>
        <v>48.608571428571423</v>
      </c>
      <c r="H6" s="96">
        <f t="shared" ref="H6:X6" si="0">H1*(1+H2)</f>
        <v>49.615019841269842</v>
      </c>
      <c r="I6" s="96">
        <f t="shared" si="0"/>
        <v>50.852212301587315</v>
      </c>
      <c r="J6" s="96">
        <f t="shared" si="0"/>
        <v>51.05367063492065</v>
      </c>
      <c r="K6" s="96">
        <f t="shared" si="0"/>
        <v>53.916884920634928</v>
      </c>
      <c r="L6" s="96">
        <f t="shared" si="0"/>
        <v>52.77331349206348</v>
      </c>
      <c r="M6" s="96">
        <f t="shared" si="0"/>
        <v>49.639583333333334</v>
      </c>
      <c r="N6" s="96">
        <f t="shared" si="0"/>
        <v>48.957053571428574</v>
      </c>
      <c r="O6" s="96">
        <f t="shared" si="0"/>
        <v>50.107996031746026</v>
      </c>
      <c r="P6" s="96">
        <f t="shared" si="0"/>
        <v>52.531825396825397</v>
      </c>
      <c r="Q6" s="96">
        <f t="shared" si="0"/>
        <v>54.128938492063497</v>
      </c>
      <c r="R6" s="96">
        <f t="shared" si="0"/>
        <v>55.387113095238092</v>
      </c>
      <c r="S6" s="96">
        <f t="shared" si="0"/>
        <v>56.706170634920632</v>
      </c>
      <c r="T6" s="96">
        <f t="shared" si="0"/>
        <v>57.801765873015881</v>
      </c>
      <c r="U6" s="96">
        <f t="shared" si="0"/>
        <v>58.812281746031744</v>
      </c>
      <c r="V6" s="96">
        <f t="shared" si="0"/>
        <v>60.124315476190475</v>
      </c>
      <c r="W6" s="96">
        <f t="shared" si="0"/>
        <v>61.200416666666669</v>
      </c>
      <c r="X6" s="96">
        <f t="shared" si="0"/>
        <v>62.253025793650792</v>
      </c>
      <c r="Y6" s="95"/>
      <c r="Z6" s="95"/>
      <c r="AA6" s="95"/>
      <c r="AB6" s="95"/>
      <c r="AC6" s="95"/>
      <c r="AD6" s="95"/>
      <c r="AE6" s="95"/>
      <c r="AF6" s="95"/>
      <c r="AG6" s="95"/>
      <c r="AH6" s="95"/>
    </row>
    <row r="9" spans="1:34" x14ac:dyDescent="0.35">
      <c r="B9" t="s">
        <v>58</v>
      </c>
      <c r="F9" s="247">
        <f t="shared" ref="F9:W9" si="1">$Y$14-F6</f>
        <v>7.3393551587301573</v>
      </c>
      <c r="G9" s="4">
        <f t="shared" si="1"/>
        <v>3.6864285714285785</v>
      </c>
      <c r="H9" s="4">
        <f t="shared" si="1"/>
        <v>2.6799801587301602</v>
      </c>
      <c r="I9" s="4">
        <f t="shared" si="1"/>
        <v>1.4427876984126868</v>
      </c>
      <c r="J9" s="4">
        <f t="shared" si="1"/>
        <v>1.241329365079352</v>
      </c>
      <c r="K9" s="4">
        <f t="shared" si="1"/>
        <v>-1.6218849206349262</v>
      </c>
      <c r="L9" s="4">
        <f t="shared" si="1"/>
        <v>-0.47831349206347795</v>
      </c>
      <c r="M9" s="4">
        <f t="shared" si="1"/>
        <v>2.6554166666666674</v>
      </c>
      <c r="N9" s="4">
        <f t="shared" si="1"/>
        <v>3.3379464285714278</v>
      </c>
      <c r="O9" s="4">
        <f t="shared" si="1"/>
        <v>2.1870039682539755</v>
      </c>
      <c r="P9" s="4">
        <f t="shared" si="1"/>
        <v>-0.23682539682539527</v>
      </c>
      <c r="Q9" s="4">
        <f t="shared" si="1"/>
        <v>-1.8339384920634956</v>
      </c>
      <c r="R9" s="4">
        <f t="shared" si="1"/>
        <v>-3.0921130952380906</v>
      </c>
      <c r="S9" s="4">
        <f t="shared" si="1"/>
        <v>-4.4111706349206301</v>
      </c>
      <c r="T9" s="4">
        <f t="shared" si="1"/>
        <v>-5.5067658730158797</v>
      </c>
      <c r="U9" s="4">
        <f t="shared" si="1"/>
        <v>-6.5172817460317418</v>
      </c>
      <c r="V9" s="4">
        <f t="shared" si="1"/>
        <v>-7.8293154761904731</v>
      </c>
      <c r="W9" s="4">
        <f t="shared" si="1"/>
        <v>-8.9054166666666674</v>
      </c>
      <c r="X9" s="4">
        <f t="shared" ref="X9:X27" si="2">($Y$14*(1+(($Y$17)*$A9))-X$6)</f>
        <v>-9.9580257936507905</v>
      </c>
    </row>
    <row r="10" spans="1:34" ht="15" thickBot="1" x14ac:dyDescent="0.4">
      <c r="A10">
        <v>1</v>
      </c>
      <c r="B10" t="s">
        <v>59</v>
      </c>
      <c r="G10" s="4">
        <f t="shared" ref="G10:W10" si="3">($Z$14*(1+(($Y$17)*$A10))-G$6)</f>
        <v>21.351428571428571</v>
      </c>
      <c r="H10" s="4">
        <f t="shared" si="3"/>
        <v>20.344980158730152</v>
      </c>
      <c r="I10" s="4">
        <f t="shared" si="3"/>
        <v>19.107787698412679</v>
      </c>
      <c r="J10" s="4">
        <f t="shared" si="3"/>
        <v>18.906329365079344</v>
      </c>
      <c r="K10" s="4">
        <f t="shared" si="3"/>
        <v>16.043115079365066</v>
      </c>
      <c r="L10" s="4">
        <f t="shared" si="3"/>
        <v>17.186686507936514</v>
      </c>
      <c r="M10" s="4">
        <f t="shared" si="3"/>
        <v>20.320416666666659</v>
      </c>
      <c r="N10" s="4">
        <f t="shared" si="3"/>
        <v>21.00294642857142</v>
      </c>
      <c r="O10" s="4">
        <f t="shared" si="3"/>
        <v>19.852003968253968</v>
      </c>
      <c r="P10" s="4">
        <f t="shared" si="3"/>
        <v>17.428174603174597</v>
      </c>
      <c r="Q10" s="4">
        <f t="shared" si="3"/>
        <v>15.831061507936496</v>
      </c>
      <c r="R10" s="4">
        <f t="shared" si="3"/>
        <v>14.572886904761901</v>
      </c>
      <c r="S10" s="4">
        <f t="shared" si="3"/>
        <v>13.253829365079362</v>
      </c>
      <c r="T10" s="4">
        <f t="shared" si="3"/>
        <v>12.158234126984112</v>
      </c>
      <c r="U10" s="4">
        <f t="shared" si="3"/>
        <v>11.14771825396825</v>
      </c>
      <c r="V10" s="4">
        <f t="shared" si="3"/>
        <v>9.835684523809519</v>
      </c>
      <c r="W10" s="4">
        <f t="shared" si="3"/>
        <v>8.7595833333333246</v>
      </c>
      <c r="X10" s="4">
        <f t="shared" si="2"/>
        <v>-9.9580257936507905</v>
      </c>
    </row>
    <row r="11" spans="1:34" x14ac:dyDescent="0.35">
      <c r="A11">
        <v>2</v>
      </c>
      <c r="B11" t="s">
        <v>60</v>
      </c>
      <c r="H11" s="4">
        <f t="shared" ref="H11:W11" si="4">($Y$14*(1+(($Y$17)*$A11))-H$6)</f>
        <v>2.6799801587301602</v>
      </c>
      <c r="I11" s="4">
        <f t="shared" si="4"/>
        <v>1.4427876984126868</v>
      </c>
      <c r="J11" s="4">
        <f t="shared" si="4"/>
        <v>1.241329365079352</v>
      </c>
      <c r="K11" s="4">
        <f t="shared" si="4"/>
        <v>-1.6218849206349262</v>
      </c>
      <c r="L11" s="4">
        <f t="shared" si="4"/>
        <v>-0.47831349206347795</v>
      </c>
      <c r="M11" s="4">
        <f t="shared" si="4"/>
        <v>2.6554166666666674</v>
      </c>
      <c r="N11" s="4">
        <f t="shared" si="4"/>
        <v>3.3379464285714278</v>
      </c>
      <c r="O11" s="4">
        <f t="shared" si="4"/>
        <v>2.1870039682539755</v>
      </c>
      <c r="P11" s="4">
        <f t="shared" si="4"/>
        <v>-0.23682539682539527</v>
      </c>
      <c r="Q11" s="4">
        <f t="shared" si="4"/>
        <v>-1.8339384920634956</v>
      </c>
      <c r="R11" s="4">
        <f t="shared" si="4"/>
        <v>-3.0921130952380906</v>
      </c>
      <c r="S11" s="4">
        <f t="shared" si="4"/>
        <v>-4.4111706349206301</v>
      </c>
      <c r="T11" s="4">
        <f t="shared" si="4"/>
        <v>-5.5067658730158797</v>
      </c>
      <c r="U11" s="4">
        <f t="shared" si="4"/>
        <v>-6.5172817460317418</v>
      </c>
      <c r="V11" s="4">
        <f t="shared" si="4"/>
        <v>-7.8293154761904731</v>
      </c>
      <c r="W11" s="4">
        <f t="shared" si="4"/>
        <v>-8.9054166666666674</v>
      </c>
      <c r="X11" s="4">
        <f t="shared" si="2"/>
        <v>-9.9580257936507905</v>
      </c>
      <c r="Y11" s="5" t="s">
        <v>61</v>
      </c>
    </row>
    <row r="12" spans="1:34" x14ac:dyDescent="0.35">
      <c r="A12">
        <v>3</v>
      </c>
      <c r="B12" t="s">
        <v>62</v>
      </c>
      <c r="I12" s="4">
        <f t="shared" ref="I12:W12" si="5">($Y$14*(1+(($Y$17)*$A12))-I$6)</f>
        <v>1.4427876984126868</v>
      </c>
      <c r="J12" s="4">
        <f t="shared" si="5"/>
        <v>1.241329365079352</v>
      </c>
      <c r="K12" s="4">
        <f t="shared" si="5"/>
        <v>-1.6218849206349262</v>
      </c>
      <c r="L12" s="4">
        <f t="shared" si="5"/>
        <v>-0.47831349206347795</v>
      </c>
      <c r="M12" s="4">
        <f t="shared" si="5"/>
        <v>2.6554166666666674</v>
      </c>
      <c r="N12" s="4">
        <f t="shared" si="5"/>
        <v>3.3379464285714278</v>
      </c>
      <c r="O12" s="4">
        <f t="shared" si="5"/>
        <v>2.1870039682539755</v>
      </c>
      <c r="P12" s="4">
        <f t="shared" si="5"/>
        <v>-0.23682539682539527</v>
      </c>
      <c r="Q12" s="4">
        <f t="shared" si="5"/>
        <v>-1.8339384920634956</v>
      </c>
      <c r="R12" s="4">
        <f t="shared" si="5"/>
        <v>-3.0921130952380906</v>
      </c>
      <c r="S12" s="4">
        <f t="shared" si="5"/>
        <v>-4.4111706349206301</v>
      </c>
      <c r="T12" s="4">
        <f t="shared" si="5"/>
        <v>-5.5067658730158797</v>
      </c>
      <c r="U12" s="4">
        <f t="shared" si="5"/>
        <v>-6.5172817460317418</v>
      </c>
      <c r="V12" s="4">
        <f t="shared" si="5"/>
        <v>-7.8293154761904731</v>
      </c>
      <c r="W12" s="4">
        <f t="shared" si="5"/>
        <v>-8.9054166666666674</v>
      </c>
      <c r="X12" s="4">
        <f t="shared" si="2"/>
        <v>-9.9580257936507905</v>
      </c>
      <c r="Y12" s="6"/>
    </row>
    <row r="13" spans="1:34" x14ac:dyDescent="0.35">
      <c r="A13">
        <v>4</v>
      </c>
      <c r="B13" t="s">
        <v>63</v>
      </c>
      <c r="J13" s="4">
        <f t="shared" ref="J13:W13" si="6">($Y$14*(1+(($Y$17)*$A13))-J$6)</f>
        <v>1.241329365079352</v>
      </c>
      <c r="K13" s="4">
        <f t="shared" si="6"/>
        <v>-1.6218849206349262</v>
      </c>
      <c r="L13" s="4">
        <f t="shared" si="6"/>
        <v>-0.47831349206347795</v>
      </c>
      <c r="M13" s="4">
        <f t="shared" si="6"/>
        <v>2.6554166666666674</v>
      </c>
      <c r="N13" s="4">
        <f t="shared" si="6"/>
        <v>3.3379464285714278</v>
      </c>
      <c r="O13" s="4">
        <f t="shared" si="6"/>
        <v>2.1870039682539755</v>
      </c>
      <c r="P13" s="4">
        <f t="shared" si="6"/>
        <v>-0.23682539682539527</v>
      </c>
      <c r="Q13" s="4">
        <f t="shared" si="6"/>
        <v>-1.8339384920634956</v>
      </c>
      <c r="R13" s="4">
        <f t="shared" si="6"/>
        <v>-3.0921130952380906</v>
      </c>
      <c r="S13" s="4">
        <f t="shared" si="6"/>
        <v>-4.4111706349206301</v>
      </c>
      <c r="T13" s="4">
        <f t="shared" si="6"/>
        <v>-5.5067658730158797</v>
      </c>
      <c r="U13" s="4">
        <f t="shared" si="6"/>
        <v>-6.5172817460317418</v>
      </c>
      <c r="V13" s="4">
        <f t="shared" si="6"/>
        <v>-7.8293154761904731</v>
      </c>
      <c r="W13" s="4">
        <f t="shared" si="6"/>
        <v>-8.9054166666666674</v>
      </c>
      <c r="X13" s="4">
        <f t="shared" si="2"/>
        <v>-9.9580257936507905</v>
      </c>
      <c r="Y13" s="6" t="s">
        <v>64</v>
      </c>
      <c r="Z13" s="6" t="s">
        <v>65</v>
      </c>
    </row>
    <row r="14" spans="1:34" x14ac:dyDescent="0.35">
      <c r="A14">
        <v>5</v>
      </c>
      <c r="B14" t="s">
        <v>66</v>
      </c>
      <c r="K14" s="4">
        <f t="shared" ref="K14:W14" si="7">($Y$14*(1+(($Y$17)*$A14))-K$6)</f>
        <v>-1.6218849206349262</v>
      </c>
      <c r="L14" s="4">
        <f t="shared" si="7"/>
        <v>-0.47831349206347795</v>
      </c>
      <c r="M14" s="4">
        <f t="shared" si="7"/>
        <v>2.6554166666666674</v>
      </c>
      <c r="N14" s="4">
        <f t="shared" si="7"/>
        <v>3.3379464285714278</v>
      </c>
      <c r="O14" s="4">
        <f t="shared" si="7"/>
        <v>2.1870039682539755</v>
      </c>
      <c r="P14" s="4">
        <f t="shared" si="7"/>
        <v>-0.23682539682539527</v>
      </c>
      <c r="Q14" s="4">
        <f t="shared" si="7"/>
        <v>-1.8339384920634956</v>
      </c>
      <c r="R14" s="4">
        <f t="shared" si="7"/>
        <v>-3.0921130952380906</v>
      </c>
      <c r="S14" s="4">
        <f t="shared" si="7"/>
        <v>-4.4111706349206301</v>
      </c>
      <c r="T14" s="4">
        <f t="shared" si="7"/>
        <v>-5.5067658730158797</v>
      </c>
      <c r="U14" s="4">
        <f t="shared" si="7"/>
        <v>-6.5172817460317418</v>
      </c>
      <c r="V14" s="4">
        <f t="shared" si="7"/>
        <v>-7.8293154761904731</v>
      </c>
      <c r="W14" s="4">
        <f t="shared" si="7"/>
        <v>-8.9054166666666674</v>
      </c>
      <c r="X14" s="4">
        <f t="shared" si="2"/>
        <v>-9.9580257936507905</v>
      </c>
      <c r="Y14" s="7">
        <v>52.295000000000002</v>
      </c>
      <c r="Z14" s="7">
        <v>69.959999999999994</v>
      </c>
    </row>
    <row r="15" spans="1:34" x14ac:dyDescent="0.35">
      <c r="A15">
        <v>6</v>
      </c>
      <c r="B15" t="s">
        <v>67</v>
      </c>
      <c r="L15" s="4">
        <f t="shared" ref="L15:W15" si="8">($Y$14*(1+(($Y$17)*$A15))-L$6)</f>
        <v>-0.47831349206347795</v>
      </c>
      <c r="M15" s="4">
        <f t="shared" si="8"/>
        <v>2.6554166666666674</v>
      </c>
      <c r="N15" s="4">
        <f t="shared" si="8"/>
        <v>3.3379464285714278</v>
      </c>
      <c r="O15" s="4">
        <f t="shared" si="8"/>
        <v>2.1870039682539755</v>
      </c>
      <c r="P15" s="4">
        <f t="shared" si="8"/>
        <v>-0.23682539682539527</v>
      </c>
      <c r="Q15" s="4">
        <f t="shared" si="8"/>
        <v>-1.8339384920634956</v>
      </c>
      <c r="R15" s="4">
        <f t="shared" si="8"/>
        <v>-3.0921130952380906</v>
      </c>
      <c r="S15" s="4">
        <f t="shared" si="8"/>
        <v>-4.4111706349206301</v>
      </c>
      <c r="T15" s="4">
        <f t="shared" si="8"/>
        <v>-5.5067658730158797</v>
      </c>
      <c r="U15" s="4">
        <f t="shared" si="8"/>
        <v>-6.5172817460317418</v>
      </c>
      <c r="V15" s="4">
        <f t="shared" si="8"/>
        <v>-7.8293154761904731</v>
      </c>
      <c r="W15" s="4">
        <f t="shared" si="8"/>
        <v>-8.9054166666666674</v>
      </c>
      <c r="X15" s="4">
        <f t="shared" si="2"/>
        <v>-9.9580257936507905</v>
      </c>
      <c r="Y15" s="6"/>
    </row>
    <row r="16" spans="1:34" x14ac:dyDescent="0.35">
      <c r="A16">
        <v>7</v>
      </c>
      <c r="B16" t="s">
        <v>68</v>
      </c>
      <c r="M16" s="4">
        <f t="shared" ref="M16:W16" si="9">($Y$14*(1+(($Y$17)*$A16))-M$6)</f>
        <v>2.6554166666666674</v>
      </c>
      <c r="N16" s="4">
        <f t="shared" si="9"/>
        <v>3.3379464285714278</v>
      </c>
      <c r="O16" s="4">
        <f t="shared" si="9"/>
        <v>2.1870039682539755</v>
      </c>
      <c r="P16" s="4">
        <f t="shared" si="9"/>
        <v>-0.23682539682539527</v>
      </c>
      <c r="Q16" s="4">
        <f t="shared" si="9"/>
        <v>-1.8339384920634956</v>
      </c>
      <c r="R16" s="4">
        <f t="shared" si="9"/>
        <v>-3.0921130952380906</v>
      </c>
      <c r="S16" s="4">
        <f t="shared" si="9"/>
        <v>-4.4111706349206301</v>
      </c>
      <c r="T16" s="4">
        <f t="shared" si="9"/>
        <v>-5.5067658730158797</v>
      </c>
      <c r="U16" s="4">
        <f t="shared" si="9"/>
        <v>-6.5172817460317418</v>
      </c>
      <c r="V16" s="4">
        <f t="shared" si="9"/>
        <v>-7.8293154761904731</v>
      </c>
      <c r="W16" s="4">
        <f t="shared" si="9"/>
        <v>-8.9054166666666674</v>
      </c>
      <c r="X16" s="4">
        <f t="shared" si="2"/>
        <v>-9.9580257936507905</v>
      </c>
      <c r="Y16" s="6" t="s">
        <v>69</v>
      </c>
    </row>
    <row r="17" spans="1:25" ht="15" thickBot="1" x14ac:dyDescent="0.4">
      <c r="A17">
        <v>8</v>
      </c>
      <c r="B17" t="s">
        <v>70</v>
      </c>
      <c r="M17" s="4"/>
      <c r="N17" s="4">
        <f t="shared" ref="N17:W17" si="10">($Y$14*(1+(($Y$17)*$A17))-N$6)</f>
        <v>3.3379464285714278</v>
      </c>
      <c r="O17" s="4">
        <f t="shared" si="10"/>
        <v>2.1870039682539755</v>
      </c>
      <c r="P17" s="4">
        <f t="shared" si="10"/>
        <v>-0.23682539682539527</v>
      </c>
      <c r="Q17" s="4">
        <f t="shared" si="10"/>
        <v>-1.8339384920634956</v>
      </c>
      <c r="R17" s="4">
        <f t="shared" si="10"/>
        <v>-3.0921130952380906</v>
      </c>
      <c r="S17" s="4">
        <f t="shared" si="10"/>
        <v>-4.4111706349206301</v>
      </c>
      <c r="T17" s="4">
        <f t="shared" si="10"/>
        <v>-5.5067658730158797</v>
      </c>
      <c r="U17" s="4">
        <f t="shared" si="10"/>
        <v>-6.5172817460317418</v>
      </c>
      <c r="V17" s="4">
        <f t="shared" si="10"/>
        <v>-7.8293154761904731</v>
      </c>
      <c r="W17" s="4">
        <f t="shared" si="10"/>
        <v>-8.9054166666666674</v>
      </c>
      <c r="X17" s="4">
        <f t="shared" si="2"/>
        <v>-9.9580257936507905</v>
      </c>
      <c r="Y17" s="8">
        <v>0</v>
      </c>
    </row>
    <row r="18" spans="1:25" x14ac:dyDescent="0.35">
      <c r="A18">
        <v>9</v>
      </c>
      <c r="B18" t="s">
        <v>71</v>
      </c>
      <c r="O18" s="4">
        <f t="shared" ref="O18:W18" si="11">($Y$14*(1+(($Y$17)*$A18))-O$6)</f>
        <v>2.1870039682539755</v>
      </c>
      <c r="P18" s="4">
        <f t="shared" si="11"/>
        <v>-0.23682539682539527</v>
      </c>
      <c r="Q18" s="4">
        <f t="shared" si="11"/>
        <v>-1.8339384920634956</v>
      </c>
      <c r="R18" s="4">
        <f t="shared" si="11"/>
        <v>-3.0921130952380906</v>
      </c>
      <c r="S18" s="4">
        <f t="shared" si="11"/>
        <v>-4.4111706349206301</v>
      </c>
      <c r="T18" s="4">
        <f t="shared" si="11"/>
        <v>-5.5067658730158797</v>
      </c>
      <c r="U18" s="4">
        <f t="shared" si="11"/>
        <v>-6.5172817460317418</v>
      </c>
      <c r="V18" s="4">
        <f t="shared" si="11"/>
        <v>-7.8293154761904731</v>
      </c>
      <c r="W18" s="4">
        <f t="shared" si="11"/>
        <v>-8.9054166666666674</v>
      </c>
      <c r="X18" s="4">
        <f t="shared" si="2"/>
        <v>-9.9580257936507905</v>
      </c>
    </row>
    <row r="19" spans="1:25" x14ac:dyDescent="0.35">
      <c r="A19">
        <v>10</v>
      </c>
      <c r="B19" t="s">
        <v>72</v>
      </c>
      <c r="P19" s="4">
        <f t="shared" ref="P19:W19" si="12">($Y$14*(1+(($Y$17)*$A19))-P$6)</f>
        <v>-0.23682539682539527</v>
      </c>
      <c r="Q19" s="4">
        <f t="shared" si="12"/>
        <v>-1.8339384920634956</v>
      </c>
      <c r="R19" s="4">
        <f t="shared" si="12"/>
        <v>-3.0921130952380906</v>
      </c>
      <c r="S19" s="4">
        <f t="shared" si="12"/>
        <v>-4.4111706349206301</v>
      </c>
      <c r="T19" s="4">
        <f t="shared" si="12"/>
        <v>-5.5067658730158797</v>
      </c>
      <c r="U19" s="4">
        <f t="shared" si="12"/>
        <v>-6.5172817460317418</v>
      </c>
      <c r="V19" s="4">
        <f t="shared" si="12"/>
        <v>-7.8293154761904731</v>
      </c>
      <c r="W19" s="4">
        <f t="shared" si="12"/>
        <v>-8.9054166666666674</v>
      </c>
      <c r="X19" s="4">
        <f t="shared" si="2"/>
        <v>-9.9580257936507905</v>
      </c>
    </row>
    <row r="20" spans="1:25" x14ac:dyDescent="0.35">
      <c r="A20">
        <v>11</v>
      </c>
      <c r="B20" t="s">
        <v>73</v>
      </c>
      <c r="Q20" s="4">
        <f t="shared" ref="Q20:W20" si="13">($Y$14*(1+(($Y$17)*$A20))-Q$6)</f>
        <v>-1.8339384920634956</v>
      </c>
      <c r="R20" s="4">
        <f t="shared" si="13"/>
        <v>-3.0921130952380906</v>
      </c>
      <c r="S20" s="4">
        <f t="shared" si="13"/>
        <v>-4.4111706349206301</v>
      </c>
      <c r="T20" s="4">
        <f t="shared" si="13"/>
        <v>-5.5067658730158797</v>
      </c>
      <c r="U20" s="4">
        <f t="shared" si="13"/>
        <v>-6.5172817460317418</v>
      </c>
      <c r="V20" s="4">
        <f t="shared" si="13"/>
        <v>-7.8293154761904731</v>
      </c>
      <c r="W20" s="4">
        <f t="shared" si="13"/>
        <v>-8.9054166666666674</v>
      </c>
      <c r="X20" s="4">
        <f t="shared" si="2"/>
        <v>-9.9580257936507905</v>
      </c>
    </row>
    <row r="21" spans="1:25" x14ac:dyDescent="0.35">
      <c r="A21">
        <v>12</v>
      </c>
      <c r="B21" t="s">
        <v>74</v>
      </c>
      <c r="R21" s="4">
        <f t="shared" ref="R21:W21" si="14">($Y$14*(1+(($Y$17)*$A21))-R$6)</f>
        <v>-3.0921130952380906</v>
      </c>
      <c r="S21" s="4">
        <f t="shared" si="14"/>
        <v>-4.4111706349206301</v>
      </c>
      <c r="T21" s="4">
        <f t="shared" si="14"/>
        <v>-5.5067658730158797</v>
      </c>
      <c r="U21" s="4">
        <f t="shared" si="14"/>
        <v>-6.5172817460317418</v>
      </c>
      <c r="V21" s="4">
        <f t="shared" si="14"/>
        <v>-7.8293154761904731</v>
      </c>
      <c r="W21" s="4">
        <f t="shared" si="14"/>
        <v>-8.9054166666666674</v>
      </c>
      <c r="X21" s="4">
        <f t="shared" si="2"/>
        <v>-9.9580257936507905</v>
      </c>
    </row>
    <row r="22" spans="1:25" x14ac:dyDescent="0.35">
      <c r="A22">
        <v>13</v>
      </c>
      <c r="B22" t="s">
        <v>75</v>
      </c>
      <c r="S22" s="4">
        <f>($Y$14*(1+(($Y$17)*$A22))-S$6)</f>
        <v>-4.4111706349206301</v>
      </c>
      <c r="T22" s="4">
        <f>($Y$14*(1+(($Y$17)*$A22))-T$6)</f>
        <v>-5.5067658730158797</v>
      </c>
      <c r="U22" s="4">
        <f>($Y$14*(1+(($Y$17)*$A22))-U$6)</f>
        <v>-6.5172817460317418</v>
      </c>
      <c r="V22" s="4">
        <f>($Y$14*(1+(($Y$17)*$A22))-V$6)</f>
        <v>-7.8293154761904731</v>
      </c>
      <c r="W22" s="4">
        <f>($Y$14*(1+(($Y$17)*$A22))-W$6)</f>
        <v>-8.9054166666666674</v>
      </c>
      <c r="X22" s="4">
        <f t="shared" si="2"/>
        <v>-9.9580257936507905</v>
      </c>
    </row>
    <row r="23" spans="1:25" x14ac:dyDescent="0.35">
      <c r="A23">
        <v>14</v>
      </c>
      <c r="B23" t="s">
        <v>76</v>
      </c>
      <c r="T23" s="4">
        <f>($Y$14*(1+(($Y$17)*$A23))-T$6)</f>
        <v>-5.5067658730158797</v>
      </c>
      <c r="U23" s="4">
        <f>($Y$14*(1+(($Y$17)*$A23))-U$6)</f>
        <v>-6.5172817460317418</v>
      </c>
      <c r="V23" s="4">
        <f>($Y$14*(1+(($Y$17)*$A23))-V$6)</f>
        <v>-7.8293154761904731</v>
      </c>
      <c r="W23" s="4">
        <f>($Y$14*(1+(($Y$17)*$A23))-W$6)</f>
        <v>-8.9054166666666674</v>
      </c>
      <c r="X23" s="4">
        <f t="shared" si="2"/>
        <v>-9.9580257936507905</v>
      </c>
    </row>
    <row r="24" spans="1:25" x14ac:dyDescent="0.35">
      <c r="A24">
        <v>15</v>
      </c>
      <c r="B24" t="s">
        <v>77</v>
      </c>
      <c r="U24" s="4">
        <f>($Y$14*(1+(($Y$17)*$A24))-U$6)</f>
        <v>-6.5172817460317418</v>
      </c>
      <c r="V24" s="4">
        <f>($Y$14*(1+(($Y$17)*$A24))-V$6)</f>
        <v>-7.8293154761904731</v>
      </c>
      <c r="W24" s="4">
        <f>($Y$14*(1+(($Y$17)*$A24))-W$6)</f>
        <v>-8.9054166666666674</v>
      </c>
      <c r="X24" s="4">
        <f t="shared" si="2"/>
        <v>-9.9580257936507905</v>
      </c>
    </row>
    <row r="25" spans="1:25" x14ac:dyDescent="0.35">
      <c r="A25">
        <v>16</v>
      </c>
      <c r="B25" t="s">
        <v>78</v>
      </c>
      <c r="V25" s="4">
        <f>($Y$14*(1+(($Y$17)*$A25))-V$6)</f>
        <v>-7.8293154761904731</v>
      </c>
      <c r="W25" s="4">
        <f>($Y$14*(1+(($Y$17)*$A25))-W$6)</f>
        <v>-8.9054166666666674</v>
      </c>
      <c r="X25" s="4">
        <f t="shared" si="2"/>
        <v>-9.9580257936507905</v>
      </c>
    </row>
    <row r="26" spans="1:25" x14ac:dyDescent="0.35">
      <c r="A26">
        <v>17</v>
      </c>
      <c r="B26" t="s">
        <v>79</v>
      </c>
      <c r="W26" s="4">
        <f>($Y$14*(1+(($Y$17)*$A26))-W$6)</f>
        <v>-8.9054166666666674</v>
      </c>
      <c r="X26" s="4">
        <f t="shared" si="2"/>
        <v>-9.9580257936507905</v>
      </c>
    </row>
    <row r="27" spans="1:25" x14ac:dyDescent="0.35">
      <c r="A27">
        <v>18</v>
      </c>
      <c r="B27" t="s">
        <v>80</v>
      </c>
      <c r="X27" s="4">
        <f t="shared" si="2"/>
        <v>-9.9580257936507905</v>
      </c>
    </row>
    <row r="28" spans="1:25" x14ac:dyDescent="0.35">
      <c r="X28" s="4"/>
    </row>
    <row r="30" spans="1:25" x14ac:dyDescent="0.35">
      <c r="B30" s="1" t="s">
        <v>81</v>
      </c>
    </row>
    <row r="31" spans="1:25" x14ac:dyDescent="0.35">
      <c r="C31" t="s">
        <v>1</v>
      </c>
    </row>
    <row r="32" spans="1:25" ht="18.5" x14ac:dyDescent="0.35">
      <c r="C32" s="2">
        <v>2022</v>
      </c>
      <c r="D32" s="2">
        <v>2023</v>
      </c>
      <c r="E32" s="2">
        <v>2024</v>
      </c>
      <c r="F32" s="2">
        <v>2025</v>
      </c>
      <c r="G32" s="2">
        <v>2026</v>
      </c>
      <c r="H32" s="2">
        <v>2027</v>
      </c>
      <c r="I32" s="2">
        <v>2028</v>
      </c>
      <c r="J32" s="2">
        <v>2029</v>
      </c>
      <c r="K32" s="2">
        <v>2030</v>
      </c>
      <c r="L32" s="2">
        <v>2031</v>
      </c>
      <c r="M32" s="2">
        <v>2032</v>
      </c>
      <c r="N32" s="2">
        <v>2033</v>
      </c>
      <c r="O32" s="2">
        <v>2034</v>
      </c>
      <c r="P32" s="2">
        <v>2035</v>
      </c>
      <c r="Q32" s="2">
        <v>2036</v>
      </c>
      <c r="R32" s="2">
        <v>2037</v>
      </c>
      <c r="S32" s="2">
        <v>2038</v>
      </c>
      <c r="T32" s="2">
        <v>2039</v>
      </c>
      <c r="U32" s="2">
        <v>2040</v>
      </c>
      <c r="V32" s="2">
        <v>2041</v>
      </c>
      <c r="W32" s="2">
        <v>2042</v>
      </c>
      <c r="X32" s="169">
        <v>2043</v>
      </c>
    </row>
    <row r="33" spans="1:26" x14ac:dyDescent="0.35">
      <c r="B33" t="s">
        <v>57</v>
      </c>
      <c r="C33" s="3"/>
      <c r="D33" s="96">
        <f>D1*(1+D2)</f>
        <v>0</v>
      </c>
      <c r="E33" s="96">
        <f t="shared" ref="E33:X33" si="15">E1*(1+E2)</f>
        <v>37.613780663780666</v>
      </c>
      <c r="F33" s="96">
        <f t="shared" si="15"/>
        <v>44.955644841269844</v>
      </c>
      <c r="G33" s="96">
        <f t="shared" si="15"/>
        <v>48.608571428571423</v>
      </c>
      <c r="H33" s="96">
        <f t="shared" si="15"/>
        <v>49.615019841269842</v>
      </c>
      <c r="I33" s="96">
        <f t="shared" si="15"/>
        <v>50.852212301587315</v>
      </c>
      <c r="J33" s="96">
        <f t="shared" si="15"/>
        <v>51.05367063492065</v>
      </c>
      <c r="K33" s="96">
        <f t="shared" si="15"/>
        <v>53.916884920634928</v>
      </c>
      <c r="L33" s="96">
        <f t="shared" si="15"/>
        <v>52.77331349206348</v>
      </c>
      <c r="M33" s="96">
        <f t="shared" si="15"/>
        <v>49.639583333333334</v>
      </c>
      <c r="N33" s="96">
        <f t="shared" si="15"/>
        <v>48.957053571428574</v>
      </c>
      <c r="O33" s="96">
        <f t="shared" si="15"/>
        <v>50.107996031746026</v>
      </c>
      <c r="P33" s="96">
        <f t="shared" si="15"/>
        <v>52.531825396825397</v>
      </c>
      <c r="Q33" s="96">
        <f t="shared" si="15"/>
        <v>54.128938492063497</v>
      </c>
      <c r="R33" s="96">
        <f t="shared" si="15"/>
        <v>55.387113095238092</v>
      </c>
      <c r="S33" s="96">
        <f t="shared" si="15"/>
        <v>56.706170634920632</v>
      </c>
      <c r="T33" s="96">
        <f t="shared" si="15"/>
        <v>57.801765873015881</v>
      </c>
      <c r="U33" s="96">
        <f t="shared" si="15"/>
        <v>58.812281746031744</v>
      </c>
      <c r="V33" s="96">
        <f t="shared" si="15"/>
        <v>60.124315476190475</v>
      </c>
      <c r="W33" s="96">
        <f t="shared" si="15"/>
        <v>61.200416666666669</v>
      </c>
      <c r="X33" s="96">
        <f t="shared" si="15"/>
        <v>62.253025793650792</v>
      </c>
    </row>
    <row r="36" spans="1:26" x14ac:dyDescent="0.35">
      <c r="B36" t="s">
        <v>58</v>
      </c>
      <c r="F36" s="247">
        <f t="shared" ref="F36:W36" si="16">$Y$41-F33</f>
        <v>17.169355158730156</v>
      </c>
      <c r="G36" s="4">
        <f t="shared" si="16"/>
        <v>13.516428571428577</v>
      </c>
      <c r="H36" s="4">
        <f t="shared" si="16"/>
        <v>12.509980158730158</v>
      </c>
      <c r="I36" s="4">
        <f t="shared" si="16"/>
        <v>11.272787698412685</v>
      </c>
      <c r="J36" s="4">
        <f t="shared" si="16"/>
        <v>11.07132936507935</v>
      </c>
      <c r="K36" s="4">
        <f t="shared" si="16"/>
        <v>8.2081150793650721</v>
      </c>
      <c r="L36" s="4">
        <f t="shared" si="16"/>
        <v>9.3516865079365203</v>
      </c>
      <c r="M36" s="4">
        <f t="shared" si="16"/>
        <v>12.485416666666666</v>
      </c>
      <c r="N36" s="4">
        <f t="shared" si="16"/>
        <v>13.167946428571426</v>
      </c>
      <c r="O36" s="4">
        <f t="shared" si="16"/>
        <v>12.017003968253974</v>
      </c>
      <c r="P36" s="4">
        <f t="shared" si="16"/>
        <v>9.593174603174603</v>
      </c>
      <c r="Q36" s="4">
        <f t="shared" si="16"/>
        <v>7.9960615079365027</v>
      </c>
      <c r="R36" s="4">
        <f t="shared" si="16"/>
        <v>6.7378869047619077</v>
      </c>
      <c r="S36" s="4">
        <f t="shared" si="16"/>
        <v>5.4188293650793682</v>
      </c>
      <c r="T36" s="4">
        <f t="shared" si="16"/>
        <v>4.3232341269841186</v>
      </c>
      <c r="U36" s="4">
        <f t="shared" si="16"/>
        <v>3.3127182539682565</v>
      </c>
      <c r="V36" s="4">
        <f t="shared" si="16"/>
        <v>2.0006845238095252</v>
      </c>
      <c r="W36" s="4">
        <f t="shared" si="16"/>
        <v>0.92458333333333087</v>
      </c>
      <c r="X36" s="4">
        <f t="shared" ref="X36:X54" si="17">($Y$14*(1+(($Y$17)*$A36))-X$6)</f>
        <v>-9.9580257936507905</v>
      </c>
    </row>
    <row r="37" spans="1:26" ht="15" thickBot="1" x14ac:dyDescent="0.4">
      <c r="A37">
        <v>1</v>
      </c>
      <c r="B37" t="s">
        <v>59</v>
      </c>
      <c r="G37" s="4">
        <f t="shared" ref="G37:W37" si="18">($Z$41*(1+(($Y$44)*$A37))-G$33)</f>
        <v>23.861428571428576</v>
      </c>
      <c r="H37" s="4">
        <f t="shared" si="18"/>
        <v>22.854980158730157</v>
      </c>
      <c r="I37" s="4">
        <f t="shared" si="18"/>
        <v>21.617787698412684</v>
      </c>
      <c r="J37" s="4">
        <f t="shared" si="18"/>
        <v>21.416329365079349</v>
      </c>
      <c r="K37" s="4">
        <f t="shared" si="18"/>
        <v>18.553115079365071</v>
      </c>
      <c r="L37" s="4">
        <f t="shared" si="18"/>
        <v>19.696686507936519</v>
      </c>
      <c r="M37" s="4">
        <f t="shared" si="18"/>
        <v>22.830416666666665</v>
      </c>
      <c r="N37" s="4">
        <f t="shared" si="18"/>
        <v>23.512946428571425</v>
      </c>
      <c r="O37" s="4">
        <f t="shared" si="18"/>
        <v>22.362003968253973</v>
      </c>
      <c r="P37" s="4">
        <f t="shared" si="18"/>
        <v>19.938174603174602</v>
      </c>
      <c r="Q37" s="4">
        <f t="shared" si="18"/>
        <v>18.341061507936502</v>
      </c>
      <c r="R37" s="4">
        <f t="shared" si="18"/>
        <v>17.082886904761907</v>
      </c>
      <c r="S37" s="4">
        <f t="shared" si="18"/>
        <v>15.763829365079367</v>
      </c>
      <c r="T37" s="4">
        <f t="shared" si="18"/>
        <v>14.668234126984117</v>
      </c>
      <c r="U37" s="4">
        <f t="shared" si="18"/>
        <v>13.657718253968255</v>
      </c>
      <c r="V37" s="4">
        <f t="shared" si="18"/>
        <v>12.345684523809524</v>
      </c>
      <c r="W37" s="4">
        <f t="shared" si="18"/>
        <v>11.26958333333333</v>
      </c>
      <c r="X37" s="4">
        <f t="shared" si="17"/>
        <v>-9.9580257936507905</v>
      </c>
    </row>
    <row r="38" spans="1:26" x14ac:dyDescent="0.35">
      <c r="A38">
        <v>2</v>
      </c>
      <c r="B38" t="s">
        <v>60</v>
      </c>
      <c r="H38" s="4">
        <f t="shared" ref="H38:W38" si="19">($Y$41*(1+(($Y$44)*$A38))-H$33)</f>
        <v>12.509980158730158</v>
      </c>
      <c r="I38" s="4">
        <f t="shared" si="19"/>
        <v>11.272787698412685</v>
      </c>
      <c r="J38" s="4">
        <f t="shared" si="19"/>
        <v>11.07132936507935</v>
      </c>
      <c r="K38" s="4">
        <f t="shared" si="19"/>
        <v>8.2081150793650721</v>
      </c>
      <c r="L38" s="4">
        <f t="shared" si="19"/>
        <v>9.3516865079365203</v>
      </c>
      <c r="M38" s="4">
        <f t="shared" si="19"/>
        <v>12.485416666666666</v>
      </c>
      <c r="N38" s="4">
        <f t="shared" si="19"/>
        <v>13.167946428571426</v>
      </c>
      <c r="O38" s="4">
        <f t="shared" si="19"/>
        <v>12.017003968253974</v>
      </c>
      <c r="P38" s="4">
        <f t="shared" si="19"/>
        <v>9.593174603174603</v>
      </c>
      <c r="Q38" s="4">
        <f t="shared" si="19"/>
        <v>7.9960615079365027</v>
      </c>
      <c r="R38" s="4">
        <f t="shared" si="19"/>
        <v>6.7378869047619077</v>
      </c>
      <c r="S38" s="4">
        <f t="shared" si="19"/>
        <v>5.4188293650793682</v>
      </c>
      <c r="T38" s="4">
        <f t="shared" si="19"/>
        <v>4.3232341269841186</v>
      </c>
      <c r="U38" s="4">
        <f t="shared" si="19"/>
        <v>3.3127182539682565</v>
      </c>
      <c r="V38" s="4">
        <f t="shared" si="19"/>
        <v>2.0006845238095252</v>
      </c>
      <c r="W38" s="4">
        <f t="shared" si="19"/>
        <v>0.92458333333333087</v>
      </c>
      <c r="X38" s="4">
        <f t="shared" si="17"/>
        <v>-9.9580257936507905</v>
      </c>
      <c r="Y38" s="5" t="s">
        <v>61</v>
      </c>
    </row>
    <row r="39" spans="1:26" x14ac:dyDescent="0.35">
      <c r="A39">
        <v>3</v>
      </c>
      <c r="B39" t="s">
        <v>62</v>
      </c>
      <c r="I39" s="4">
        <f t="shared" ref="I39:W39" si="20">($Y$41*(1+(($Y$44)*$A39))-I$33)</f>
        <v>11.272787698412685</v>
      </c>
      <c r="J39" s="4">
        <f t="shared" si="20"/>
        <v>11.07132936507935</v>
      </c>
      <c r="K39" s="4">
        <f t="shared" si="20"/>
        <v>8.2081150793650721</v>
      </c>
      <c r="L39" s="4">
        <f t="shared" si="20"/>
        <v>9.3516865079365203</v>
      </c>
      <c r="M39" s="4">
        <f t="shared" si="20"/>
        <v>12.485416666666666</v>
      </c>
      <c r="N39" s="4">
        <f t="shared" si="20"/>
        <v>13.167946428571426</v>
      </c>
      <c r="O39" s="4">
        <f t="shared" si="20"/>
        <v>12.017003968253974</v>
      </c>
      <c r="P39" s="4">
        <f t="shared" si="20"/>
        <v>9.593174603174603</v>
      </c>
      <c r="Q39" s="4">
        <f t="shared" si="20"/>
        <v>7.9960615079365027</v>
      </c>
      <c r="R39" s="4">
        <f t="shared" si="20"/>
        <v>6.7378869047619077</v>
      </c>
      <c r="S39" s="4">
        <f t="shared" si="20"/>
        <v>5.4188293650793682</v>
      </c>
      <c r="T39" s="4">
        <f t="shared" si="20"/>
        <v>4.3232341269841186</v>
      </c>
      <c r="U39" s="4">
        <f t="shared" si="20"/>
        <v>3.3127182539682565</v>
      </c>
      <c r="V39" s="4">
        <f t="shared" si="20"/>
        <v>2.0006845238095252</v>
      </c>
      <c r="W39" s="4">
        <f t="shared" si="20"/>
        <v>0.92458333333333087</v>
      </c>
      <c r="X39" s="4">
        <f t="shared" si="17"/>
        <v>-9.9580257936507905</v>
      </c>
      <c r="Y39" s="6"/>
    </row>
    <row r="40" spans="1:26" x14ac:dyDescent="0.35">
      <c r="A40">
        <v>4</v>
      </c>
      <c r="B40" t="s">
        <v>63</v>
      </c>
      <c r="J40" s="4">
        <f t="shared" ref="J40:W40" si="21">($Y$41*(1+(($Y$44)*$A40))-J$33)</f>
        <v>11.07132936507935</v>
      </c>
      <c r="K40" s="4">
        <f t="shared" si="21"/>
        <v>8.2081150793650721</v>
      </c>
      <c r="L40" s="4">
        <f t="shared" si="21"/>
        <v>9.3516865079365203</v>
      </c>
      <c r="M40" s="4">
        <f t="shared" si="21"/>
        <v>12.485416666666666</v>
      </c>
      <c r="N40" s="4">
        <f t="shared" si="21"/>
        <v>13.167946428571426</v>
      </c>
      <c r="O40" s="4">
        <f t="shared" si="21"/>
        <v>12.017003968253974</v>
      </c>
      <c r="P40" s="4">
        <f t="shared" si="21"/>
        <v>9.593174603174603</v>
      </c>
      <c r="Q40" s="4">
        <f t="shared" si="21"/>
        <v>7.9960615079365027</v>
      </c>
      <c r="R40" s="4">
        <f t="shared" si="21"/>
        <v>6.7378869047619077</v>
      </c>
      <c r="S40" s="4">
        <f t="shared" si="21"/>
        <v>5.4188293650793682</v>
      </c>
      <c r="T40" s="4">
        <f t="shared" si="21"/>
        <v>4.3232341269841186</v>
      </c>
      <c r="U40" s="4">
        <f t="shared" si="21"/>
        <v>3.3127182539682565</v>
      </c>
      <c r="V40" s="4">
        <f t="shared" si="21"/>
        <v>2.0006845238095252</v>
      </c>
      <c r="W40" s="4">
        <f t="shared" si="21"/>
        <v>0.92458333333333087</v>
      </c>
      <c r="X40" s="4">
        <f t="shared" si="17"/>
        <v>-9.9580257936507905</v>
      </c>
      <c r="Y40" s="6" t="s">
        <v>64</v>
      </c>
      <c r="Z40" s="6" t="s">
        <v>65</v>
      </c>
    </row>
    <row r="41" spans="1:26" x14ac:dyDescent="0.35">
      <c r="A41">
        <v>5</v>
      </c>
      <c r="B41" t="s">
        <v>66</v>
      </c>
      <c r="K41" s="4">
        <f t="shared" ref="K41:W41" si="22">($Y$41*(1+(($Y$44)*$A41))-K$33)</f>
        <v>8.2081150793650721</v>
      </c>
      <c r="L41" s="4">
        <f t="shared" si="22"/>
        <v>9.3516865079365203</v>
      </c>
      <c r="M41" s="4">
        <f t="shared" si="22"/>
        <v>12.485416666666666</v>
      </c>
      <c r="N41" s="4">
        <f t="shared" si="22"/>
        <v>13.167946428571426</v>
      </c>
      <c r="O41" s="4">
        <f t="shared" si="22"/>
        <v>12.017003968253974</v>
      </c>
      <c r="P41" s="4">
        <f t="shared" si="22"/>
        <v>9.593174603174603</v>
      </c>
      <c r="Q41" s="4">
        <f t="shared" si="22"/>
        <v>7.9960615079365027</v>
      </c>
      <c r="R41" s="4">
        <f t="shared" si="22"/>
        <v>6.7378869047619077</v>
      </c>
      <c r="S41" s="4">
        <f t="shared" si="22"/>
        <v>5.4188293650793682</v>
      </c>
      <c r="T41" s="4">
        <f t="shared" si="22"/>
        <v>4.3232341269841186</v>
      </c>
      <c r="U41" s="4">
        <f t="shared" si="22"/>
        <v>3.3127182539682565</v>
      </c>
      <c r="V41" s="4">
        <f t="shared" si="22"/>
        <v>2.0006845238095252</v>
      </c>
      <c r="W41" s="4">
        <f t="shared" si="22"/>
        <v>0.92458333333333087</v>
      </c>
      <c r="X41" s="4">
        <f t="shared" si="17"/>
        <v>-9.9580257936507905</v>
      </c>
      <c r="Y41" s="7">
        <v>62.125</v>
      </c>
      <c r="Z41" s="7">
        <v>72.47</v>
      </c>
    </row>
    <row r="42" spans="1:26" x14ac:dyDescent="0.35">
      <c r="A42">
        <v>6</v>
      </c>
      <c r="B42" t="s">
        <v>67</v>
      </c>
      <c r="L42" s="4">
        <f t="shared" ref="L42:W42" si="23">($Y$41*(1+(($Y$44)*$A42))-L$33)</f>
        <v>9.3516865079365203</v>
      </c>
      <c r="M42" s="4">
        <f t="shared" si="23"/>
        <v>12.485416666666666</v>
      </c>
      <c r="N42" s="4">
        <f t="shared" si="23"/>
        <v>13.167946428571426</v>
      </c>
      <c r="O42" s="4">
        <f t="shared" si="23"/>
        <v>12.017003968253974</v>
      </c>
      <c r="P42" s="4">
        <f t="shared" si="23"/>
        <v>9.593174603174603</v>
      </c>
      <c r="Q42" s="4">
        <f t="shared" si="23"/>
        <v>7.9960615079365027</v>
      </c>
      <c r="R42" s="4">
        <f t="shared" si="23"/>
        <v>6.7378869047619077</v>
      </c>
      <c r="S42" s="4">
        <f t="shared" si="23"/>
        <v>5.4188293650793682</v>
      </c>
      <c r="T42" s="4">
        <f t="shared" si="23"/>
        <v>4.3232341269841186</v>
      </c>
      <c r="U42" s="4">
        <f t="shared" si="23"/>
        <v>3.3127182539682565</v>
      </c>
      <c r="V42" s="4">
        <f t="shared" si="23"/>
        <v>2.0006845238095252</v>
      </c>
      <c r="W42" s="4">
        <f t="shared" si="23"/>
        <v>0.92458333333333087</v>
      </c>
      <c r="X42" s="4">
        <f t="shared" si="17"/>
        <v>-9.9580257936507905</v>
      </c>
      <c r="Y42" s="6"/>
    </row>
    <row r="43" spans="1:26" x14ac:dyDescent="0.35">
      <c r="A43">
        <v>7</v>
      </c>
      <c r="B43" t="s">
        <v>68</v>
      </c>
      <c r="M43" s="4">
        <f t="shared" ref="M43:W43" si="24">($Y$41*(1+(($Y$44)*$A43))-M$33)</f>
        <v>12.485416666666666</v>
      </c>
      <c r="N43" s="4">
        <f t="shared" si="24"/>
        <v>13.167946428571426</v>
      </c>
      <c r="O43" s="4">
        <f t="shared" si="24"/>
        <v>12.017003968253974</v>
      </c>
      <c r="P43" s="4">
        <f t="shared" si="24"/>
        <v>9.593174603174603</v>
      </c>
      <c r="Q43" s="4">
        <f t="shared" si="24"/>
        <v>7.9960615079365027</v>
      </c>
      <c r="R43" s="4">
        <f t="shared" si="24"/>
        <v>6.7378869047619077</v>
      </c>
      <c r="S43" s="4">
        <f t="shared" si="24"/>
        <v>5.4188293650793682</v>
      </c>
      <c r="T43" s="4">
        <f t="shared" si="24"/>
        <v>4.3232341269841186</v>
      </c>
      <c r="U43" s="4">
        <f t="shared" si="24"/>
        <v>3.3127182539682565</v>
      </c>
      <c r="V43" s="4">
        <f t="shared" si="24"/>
        <v>2.0006845238095252</v>
      </c>
      <c r="W43" s="4">
        <f t="shared" si="24"/>
        <v>0.92458333333333087</v>
      </c>
      <c r="X43" s="4">
        <f t="shared" si="17"/>
        <v>-9.9580257936507905</v>
      </c>
      <c r="Y43" s="6" t="s">
        <v>69</v>
      </c>
    </row>
    <row r="44" spans="1:26" ht="15" thickBot="1" x14ac:dyDescent="0.4">
      <c r="A44">
        <v>8</v>
      </c>
      <c r="B44" t="s">
        <v>70</v>
      </c>
      <c r="M44" s="4"/>
      <c r="N44" s="4">
        <f t="shared" ref="N44:W44" si="25">($Y$41*(1+(($Y$44)*$A44))-N$33)</f>
        <v>13.167946428571426</v>
      </c>
      <c r="O44" s="4">
        <f t="shared" si="25"/>
        <v>12.017003968253974</v>
      </c>
      <c r="P44" s="4">
        <f t="shared" si="25"/>
        <v>9.593174603174603</v>
      </c>
      <c r="Q44" s="4">
        <f t="shared" si="25"/>
        <v>7.9960615079365027</v>
      </c>
      <c r="R44" s="4">
        <f t="shared" si="25"/>
        <v>6.7378869047619077</v>
      </c>
      <c r="S44" s="4">
        <f t="shared" si="25"/>
        <v>5.4188293650793682</v>
      </c>
      <c r="T44" s="4">
        <f t="shared" si="25"/>
        <v>4.3232341269841186</v>
      </c>
      <c r="U44" s="4">
        <f t="shared" si="25"/>
        <v>3.3127182539682565</v>
      </c>
      <c r="V44" s="4">
        <f t="shared" si="25"/>
        <v>2.0006845238095252</v>
      </c>
      <c r="W44" s="4">
        <f t="shared" si="25"/>
        <v>0.92458333333333087</v>
      </c>
      <c r="X44" s="4">
        <f t="shared" si="17"/>
        <v>-9.9580257936507905</v>
      </c>
      <c r="Y44" s="8">
        <v>0</v>
      </c>
    </row>
    <row r="45" spans="1:26" x14ac:dyDescent="0.35">
      <c r="A45">
        <v>9</v>
      </c>
      <c r="B45" t="s">
        <v>71</v>
      </c>
      <c r="O45" s="4">
        <f t="shared" ref="O45:W45" si="26">($Y$41*(1+(($Y$44)*$A45))-O$33)</f>
        <v>12.017003968253974</v>
      </c>
      <c r="P45" s="4">
        <f t="shared" si="26"/>
        <v>9.593174603174603</v>
      </c>
      <c r="Q45" s="4">
        <f t="shared" si="26"/>
        <v>7.9960615079365027</v>
      </c>
      <c r="R45" s="4">
        <f t="shared" si="26"/>
        <v>6.7378869047619077</v>
      </c>
      <c r="S45" s="4">
        <f t="shared" si="26"/>
        <v>5.4188293650793682</v>
      </c>
      <c r="T45" s="4">
        <f t="shared" si="26"/>
        <v>4.3232341269841186</v>
      </c>
      <c r="U45" s="4">
        <f t="shared" si="26"/>
        <v>3.3127182539682565</v>
      </c>
      <c r="V45" s="4">
        <f t="shared" si="26"/>
        <v>2.0006845238095252</v>
      </c>
      <c r="W45" s="4">
        <f t="shared" si="26"/>
        <v>0.92458333333333087</v>
      </c>
      <c r="X45" s="4">
        <f t="shared" si="17"/>
        <v>-9.9580257936507905</v>
      </c>
    </row>
    <row r="46" spans="1:26" x14ac:dyDescent="0.35">
      <c r="A46">
        <v>10</v>
      </c>
      <c r="B46" t="s">
        <v>72</v>
      </c>
      <c r="P46" s="4">
        <f t="shared" ref="P46:W46" si="27">($Y$41*(1+(($Y$44)*$A46))-P$33)</f>
        <v>9.593174603174603</v>
      </c>
      <c r="Q46" s="4">
        <f t="shared" si="27"/>
        <v>7.9960615079365027</v>
      </c>
      <c r="R46" s="4">
        <f t="shared" si="27"/>
        <v>6.7378869047619077</v>
      </c>
      <c r="S46" s="4">
        <f t="shared" si="27"/>
        <v>5.4188293650793682</v>
      </c>
      <c r="T46" s="4">
        <f t="shared" si="27"/>
        <v>4.3232341269841186</v>
      </c>
      <c r="U46" s="4">
        <f t="shared" si="27"/>
        <v>3.3127182539682565</v>
      </c>
      <c r="V46" s="4">
        <f t="shared" si="27"/>
        <v>2.0006845238095252</v>
      </c>
      <c r="W46" s="4">
        <f t="shared" si="27"/>
        <v>0.92458333333333087</v>
      </c>
      <c r="X46" s="4">
        <f t="shared" si="17"/>
        <v>-9.9580257936507905</v>
      </c>
    </row>
    <row r="47" spans="1:26" x14ac:dyDescent="0.35">
      <c r="A47">
        <v>11</v>
      </c>
      <c r="B47" t="s">
        <v>73</v>
      </c>
      <c r="Q47" s="4">
        <f t="shared" ref="Q47:W47" si="28">($Y$41*(1+(($Y$44)*$A47))-Q$33)</f>
        <v>7.9960615079365027</v>
      </c>
      <c r="R47" s="4">
        <f t="shared" si="28"/>
        <v>6.7378869047619077</v>
      </c>
      <c r="S47" s="4">
        <f t="shared" si="28"/>
        <v>5.4188293650793682</v>
      </c>
      <c r="T47" s="4">
        <f t="shared" si="28"/>
        <v>4.3232341269841186</v>
      </c>
      <c r="U47" s="4">
        <f t="shared" si="28"/>
        <v>3.3127182539682565</v>
      </c>
      <c r="V47" s="4">
        <f t="shared" si="28"/>
        <v>2.0006845238095252</v>
      </c>
      <c r="W47" s="4">
        <f t="shared" si="28"/>
        <v>0.92458333333333087</v>
      </c>
      <c r="X47" s="4">
        <f t="shared" si="17"/>
        <v>-9.9580257936507905</v>
      </c>
    </row>
    <row r="48" spans="1:26" x14ac:dyDescent="0.35">
      <c r="A48">
        <v>12</v>
      </c>
      <c r="B48" t="s">
        <v>74</v>
      </c>
      <c r="R48" s="4">
        <f t="shared" ref="R48:W48" si="29">($Y$41*(1+(($Y$44)*$A48))-R$33)</f>
        <v>6.7378869047619077</v>
      </c>
      <c r="S48" s="4">
        <f t="shared" si="29"/>
        <v>5.4188293650793682</v>
      </c>
      <c r="T48" s="4">
        <f t="shared" si="29"/>
        <v>4.3232341269841186</v>
      </c>
      <c r="U48" s="4">
        <f t="shared" si="29"/>
        <v>3.3127182539682565</v>
      </c>
      <c r="V48" s="4">
        <f t="shared" si="29"/>
        <v>2.0006845238095252</v>
      </c>
      <c r="W48" s="4">
        <f t="shared" si="29"/>
        <v>0.92458333333333087</v>
      </c>
      <c r="X48" s="4">
        <f t="shared" si="17"/>
        <v>-9.9580257936507905</v>
      </c>
    </row>
    <row r="49" spans="1:24" x14ac:dyDescent="0.35">
      <c r="A49">
        <v>13</v>
      </c>
      <c r="B49" t="s">
        <v>75</v>
      </c>
      <c r="S49" s="4">
        <f>($Y$41*(1+(($Y$44)*$A49))-S$33)</f>
        <v>5.4188293650793682</v>
      </c>
      <c r="T49" s="4">
        <f>($Y$41*(1+(($Y$44)*$A49))-T$33)</f>
        <v>4.3232341269841186</v>
      </c>
      <c r="U49" s="4">
        <f>($Y$41*(1+(($Y$44)*$A49))-U$33)</f>
        <v>3.3127182539682565</v>
      </c>
      <c r="V49" s="4">
        <f>($Y$41*(1+(($Y$44)*$A49))-V$33)</f>
        <v>2.0006845238095252</v>
      </c>
      <c r="W49" s="4">
        <f>($Y$41*(1+(($Y$44)*$A49))-W$33)</f>
        <v>0.92458333333333087</v>
      </c>
      <c r="X49" s="4">
        <f t="shared" si="17"/>
        <v>-9.9580257936507905</v>
      </c>
    </row>
    <row r="50" spans="1:24" x14ac:dyDescent="0.35">
      <c r="A50">
        <v>14</v>
      </c>
      <c r="B50" t="s">
        <v>76</v>
      </c>
      <c r="T50" s="4">
        <f>($Y$41*(1+(($Y$44)*$A50))-T$33)</f>
        <v>4.3232341269841186</v>
      </c>
      <c r="U50" s="4">
        <f>($Y$41*(1+(($Y$44)*$A50))-U$33)</f>
        <v>3.3127182539682565</v>
      </c>
      <c r="V50" s="4">
        <f>($Y$41*(1+(($Y$44)*$A50))-V$33)</f>
        <v>2.0006845238095252</v>
      </c>
      <c r="W50" s="4">
        <f>($Y$41*(1+(($Y$44)*$A50))-W$33)</f>
        <v>0.92458333333333087</v>
      </c>
      <c r="X50" s="4">
        <f t="shared" si="17"/>
        <v>-9.9580257936507905</v>
      </c>
    </row>
    <row r="51" spans="1:24" x14ac:dyDescent="0.35">
      <c r="A51">
        <v>15</v>
      </c>
      <c r="B51" t="s">
        <v>77</v>
      </c>
      <c r="U51" s="4">
        <f>($Y$41*(1+(($Y$44)*$A51))-U$33)</f>
        <v>3.3127182539682565</v>
      </c>
      <c r="V51" s="4">
        <f>($Y$41*(1+(($Y$44)*$A51))-V$33)</f>
        <v>2.0006845238095252</v>
      </c>
      <c r="W51" s="4">
        <f>($Y$41*(1+(($Y$44)*$A51))-W$33)</f>
        <v>0.92458333333333087</v>
      </c>
      <c r="X51" s="4">
        <f t="shared" si="17"/>
        <v>-9.9580257936507905</v>
      </c>
    </row>
    <row r="52" spans="1:24" x14ac:dyDescent="0.35">
      <c r="A52">
        <v>16</v>
      </c>
      <c r="B52" t="s">
        <v>78</v>
      </c>
      <c r="V52" s="4">
        <f>($Y$41*(1+(($Y$44)*$A52))-V$33)</f>
        <v>2.0006845238095252</v>
      </c>
      <c r="W52" s="4">
        <f>($Y$41*(1+(($Y$44)*$A52))-W$33)</f>
        <v>0.92458333333333087</v>
      </c>
      <c r="X52" s="4">
        <f t="shared" si="17"/>
        <v>-9.9580257936507905</v>
      </c>
    </row>
    <row r="53" spans="1:24" x14ac:dyDescent="0.35">
      <c r="A53">
        <v>17</v>
      </c>
      <c r="B53" t="s">
        <v>79</v>
      </c>
      <c r="W53" s="4">
        <f>($Y$41*(1+(($Y$44)*$A53))-W$33)</f>
        <v>0.92458333333333087</v>
      </c>
      <c r="X53" s="4">
        <f t="shared" si="17"/>
        <v>-9.9580257936507905</v>
      </c>
    </row>
    <row r="54" spans="1:24" x14ac:dyDescent="0.35">
      <c r="A54">
        <v>18</v>
      </c>
      <c r="B54" t="s">
        <v>80</v>
      </c>
      <c r="X54" s="4">
        <f t="shared" si="17"/>
        <v>-9.9580257936507905</v>
      </c>
    </row>
    <row r="57" spans="1:24" x14ac:dyDescent="0.35">
      <c r="B57" s="1" t="s">
        <v>82</v>
      </c>
    </row>
    <row r="58" spans="1:24" x14ac:dyDescent="0.35">
      <c r="C58" t="s">
        <v>1</v>
      </c>
    </row>
    <row r="59" spans="1:24" ht="18.5" x14ac:dyDescent="0.35">
      <c r="C59" s="2">
        <v>2022</v>
      </c>
      <c r="D59" s="2">
        <v>2023</v>
      </c>
      <c r="E59" s="2">
        <v>2024</v>
      </c>
      <c r="F59" s="2">
        <v>2025</v>
      </c>
      <c r="G59" s="2">
        <v>2026</v>
      </c>
      <c r="H59" s="2">
        <v>2027</v>
      </c>
      <c r="I59" s="2">
        <v>2028</v>
      </c>
      <c r="J59" s="2">
        <v>2029</v>
      </c>
      <c r="K59" s="2">
        <v>2030</v>
      </c>
      <c r="L59" s="2">
        <v>2031</v>
      </c>
      <c r="M59" s="2">
        <v>2032</v>
      </c>
      <c r="N59" s="2">
        <v>2033</v>
      </c>
      <c r="O59" s="2">
        <v>2034</v>
      </c>
      <c r="P59" s="2">
        <v>2035</v>
      </c>
      <c r="Q59" s="2">
        <v>2036</v>
      </c>
      <c r="R59" s="2">
        <v>2037</v>
      </c>
      <c r="S59" s="2">
        <v>2038</v>
      </c>
      <c r="T59" s="2">
        <v>2039</v>
      </c>
      <c r="U59" s="2">
        <v>2040</v>
      </c>
      <c r="V59" s="2">
        <v>2041</v>
      </c>
      <c r="W59" s="2">
        <v>2042</v>
      </c>
      <c r="X59" s="169">
        <v>2043</v>
      </c>
    </row>
    <row r="60" spans="1:24" x14ac:dyDescent="0.35">
      <c r="B60" t="s">
        <v>57</v>
      </c>
      <c r="C60" s="3"/>
      <c r="D60" s="3">
        <f>D1*(1+D2)</f>
        <v>0</v>
      </c>
      <c r="E60" s="3">
        <f>E1*(1+E2)</f>
        <v>37.613780663780666</v>
      </c>
      <c r="F60" s="3">
        <f>F1*(1+F2)</f>
        <v>44.955644841269844</v>
      </c>
      <c r="G60" s="3">
        <f t="shared" ref="G60:X60" si="30">G1*(1+G2)</f>
        <v>48.608571428571423</v>
      </c>
      <c r="H60" s="3">
        <f t="shared" si="30"/>
        <v>49.615019841269842</v>
      </c>
      <c r="I60" s="3">
        <f t="shared" si="30"/>
        <v>50.852212301587315</v>
      </c>
      <c r="J60" s="3">
        <f t="shared" si="30"/>
        <v>51.05367063492065</v>
      </c>
      <c r="K60" s="3">
        <f t="shared" si="30"/>
        <v>53.916884920634928</v>
      </c>
      <c r="L60" s="3">
        <f t="shared" si="30"/>
        <v>52.77331349206348</v>
      </c>
      <c r="M60" s="3">
        <f t="shared" si="30"/>
        <v>49.639583333333334</v>
      </c>
      <c r="N60" s="3">
        <f t="shared" si="30"/>
        <v>48.957053571428574</v>
      </c>
      <c r="O60" s="3">
        <f t="shared" si="30"/>
        <v>50.107996031746026</v>
      </c>
      <c r="P60" s="3">
        <f t="shared" si="30"/>
        <v>52.531825396825397</v>
      </c>
      <c r="Q60" s="3">
        <f t="shared" si="30"/>
        <v>54.128938492063497</v>
      </c>
      <c r="R60" s="3">
        <f t="shared" si="30"/>
        <v>55.387113095238092</v>
      </c>
      <c r="S60" s="3">
        <f t="shared" si="30"/>
        <v>56.706170634920632</v>
      </c>
      <c r="T60" s="3">
        <f t="shared" si="30"/>
        <v>57.801765873015881</v>
      </c>
      <c r="U60" s="3">
        <f t="shared" si="30"/>
        <v>58.812281746031744</v>
      </c>
      <c r="V60" s="3">
        <f t="shared" si="30"/>
        <v>60.124315476190475</v>
      </c>
      <c r="W60" s="3">
        <f t="shared" si="30"/>
        <v>61.200416666666669</v>
      </c>
      <c r="X60" s="3">
        <f t="shared" si="30"/>
        <v>62.253025793650792</v>
      </c>
    </row>
    <row r="63" spans="1:24" x14ac:dyDescent="0.35">
      <c r="B63" t="s">
        <v>58</v>
      </c>
      <c r="F63" s="4">
        <f t="shared" ref="F63:W63" si="31">$Y$68-F60</f>
        <v>47.639355158730154</v>
      </c>
      <c r="G63" s="4">
        <f t="shared" si="31"/>
        <v>43.986428571428576</v>
      </c>
      <c r="H63" s="4">
        <f t="shared" si="31"/>
        <v>42.979980158730157</v>
      </c>
      <c r="I63" s="4">
        <f t="shared" si="31"/>
        <v>41.742787698412684</v>
      </c>
      <c r="J63" s="4">
        <f t="shared" si="31"/>
        <v>41.541329365079349</v>
      </c>
      <c r="K63" s="4">
        <f t="shared" si="31"/>
        <v>38.678115079365071</v>
      </c>
      <c r="L63" s="4">
        <f t="shared" si="31"/>
        <v>39.821686507936519</v>
      </c>
      <c r="M63" s="4">
        <f t="shared" si="31"/>
        <v>42.955416666666665</v>
      </c>
      <c r="N63" s="4">
        <f t="shared" si="31"/>
        <v>43.637946428571425</v>
      </c>
      <c r="O63" s="4">
        <f t="shared" si="31"/>
        <v>42.487003968253973</v>
      </c>
      <c r="P63" s="4">
        <f t="shared" si="31"/>
        <v>40.063174603174602</v>
      </c>
      <c r="Q63" s="4">
        <f t="shared" si="31"/>
        <v>38.466061507936502</v>
      </c>
      <c r="R63" s="4">
        <f t="shared" si="31"/>
        <v>37.207886904761907</v>
      </c>
      <c r="S63" s="4">
        <f t="shared" si="31"/>
        <v>35.888829365079367</v>
      </c>
      <c r="T63" s="4">
        <f t="shared" si="31"/>
        <v>34.793234126984117</v>
      </c>
      <c r="U63" s="4">
        <f t="shared" si="31"/>
        <v>33.782718253968255</v>
      </c>
      <c r="V63" s="4">
        <f t="shared" si="31"/>
        <v>32.470684523809524</v>
      </c>
      <c r="W63" s="4">
        <f t="shared" si="31"/>
        <v>31.39458333333333</v>
      </c>
      <c r="X63" s="4">
        <f t="shared" ref="X63:X81" si="32">($Y$14*(1+(($Y$17)*$A63))-X$6)</f>
        <v>-9.9580257936507905</v>
      </c>
    </row>
    <row r="64" spans="1:24" ht="15" thickBot="1" x14ac:dyDescent="0.4">
      <c r="A64">
        <v>1</v>
      </c>
      <c r="B64" t="s">
        <v>59</v>
      </c>
      <c r="G64" s="4">
        <f t="shared" ref="G64:W64" si="33">($Z$68*(1+(($Y$44)*$A64))-G$60)</f>
        <v>48.251428571428576</v>
      </c>
      <c r="H64" s="4">
        <f t="shared" si="33"/>
        <v>47.244980158730158</v>
      </c>
      <c r="I64" s="4">
        <f t="shared" si="33"/>
        <v>46.007787698412685</v>
      </c>
      <c r="J64" s="4">
        <f t="shared" si="33"/>
        <v>45.80632936507935</v>
      </c>
      <c r="K64" s="4">
        <f t="shared" si="33"/>
        <v>42.943115079365072</v>
      </c>
      <c r="L64" s="4">
        <f t="shared" si="33"/>
        <v>44.08668650793652</v>
      </c>
      <c r="M64" s="4">
        <f t="shared" si="33"/>
        <v>47.220416666666665</v>
      </c>
      <c r="N64" s="4">
        <f t="shared" si="33"/>
        <v>47.902946428571425</v>
      </c>
      <c r="O64" s="4">
        <f t="shared" si="33"/>
        <v>46.752003968253973</v>
      </c>
      <c r="P64" s="4">
        <f t="shared" si="33"/>
        <v>44.328174603174602</v>
      </c>
      <c r="Q64" s="4">
        <f t="shared" si="33"/>
        <v>42.731061507936502</v>
      </c>
      <c r="R64" s="4">
        <f t="shared" si="33"/>
        <v>41.472886904761907</v>
      </c>
      <c r="S64" s="4">
        <f t="shared" si="33"/>
        <v>40.153829365079368</v>
      </c>
      <c r="T64" s="4">
        <f t="shared" si="33"/>
        <v>39.058234126984118</v>
      </c>
      <c r="U64" s="4">
        <f t="shared" si="33"/>
        <v>38.047718253968256</v>
      </c>
      <c r="V64" s="4">
        <f t="shared" si="33"/>
        <v>36.735684523809525</v>
      </c>
      <c r="W64" s="4">
        <f t="shared" si="33"/>
        <v>35.65958333333333</v>
      </c>
      <c r="X64" s="4">
        <f t="shared" si="32"/>
        <v>-9.9580257936507905</v>
      </c>
    </row>
    <row r="65" spans="1:26" x14ac:dyDescent="0.35">
      <c r="A65">
        <v>2</v>
      </c>
      <c r="B65" t="s">
        <v>60</v>
      </c>
      <c r="H65" s="4">
        <f t="shared" ref="H65:W65" si="34">($Y$68*(1+(($Y$44)*$A65))-H$60)</f>
        <v>42.979980158730157</v>
      </c>
      <c r="I65" s="4">
        <f t="shared" si="34"/>
        <v>41.742787698412684</v>
      </c>
      <c r="J65" s="4">
        <f t="shared" si="34"/>
        <v>41.541329365079349</v>
      </c>
      <c r="K65" s="4">
        <f t="shared" si="34"/>
        <v>38.678115079365071</v>
      </c>
      <c r="L65" s="4">
        <f t="shared" si="34"/>
        <v>39.821686507936519</v>
      </c>
      <c r="M65" s="4">
        <f t="shared" si="34"/>
        <v>42.955416666666665</v>
      </c>
      <c r="N65" s="4">
        <f t="shared" si="34"/>
        <v>43.637946428571425</v>
      </c>
      <c r="O65" s="4">
        <f t="shared" si="34"/>
        <v>42.487003968253973</v>
      </c>
      <c r="P65" s="4">
        <f t="shared" si="34"/>
        <v>40.063174603174602</v>
      </c>
      <c r="Q65" s="4">
        <f t="shared" si="34"/>
        <v>38.466061507936502</v>
      </c>
      <c r="R65" s="4">
        <f t="shared" si="34"/>
        <v>37.207886904761907</v>
      </c>
      <c r="S65" s="4">
        <f t="shared" si="34"/>
        <v>35.888829365079367</v>
      </c>
      <c r="T65" s="4">
        <f t="shared" si="34"/>
        <v>34.793234126984117</v>
      </c>
      <c r="U65" s="4">
        <f t="shared" si="34"/>
        <v>33.782718253968255</v>
      </c>
      <c r="V65" s="4">
        <f t="shared" si="34"/>
        <v>32.470684523809524</v>
      </c>
      <c r="W65" s="4">
        <f t="shared" si="34"/>
        <v>31.39458333333333</v>
      </c>
      <c r="X65" s="4">
        <f t="shared" si="32"/>
        <v>-9.9580257936507905</v>
      </c>
      <c r="Y65" s="5" t="s">
        <v>61</v>
      </c>
    </row>
    <row r="66" spans="1:26" x14ac:dyDescent="0.35">
      <c r="A66">
        <v>3</v>
      </c>
      <c r="B66" t="s">
        <v>62</v>
      </c>
      <c r="I66" s="4">
        <f t="shared" ref="I66:W66" si="35">($Y$68*(1+(($Y$44)*$A66))-I$60)</f>
        <v>41.742787698412684</v>
      </c>
      <c r="J66" s="4">
        <f t="shared" si="35"/>
        <v>41.541329365079349</v>
      </c>
      <c r="K66" s="4">
        <f t="shared" si="35"/>
        <v>38.678115079365071</v>
      </c>
      <c r="L66" s="4">
        <f t="shared" si="35"/>
        <v>39.821686507936519</v>
      </c>
      <c r="M66" s="4">
        <f t="shared" si="35"/>
        <v>42.955416666666665</v>
      </c>
      <c r="N66" s="4">
        <f t="shared" si="35"/>
        <v>43.637946428571425</v>
      </c>
      <c r="O66" s="4">
        <f t="shared" si="35"/>
        <v>42.487003968253973</v>
      </c>
      <c r="P66" s="4">
        <f t="shared" si="35"/>
        <v>40.063174603174602</v>
      </c>
      <c r="Q66" s="4">
        <f t="shared" si="35"/>
        <v>38.466061507936502</v>
      </c>
      <c r="R66" s="4">
        <f t="shared" si="35"/>
        <v>37.207886904761907</v>
      </c>
      <c r="S66" s="4">
        <f t="shared" si="35"/>
        <v>35.888829365079367</v>
      </c>
      <c r="T66" s="4">
        <f t="shared" si="35"/>
        <v>34.793234126984117</v>
      </c>
      <c r="U66" s="4">
        <f t="shared" si="35"/>
        <v>33.782718253968255</v>
      </c>
      <c r="V66" s="4">
        <f t="shared" si="35"/>
        <v>32.470684523809524</v>
      </c>
      <c r="W66" s="4">
        <f t="shared" si="35"/>
        <v>31.39458333333333</v>
      </c>
      <c r="X66" s="4">
        <f t="shared" si="32"/>
        <v>-9.9580257936507905</v>
      </c>
      <c r="Y66" s="6"/>
    </row>
    <row r="67" spans="1:26" x14ac:dyDescent="0.35">
      <c r="A67">
        <v>4</v>
      </c>
      <c r="B67" t="s">
        <v>63</v>
      </c>
      <c r="J67" s="4">
        <f t="shared" ref="J67:W67" si="36">($Y$68*(1+(($Y$44)*$A67))-J$60)</f>
        <v>41.541329365079349</v>
      </c>
      <c r="K67" s="4">
        <f t="shared" si="36"/>
        <v>38.678115079365071</v>
      </c>
      <c r="L67" s="4">
        <f t="shared" si="36"/>
        <v>39.821686507936519</v>
      </c>
      <c r="M67" s="4">
        <f t="shared" si="36"/>
        <v>42.955416666666665</v>
      </c>
      <c r="N67" s="4">
        <f t="shared" si="36"/>
        <v>43.637946428571425</v>
      </c>
      <c r="O67" s="4">
        <f t="shared" si="36"/>
        <v>42.487003968253973</v>
      </c>
      <c r="P67" s="4">
        <f t="shared" si="36"/>
        <v>40.063174603174602</v>
      </c>
      <c r="Q67" s="4">
        <f t="shared" si="36"/>
        <v>38.466061507936502</v>
      </c>
      <c r="R67" s="4">
        <f t="shared" si="36"/>
        <v>37.207886904761907</v>
      </c>
      <c r="S67" s="4">
        <f t="shared" si="36"/>
        <v>35.888829365079367</v>
      </c>
      <c r="T67" s="4">
        <f t="shared" si="36"/>
        <v>34.793234126984117</v>
      </c>
      <c r="U67" s="4">
        <f t="shared" si="36"/>
        <v>33.782718253968255</v>
      </c>
      <c r="V67" s="4">
        <f t="shared" si="36"/>
        <v>32.470684523809524</v>
      </c>
      <c r="W67" s="4">
        <f t="shared" si="36"/>
        <v>31.39458333333333</v>
      </c>
      <c r="X67" s="4">
        <f t="shared" si="32"/>
        <v>-9.9580257936507905</v>
      </c>
      <c r="Y67" s="6" t="s">
        <v>64</v>
      </c>
      <c r="Z67" s="6" t="s">
        <v>65</v>
      </c>
    </row>
    <row r="68" spans="1:26" x14ac:dyDescent="0.35">
      <c r="A68">
        <v>5</v>
      </c>
      <c r="B68" t="s">
        <v>66</v>
      </c>
      <c r="K68" s="4">
        <f t="shared" ref="K68:W68" si="37">($Y$68*(1+(($Y$44)*$A68))-K$60)</f>
        <v>38.678115079365071</v>
      </c>
      <c r="L68" s="4">
        <f t="shared" si="37"/>
        <v>39.821686507936519</v>
      </c>
      <c r="M68" s="4">
        <f t="shared" si="37"/>
        <v>42.955416666666665</v>
      </c>
      <c r="N68" s="4">
        <f t="shared" si="37"/>
        <v>43.637946428571425</v>
      </c>
      <c r="O68" s="4">
        <f t="shared" si="37"/>
        <v>42.487003968253973</v>
      </c>
      <c r="P68" s="4">
        <f t="shared" si="37"/>
        <v>40.063174603174602</v>
      </c>
      <c r="Q68" s="4">
        <f t="shared" si="37"/>
        <v>38.466061507936502</v>
      </c>
      <c r="R68" s="4">
        <f t="shared" si="37"/>
        <v>37.207886904761907</v>
      </c>
      <c r="S68" s="4">
        <f t="shared" si="37"/>
        <v>35.888829365079367</v>
      </c>
      <c r="T68" s="4">
        <f t="shared" si="37"/>
        <v>34.793234126984117</v>
      </c>
      <c r="U68" s="4">
        <f t="shared" si="37"/>
        <v>33.782718253968255</v>
      </c>
      <c r="V68" s="4">
        <f t="shared" si="37"/>
        <v>32.470684523809524</v>
      </c>
      <c r="W68" s="4">
        <f t="shared" si="37"/>
        <v>31.39458333333333</v>
      </c>
      <c r="X68" s="4">
        <f t="shared" si="32"/>
        <v>-9.9580257936507905</v>
      </c>
      <c r="Y68" s="7">
        <v>92.594999999999999</v>
      </c>
      <c r="Z68" s="7">
        <v>96.86</v>
      </c>
    </row>
    <row r="69" spans="1:26" x14ac:dyDescent="0.35">
      <c r="A69">
        <v>6</v>
      </c>
      <c r="B69" t="s">
        <v>67</v>
      </c>
      <c r="L69" s="4">
        <f t="shared" ref="L69:W69" si="38">($Y$68*(1+(($Y$44)*$A69))-L$60)</f>
        <v>39.821686507936519</v>
      </c>
      <c r="M69" s="4">
        <f t="shared" si="38"/>
        <v>42.955416666666665</v>
      </c>
      <c r="N69" s="4">
        <f t="shared" si="38"/>
        <v>43.637946428571425</v>
      </c>
      <c r="O69" s="4">
        <f t="shared" si="38"/>
        <v>42.487003968253973</v>
      </c>
      <c r="P69" s="4">
        <f t="shared" si="38"/>
        <v>40.063174603174602</v>
      </c>
      <c r="Q69" s="4">
        <f t="shared" si="38"/>
        <v>38.466061507936502</v>
      </c>
      <c r="R69" s="4">
        <f t="shared" si="38"/>
        <v>37.207886904761907</v>
      </c>
      <c r="S69" s="4">
        <f t="shared" si="38"/>
        <v>35.888829365079367</v>
      </c>
      <c r="T69" s="4">
        <f t="shared" si="38"/>
        <v>34.793234126984117</v>
      </c>
      <c r="U69" s="4">
        <f t="shared" si="38"/>
        <v>33.782718253968255</v>
      </c>
      <c r="V69" s="4">
        <f t="shared" si="38"/>
        <v>32.470684523809524</v>
      </c>
      <c r="W69" s="4">
        <f t="shared" si="38"/>
        <v>31.39458333333333</v>
      </c>
      <c r="X69" s="4">
        <f t="shared" si="32"/>
        <v>-9.9580257936507905</v>
      </c>
      <c r="Y69" s="6"/>
    </row>
    <row r="70" spans="1:26" x14ac:dyDescent="0.35">
      <c r="A70">
        <v>7</v>
      </c>
      <c r="B70" t="s">
        <v>68</v>
      </c>
      <c r="M70" s="4">
        <f t="shared" ref="M70:W70" si="39">($Y$68*(1+(($Y$44)*$A70))-M$60)</f>
        <v>42.955416666666665</v>
      </c>
      <c r="N70" s="4">
        <f t="shared" si="39"/>
        <v>43.637946428571425</v>
      </c>
      <c r="O70" s="4">
        <f t="shared" si="39"/>
        <v>42.487003968253973</v>
      </c>
      <c r="P70" s="4">
        <f t="shared" si="39"/>
        <v>40.063174603174602</v>
      </c>
      <c r="Q70" s="4">
        <f t="shared" si="39"/>
        <v>38.466061507936502</v>
      </c>
      <c r="R70" s="4">
        <f t="shared" si="39"/>
        <v>37.207886904761907</v>
      </c>
      <c r="S70" s="4">
        <f t="shared" si="39"/>
        <v>35.888829365079367</v>
      </c>
      <c r="T70" s="4">
        <f t="shared" si="39"/>
        <v>34.793234126984117</v>
      </c>
      <c r="U70" s="4">
        <f t="shared" si="39"/>
        <v>33.782718253968255</v>
      </c>
      <c r="V70" s="4">
        <f t="shared" si="39"/>
        <v>32.470684523809524</v>
      </c>
      <c r="W70" s="4">
        <f t="shared" si="39"/>
        <v>31.39458333333333</v>
      </c>
      <c r="X70" s="4">
        <f t="shared" si="32"/>
        <v>-9.9580257936507905</v>
      </c>
      <c r="Y70" s="6" t="s">
        <v>69</v>
      </c>
    </row>
    <row r="71" spans="1:26" ht="15" thickBot="1" x14ac:dyDescent="0.4">
      <c r="A71">
        <v>8</v>
      </c>
      <c r="B71" t="s">
        <v>70</v>
      </c>
      <c r="M71" s="4"/>
      <c r="N71" s="4">
        <f t="shared" ref="N71:W71" si="40">($Y$68*(1+(($Y$44)*$A71))-N$60)</f>
        <v>43.637946428571425</v>
      </c>
      <c r="O71" s="4">
        <f t="shared" si="40"/>
        <v>42.487003968253973</v>
      </c>
      <c r="P71" s="4">
        <f t="shared" si="40"/>
        <v>40.063174603174602</v>
      </c>
      <c r="Q71" s="4">
        <f t="shared" si="40"/>
        <v>38.466061507936502</v>
      </c>
      <c r="R71" s="4">
        <f t="shared" si="40"/>
        <v>37.207886904761907</v>
      </c>
      <c r="S71" s="4">
        <f t="shared" si="40"/>
        <v>35.888829365079367</v>
      </c>
      <c r="T71" s="4">
        <f t="shared" si="40"/>
        <v>34.793234126984117</v>
      </c>
      <c r="U71" s="4">
        <f t="shared" si="40"/>
        <v>33.782718253968255</v>
      </c>
      <c r="V71" s="4">
        <f t="shared" si="40"/>
        <v>32.470684523809524</v>
      </c>
      <c r="W71" s="4">
        <f t="shared" si="40"/>
        <v>31.39458333333333</v>
      </c>
      <c r="X71" s="4">
        <f t="shared" si="32"/>
        <v>-9.9580257936507905</v>
      </c>
      <c r="Y71" s="8">
        <v>0</v>
      </c>
    </row>
    <row r="72" spans="1:26" x14ac:dyDescent="0.35">
      <c r="A72">
        <v>9</v>
      </c>
      <c r="B72" t="s">
        <v>71</v>
      </c>
      <c r="O72" s="4">
        <f t="shared" ref="O72:W72" si="41">($Y$68*(1+(($Y$71)*$A72))-O$60)</f>
        <v>42.487003968253973</v>
      </c>
      <c r="P72" s="4">
        <f t="shared" si="41"/>
        <v>40.063174603174602</v>
      </c>
      <c r="Q72" s="4">
        <f t="shared" si="41"/>
        <v>38.466061507936502</v>
      </c>
      <c r="R72" s="4">
        <f t="shared" si="41"/>
        <v>37.207886904761907</v>
      </c>
      <c r="S72" s="4">
        <f t="shared" si="41"/>
        <v>35.888829365079367</v>
      </c>
      <c r="T72" s="4">
        <f t="shared" si="41"/>
        <v>34.793234126984117</v>
      </c>
      <c r="U72" s="4">
        <f t="shared" si="41"/>
        <v>33.782718253968255</v>
      </c>
      <c r="V72" s="4">
        <f t="shared" si="41"/>
        <v>32.470684523809524</v>
      </c>
      <c r="W72" s="4">
        <f t="shared" si="41"/>
        <v>31.39458333333333</v>
      </c>
      <c r="X72" s="4">
        <f t="shared" si="32"/>
        <v>-9.9580257936507905</v>
      </c>
    </row>
    <row r="73" spans="1:26" x14ac:dyDescent="0.35">
      <c r="A73">
        <v>10</v>
      </c>
      <c r="B73" t="s">
        <v>72</v>
      </c>
      <c r="P73" s="4">
        <f t="shared" ref="P73:W73" si="42">($Y$68*(1+(($Y$71)*$A73))-P$60)</f>
        <v>40.063174603174602</v>
      </c>
      <c r="Q73" s="4">
        <f t="shared" si="42"/>
        <v>38.466061507936502</v>
      </c>
      <c r="R73" s="4">
        <f t="shared" si="42"/>
        <v>37.207886904761907</v>
      </c>
      <c r="S73" s="4">
        <f t="shared" si="42"/>
        <v>35.888829365079367</v>
      </c>
      <c r="T73" s="4">
        <f t="shared" si="42"/>
        <v>34.793234126984117</v>
      </c>
      <c r="U73" s="4">
        <f t="shared" si="42"/>
        <v>33.782718253968255</v>
      </c>
      <c r="V73" s="4">
        <f t="shared" si="42"/>
        <v>32.470684523809524</v>
      </c>
      <c r="W73" s="4">
        <f t="shared" si="42"/>
        <v>31.39458333333333</v>
      </c>
      <c r="X73" s="4">
        <f t="shared" si="32"/>
        <v>-9.9580257936507905</v>
      </c>
    </row>
    <row r="74" spans="1:26" x14ac:dyDescent="0.35">
      <c r="A74">
        <v>11</v>
      </c>
      <c r="B74" t="s">
        <v>73</v>
      </c>
      <c r="Q74" s="4">
        <f t="shared" ref="Q74:W74" si="43">($Y$68*(1+(($Y$71)*$A74))-Q$60)</f>
        <v>38.466061507936502</v>
      </c>
      <c r="R74" s="4">
        <f t="shared" si="43"/>
        <v>37.207886904761907</v>
      </c>
      <c r="S74" s="4">
        <f t="shared" si="43"/>
        <v>35.888829365079367</v>
      </c>
      <c r="T74" s="4">
        <f t="shared" si="43"/>
        <v>34.793234126984117</v>
      </c>
      <c r="U74" s="4">
        <f t="shared" si="43"/>
        <v>33.782718253968255</v>
      </c>
      <c r="V74" s="4">
        <f t="shared" si="43"/>
        <v>32.470684523809524</v>
      </c>
      <c r="W74" s="4">
        <f t="shared" si="43"/>
        <v>31.39458333333333</v>
      </c>
      <c r="X74" s="4">
        <f t="shared" si="32"/>
        <v>-9.9580257936507905</v>
      </c>
    </row>
    <row r="75" spans="1:26" x14ac:dyDescent="0.35">
      <c r="A75">
        <v>12</v>
      </c>
      <c r="B75" t="s">
        <v>74</v>
      </c>
      <c r="R75" s="4">
        <f t="shared" ref="R75:W75" si="44">($Y$68*(1+(($Y$71)*$A75))-R$60)</f>
        <v>37.207886904761907</v>
      </c>
      <c r="S75" s="4">
        <f t="shared" si="44"/>
        <v>35.888829365079367</v>
      </c>
      <c r="T75" s="4">
        <f t="shared" si="44"/>
        <v>34.793234126984117</v>
      </c>
      <c r="U75" s="4">
        <f t="shared" si="44"/>
        <v>33.782718253968255</v>
      </c>
      <c r="V75" s="4">
        <f t="shared" si="44"/>
        <v>32.470684523809524</v>
      </c>
      <c r="W75" s="4">
        <f t="shared" si="44"/>
        <v>31.39458333333333</v>
      </c>
      <c r="X75" s="4">
        <f t="shared" si="32"/>
        <v>-9.9580257936507905</v>
      </c>
    </row>
    <row r="76" spans="1:26" x14ac:dyDescent="0.35">
      <c r="A76">
        <v>13</v>
      </c>
      <c r="B76" t="s">
        <v>75</v>
      </c>
      <c r="S76" s="4">
        <f>($Y$68*(1+(($Y$71)*$A76))-S$60)</f>
        <v>35.888829365079367</v>
      </c>
      <c r="T76" s="4">
        <f>($Y$68*(1+(($Y$71)*$A76))-T$60)</f>
        <v>34.793234126984117</v>
      </c>
      <c r="U76" s="4">
        <f>($Y$68*(1+(($Y$71)*$A76))-U$60)</f>
        <v>33.782718253968255</v>
      </c>
      <c r="V76" s="4">
        <f>($Y$68*(1+(($Y$71)*$A76))-V$60)</f>
        <v>32.470684523809524</v>
      </c>
      <c r="W76" s="4">
        <f>($Y$68*(1+(($Y$71)*$A76))-W$60)</f>
        <v>31.39458333333333</v>
      </c>
      <c r="X76" s="4">
        <f t="shared" si="32"/>
        <v>-9.9580257936507905</v>
      </c>
    </row>
    <row r="77" spans="1:26" x14ac:dyDescent="0.35">
      <c r="A77">
        <v>14</v>
      </c>
      <c r="B77" t="s">
        <v>76</v>
      </c>
      <c r="T77" s="4">
        <f>($Y$68*(1+(($Y$71)*$A77))-T$60)</f>
        <v>34.793234126984117</v>
      </c>
      <c r="U77" s="4">
        <f>($Y$68*(1+(($Y$71)*$A77))-U$60)</f>
        <v>33.782718253968255</v>
      </c>
      <c r="V77" s="4">
        <f>($Y$68*(1+(($Y$71)*$A77))-V$60)</f>
        <v>32.470684523809524</v>
      </c>
      <c r="W77" s="4">
        <f>($Y$68*(1+(($Y$71)*$A77))-W$60)</f>
        <v>31.39458333333333</v>
      </c>
      <c r="X77" s="4">
        <f t="shared" si="32"/>
        <v>-9.9580257936507905</v>
      </c>
    </row>
    <row r="78" spans="1:26" x14ac:dyDescent="0.35">
      <c r="A78">
        <v>15</v>
      </c>
      <c r="B78" t="s">
        <v>77</v>
      </c>
      <c r="U78" s="4">
        <f>($Y$68*(1+(($Y$71)*$A78))-U$60)</f>
        <v>33.782718253968255</v>
      </c>
      <c r="V78" s="4">
        <f>($Y$68*(1+(($Y$71)*$A78))-V$60)</f>
        <v>32.470684523809524</v>
      </c>
      <c r="W78" s="4">
        <f>($Y$68*(1+(($Y$71)*$A78))-W$60)</f>
        <v>31.39458333333333</v>
      </c>
      <c r="X78" s="4">
        <f t="shared" si="32"/>
        <v>-9.9580257936507905</v>
      </c>
    </row>
    <row r="79" spans="1:26" x14ac:dyDescent="0.35">
      <c r="A79">
        <v>16</v>
      </c>
      <c r="B79" t="s">
        <v>78</v>
      </c>
      <c r="V79" s="4">
        <f>($Y$68*(1+(($Y$71)*$A79))-V$60)</f>
        <v>32.470684523809524</v>
      </c>
      <c r="W79" s="4">
        <f>($Y$68*(1+(($Y$71)*$A79))-W$60)</f>
        <v>31.39458333333333</v>
      </c>
      <c r="X79" s="4">
        <f t="shared" si="32"/>
        <v>-9.9580257936507905</v>
      </c>
    </row>
    <row r="80" spans="1:26" x14ac:dyDescent="0.35">
      <c r="A80">
        <v>17</v>
      </c>
      <c r="B80" t="s">
        <v>79</v>
      </c>
      <c r="W80" s="4">
        <f>($Y$68*(1+(($Y$71)*$A80))-W$60)</f>
        <v>31.39458333333333</v>
      </c>
      <c r="X80" s="4">
        <f t="shared" si="32"/>
        <v>-9.9580257936507905</v>
      </c>
    </row>
    <row r="81" spans="1:24" x14ac:dyDescent="0.35">
      <c r="A81">
        <v>18</v>
      </c>
      <c r="B81" t="s">
        <v>80</v>
      </c>
      <c r="X81" s="4">
        <f t="shared" si="32"/>
        <v>-9.9580257936507905</v>
      </c>
    </row>
    <row r="91" spans="1:24" x14ac:dyDescent="0.35">
      <c r="B91" s="308" t="s">
        <v>83</v>
      </c>
      <c r="C91" s="308"/>
    </row>
    <row r="92" spans="1:24" x14ac:dyDescent="0.35">
      <c r="B92" s="309">
        <v>0.995</v>
      </c>
      <c r="C92" s="310"/>
    </row>
  </sheetData>
  <mergeCells count="2">
    <mergeCell ref="B91:C91"/>
    <mergeCell ref="B92:C92"/>
  </mergeCells>
  <phoneticPr fontId="13" type="noConversion"/>
  <pageMargins left="0.7" right="0.7" top="0.75" bottom="0.75" header="0.3" footer="0.3"/>
  <pageSetup scale="33" fitToHeight="3" orientation="portrait" r:id="rId1"/>
  <customProperties>
    <customPr name="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2460B-03FE-42E1-8034-08503B91F54D}">
  <sheetPr>
    <tabColor theme="5" tint="0.59999389629810485"/>
    <pageSetUpPr fitToPage="1"/>
  </sheetPr>
  <dimension ref="A1:AV99"/>
  <sheetViews>
    <sheetView zoomScale="120" zoomScaleNormal="120" workbookViewId="0">
      <selection activeCell="A80" sqref="A80:XFD82"/>
    </sheetView>
  </sheetViews>
  <sheetFormatPr defaultRowHeight="14.5" x14ac:dyDescent="0.35"/>
  <cols>
    <col min="1" max="1" width="31.54296875" style="1" customWidth="1"/>
    <col min="2" max="2" width="7.54296875" bestFit="1" customWidth="1"/>
    <col min="3" max="4" width="7.54296875" customWidth="1"/>
    <col min="5" max="5" width="14.453125" customWidth="1"/>
    <col min="6" max="7" width="11.54296875" bestFit="1" customWidth="1"/>
    <col min="8" max="9" width="12.54296875" bestFit="1" customWidth="1"/>
    <col min="10" max="10" width="13.453125" bestFit="1" customWidth="1"/>
    <col min="11" max="15" width="12.54296875" bestFit="1" customWidth="1"/>
    <col min="16" max="16" width="14.453125" bestFit="1" customWidth="1"/>
    <col min="17" max="22" width="12.54296875" bestFit="1" customWidth="1"/>
    <col min="23" max="23" width="14.453125" bestFit="1" customWidth="1"/>
    <col min="24" max="24" width="12.54296875" bestFit="1" customWidth="1"/>
    <col min="25" max="26" width="12.54296875" customWidth="1"/>
  </cols>
  <sheetData>
    <row r="1" spans="1:26" ht="15.5" x14ac:dyDescent="0.35">
      <c r="A1" s="177" t="s">
        <v>84</v>
      </c>
      <c r="B1" s="177" t="s">
        <v>85</v>
      </c>
      <c r="C1" s="220">
        <v>2020</v>
      </c>
      <c r="D1" s="220">
        <v>2021</v>
      </c>
      <c r="E1" s="220">
        <v>2022</v>
      </c>
      <c r="F1" s="220">
        <f t="shared" ref="F1:Y1" si="0">E1+1</f>
        <v>2023</v>
      </c>
      <c r="G1" s="220">
        <f t="shared" si="0"/>
        <v>2024</v>
      </c>
      <c r="H1" s="220">
        <f t="shared" si="0"/>
        <v>2025</v>
      </c>
      <c r="I1" s="220">
        <f t="shared" si="0"/>
        <v>2026</v>
      </c>
      <c r="J1" s="220">
        <f t="shared" si="0"/>
        <v>2027</v>
      </c>
      <c r="K1" s="220">
        <f t="shared" si="0"/>
        <v>2028</v>
      </c>
      <c r="L1" s="220">
        <f t="shared" si="0"/>
        <v>2029</v>
      </c>
      <c r="M1" s="220">
        <f t="shared" si="0"/>
        <v>2030</v>
      </c>
      <c r="N1" s="220">
        <f t="shared" si="0"/>
        <v>2031</v>
      </c>
      <c r="O1" s="220">
        <f t="shared" si="0"/>
        <v>2032</v>
      </c>
      <c r="P1" s="220">
        <f t="shared" si="0"/>
        <v>2033</v>
      </c>
      <c r="Q1" s="220">
        <f t="shared" si="0"/>
        <v>2034</v>
      </c>
      <c r="R1" s="220">
        <f t="shared" si="0"/>
        <v>2035</v>
      </c>
      <c r="S1" s="220">
        <f t="shared" si="0"/>
        <v>2036</v>
      </c>
      <c r="T1" s="220">
        <f t="shared" si="0"/>
        <v>2037</v>
      </c>
      <c r="U1" s="220">
        <f t="shared" si="0"/>
        <v>2038</v>
      </c>
      <c r="V1" s="220">
        <f t="shared" si="0"/>
        <v>2039</v>
      </c>
      <c r="W1" s="220">
        <f t="shared" si="0"/>
        <v>2040</v>
      </c>
      <c r="X1" s="220">
        <f t="shared" si="0"/>
        <v>2041</v>
      </c>
      <c r="Y1" s="220">
        <f t="shared" si="0"/>
        <v>2042</v>
      </c>
      <c r="Z1" s="220">
        <f t="shared" ref="Z1" si="1">Y1+1</f>
        <v>2043</v>
      </c>
    </row>
    <row r="2" spans="1:26" ht="15.5" x14ac:dyDescent="0.35">
      <c r="A2" s="177" t="s">
        <v>86</v>
      </c>
      <c r="B2" s="11">
        <v>2022</v>
      </c>
      <c r="C2" s="10"/>
      <c r="D2" s="10"/>
      <c r="E2" s="13"/>
      <c r="F2" s="13"/>
      <c r="G2" s="13"/>
      <c r="H2" s="248">
        <v>460000</v>
      </c>
      <c r="I2" s="248">
        <v>460000</v>
      </c>
      <c r="J2" s="248">
        <v>460000</v>
      </c>
      <c r="K2" s="248">
        <v>460000</v>
      </c>
      <c r="L2" s="248">
        <v>460000</v>
      </c>
      <c r="M2" s="248">
        <v>460000</v>
      </c>
      <c r="N2" s="248">
        <v>460000</v>
      </c>
      <c r="O2" s="248">
        <v>460000</v>
      </c>
      <c r="P2" s="248">
        <v>460000</v>
      </c>
      <c r="Q2" s="248">
        <v>460000</v>
      </c>
      <c r="R2" s="248">
        <v>460000</v>
      </c>
      <c r="S2" s="248">
        <v>460000</v>
      </c>
      <c r="T2" s="248">
        <v>460000</v>
      </c>
      <c r="U2" s="248">
        <v>460000</v>
      </c>
      <c r="V2" s="248">
        <v>460000</v>
      </c>
      <c r="W2" s="248">
        <v>460000</v>
      </c>
      <c r="X2" s="248">
        <v>460000</v>
      </c>
      <c r="Y2" s="248">
        <v>460000</v>
      </c>
      <c r="Z2" s="248">
        <v>460000</v>
      </c>
    </row>
    <row r="3" spans="1:26" ht="15.5" x14ac:dyDescent="0.35">
      <c r="A3" s="177" t="s">
        <v>86</v>
      </c>
      <c r="B3" s="11">
        <f>B2+1</f>
        <v>2023</v>
      </c>
      <c r="C3" s="11"/>
      <c r="D3" s="11"/>
      <c r="E3" s="13"/>
      <c r="F3" s="13"/>
      <c r="G3" s="13"/>
      <c r="H3" s="248"/>
      <c r="I3" s="248"/>
      <c r="J3" s="21">
        <v>828463</v>
      </c>
      <c r="K3" s="21">
        <v>828463</v>
      </c>
      <c r="L3" s="21">
        <v>828463</v>
      </c>
      <c r="M3" s="21">
        <v>828463</v>
      </c>
      <c r="N3" s="21">
        <v>828463</v>
      </c>
      <c r="O3" s="21">
        <v>828463</v>
      </c>
      <c r="P3" s="21">
        <v>828463</v>
      </c>
      <c r="Q3" s="21">
        <v>828463</v>
      </c>
      <c r="R3" s="21">
        <v>828463</v>
      </c>
      <c r="S3" s="21">
        <v>828463</v>
      </c>
      <c r="T3" s="21">
        <v>828463</v>
      </c>
      <c r="U3" s="21">
        <v>828463</v>
      </c>
      <c r="V3" s="21">
        <v>828463</v>
      </c>
      <c r="W3" s="21">
        <v>828463</v>
      </c>
      <c r="X3" s="21">
        <v>828463</v>
      </c>
      <c r="Y3" s="21">
        <v>828463</v>
      </c>
      <c r="Z3" s="21">
        <v>828463</v>
      </c>
    </row>
    <row r="4" spans="1:26" ht="15.5" x14ac:dyDescent="0.35">
      <c r="A4" s="177" t="s">
        <v>86</v>
      </c>
      <c r="B4" s="11">
        <f t="shared" ref="B4:B22" si="2">B3+1</f>
        <v>2024</v>
      </c>
      <c r="C4" s="11"/>
      <c r="D4" s="11"/>
      <c r="E4" s="13"/>
      <c r="F4" s="13"/>
      <c r="G4" s="13"/>
      <c r="H4" s="248"/>
      <c r="I4" s="248"/>
      <c r="J4" s="248">
        <f>2233332+4000000</f>
        <v>6233332</v>
      </c>
      <c r="K4" s="248">
        <f t="shared" ref="K4:Z4" si="3">2233332+4000000</f>
        <v>6233332</v>
      </c>
      <c r="L4" s="248">
        <f t="shared" si="3"/>
        <v>6233332</v>
      </c>
      <c r="M4" s="248">
        <f t="shared" si="3"/>
        <v>6233332</v>
      </c>
      <c r="N4" s="248">
        <f t="shared" si="3"/>
        <v>6233332</v>
      </c>
      <c r="O4" s="248">
        <f t="shared" si="3"/>
        <v>6233332</v>
      </c>
      <c r="P4" s="248">
        <f t="shared" si="3"/>
        <v>6233332</v>
      </c>
      <c r="Q4" s="248">
        <f t="shared" si="3"/>
        <v>6233332</v>
      </c>
      <c r="R4" s="248">
        <f t="shared" si="3"/>
        <v>6233332</v>
      </c>
      <c r="S4" s="248">
        <f t="shared" si="3"/>
        <v>6233332</v>
      </c>
      <c r="T4" s="248">
        <f t="shared" si="3"/>
        <v>6233332</v>
      </c>
      <c r="U4" s="248">
        <f t="shared" si="3"/>
        <v>6233332</v>
      </c>
      <c r="V4" s="248">
        <f t="shared" si="3"/>
        <v>6233332</v>
      </c>
      <c r="W4" s="248">
        <f t="shared" si="3"/>
        <v>6233332</v>
      </c>
      <c r="X4" s="248">
        <f t="shared" si="3"/>
        <v>6233332</v>
      </c>
      <c r="Y4" s="248">
        <f t="shared" si="3"/>
        <v>6233332</v>
      </c>
      <c r="Z4" s="248">
        <f t="shared" si="3"/>
        <v>6233332</v>
      </c>
    </row>
    <row r="5" spans="1:26" ht="15.5" x14ac:dyDescent="0.35">
      <c r="A5" s="177" t="s">
        <v>86</v>
      </c>
      <c r="B5" s="11">
        <f t="shared" si="2"/>
        <v>2025</v>
      </c>
      <c r="C5" s="11"/>
      <c r="D5" s="11"/>
      <c r="E5" s="13"/>
      <c r="F5" s="13"/>
      <c r="G5" s="13"/>
      <c r="H5" s="248"/>
      <c r="I5" s="248"/>
      <c r="J5" s="248">
        <v>0</v>
      </c>
      <c r="K5" s="248">
        <v>2500000</v>
      </c>
      <c r="L5" s="248">
        <v>2500000</v>
      </c>
      <c r="M5" s="248">
        <v>2500000</v>
      </c>
      <c r="N5" s="248">
        <v>2500000</v>
      </c>
      <c r="O5" s="248">
        <v>2500000</v>
      </c>
      <c r="P5" s="248">
        <v>2500000</v>
      </c>
      <c r="Q5" s="248">
        <v>2500000</v>
      </c>
      <c r="R5" s="248">
        <v>2500000</v>
      </c>
      <c r="S5" s="248">
        <v>2500000</v>
      </c>
      <c r="T5" s="248">
        <v>2500000</v>
      </c>
      <c r="U5" s="248">
        <v>2500000</v>
      </c>
      <c r="V5" s="248">
        <v>2500000</v>
      </c>
      <c r="W5" s="248">
        <v>2500000</v>
      </c>
      <c r="X5" s="248">
        <v>2500000</v>
      </c>
      <c r="Y5" s="248">
        <v>2500000</v>
      </c>
      <c r="Z5" s="248">
        <v>2500000</v>
      </c>
    </row>
    <row r="6" spans="1:26" ht="15.5" x14ac:dyDescent="0.35">
      <c r="A6" s="177" t="s">
        <v>86</v>
      </c>
      <c r="B6" s="11">
        <f t="shared" si="2"/>
        <v>2026</v>
      </c>
      <c r="C6" s="11"/>
      <c r="D6" s="11"/>
      <c r="E6" s="13"/>
      <c r="F6" s="13"/>
      <c r="G6" s="13"/>
      <c r="H6" s="248"/>
      <c r="I6" s="248">
        <v>0</v>
      </c>
      <c r="J6" s="248">
        <v>0</v>
      </c>
      <c r="K6" s="248">
        <v>0</v>
      </c>
      <c r="L6" s="248">
        <v>2500000</v>
      </c>
      <c r="M6" s="248">
        <v>2500000</v>
      </c>
      <c r="N6" s="248">
        <v>2500000</v>
      </c>
      <c r="O6" s="248">
        <v>2500000</v>
      </c>
      <c r="P6" s="248">
        <v>2500000</v>
      </c>
      <c r="Q6" s="248">
        <v>2500000</v>
      </c>
      <c r="R6" s="248">
        <v>2500000</v>
      </c>
      <c r="S6" s="248">
        <v>2500000</v>
      </c>
      <c r="T6" s="248">
        <v>2500000</v>
      </c>
      <c r="U6" s="248">
        <v>2500000</v>
      </c>
      <c r="V6" s="248">
        <v>2500000</v>
      </c>
      <c r="W6" s="248">
        <v>2500000</v>
      </c>
      <c r="X6" s="248">
        <v>2500000</v>
      </c>
      <c r="Y6" s="248">
        <v>2500000</v>
      </c>
      <c r="Z6" s="248">
        <v>2500000</v>
      </c>
    </row>
    <row r="7" spans="1:26" ht="15.5" x14ac:dyDescent="0.35">
      <c r="A7" s="177" t="s">
        <v>86</v>
      </c>
      <c r="B7" s="11">
        <f t="shared" si="2"/>
        <v>2027</v>
      </c>
      <c r="C7" s="11"/>
      <c r="D7" s="11"/>
      <c r="E7" s="13"/>
      <c r="F7" s="13"/>
      <c r="G7" s="13"/>
      <c r="H7" s="248"/>
      <c r="I7" s="248"/>
      <c r="J7" s="248">
        <v>0</v>
      </c>
      <c r="K7" s="248">
        <v>0</v>
      </c>
      <c r="L7" s="248">
        <v>0</v>
      </c>
      <c r="M7" s="248">
        <v>2500000</v>
      </c>
      <c r="N7" s="248">
        <v>2500000</v>
      </c>
      <c r="O7" s="248">
        <v>2500000</v>
      </c>
      <c r="P7" s="248">
        <v>2500000</v>
      </c>
      <c r="Q7" s="248">
        <v>2500000</v>
      </c>
      <c r="R7" s="248">
        <v>2500000</v>
      </c>
      <c r="S7" s="248">
        <v>2500000</v>
      </c>
      <c r="T7" s="248">
        <v>2500000</v>
      </c>
      <c r="U7" s="248">
        <v>2500000</v>
      </c>
      <c r="V7" s="248">
        <v>2500000</v>
      </c>
      <c r="W7" s="248">
        <v>2500000</v>
      </c>
      <c r="X7" s="248">
        <v>2500000</v>
      </c>
      <c r="Y7" s="248">
        <v>2500000</v>
      </c>
      <c r="Z7" s="248">
        <v>2500000</v>
      </c>
    </row>
    <row r="8" spans="1:26" ht="15.5" x14ac:dyDescent="0.35">
      <c r="A8" s="177" t="s">
        <v>86</v>
      </c>
      <c r="B8" s="11">
        <f t="shared" si="2"/>
        <v>2028</v>
      </c>
      <c r="C8" s="11"/>
      <c r="D8" s="11"/>
      <c r="E8" s="13"/>
      <c r="F8" s="13"/>
      <c r="G8" s="13"/>
      <c r="H8" s="248"/>
      <c r="I8" s="248"/>
      <c r="J8" s="248"/>
      <c r="K8" s="248">
        <v>0</v>
      </c>
      <c r="L8" s="248">
        <v>0</v>
      </c>
      <c r="M8" s="248">
        <v>0</v>
      </c>
      <c r="N8" s="248">
        <v>2500000</v>
      </c>
      <c r="O8" s="248">
        <v>2500000</v>
      </c>
      <c r="P8" s="248">
        <v>2500000</v>
      </c>
      <c r="Q8" s="248">
        <v>2500000</v>
      </c>
      <c r="R8" s="248">
        <v>2500000</v>
      </c>
      <c r="S8" s="248">
        <v>2500000</v>
      </c>
      <c r="T8" s="248">
        <v>2500000</v>
      </c>
      <c r="U8" s="248">
        <v>2500000</v>
      </c>
      <c r="V8" s="248">
        <v>2500000</v>
      </c>
      <c r="W8" s="248">
        <v>2500000</v>
      </c>
      <c r="X8" s="248">
        <v>2500000</v>
      </c>
      <c r="Y8" s="248">
        <v>2500000</v>
      </c>
      <c r="Z8" s="248">
        <v>2500000</v>
      </c>
    </row>
    <row r="9" spans="1:26" ht="15.5" x14ac:dyDescent="0.35">
      <c r="A9" s="177" t="s">
        <v>86</v>
      </c>
      <c r="B9" s="11">
        <f t="shared" si="2"/>
        <v>2029</v>
      </c>
      <c r="C9" s="11"/>
      <c r="D9" s="11"/>
      <c r="E9" s="13"/>
      <c r="F9" s="13"/>
      <c r="G9" s="13"/>
      <c r="H9" s="248"/>
      <c r="I9" s="248"/>
      <c r="J9" s="248"/>
      <c r="K9" s="248"/>
      <c r="L9" s="248">
        <v>0</v>
      </c>
      <c r="M9" s="248">
        <v>0</v>
      </c>
      <c r="N9" s="248">
        <v>0</v>
      </c>
      <c r="O9" s="248">
        <v>2500000</v>
      </c>
      <c r="P9" s="248">
        <v>1000000</v>
      </c>
      <c r="Q9" s="248">
        <v>1000000</v>
      </c>
      <c r="R9" s="248">
        <v>1000000</v>
      </c>
      <c r="S9" s="248">
        <v>1000000</v>
      </c>
      <c r="T9" s="248">
        <v>1000000</v>
      </c>
      <c r="U9" s="248">
        <v>1000000</v>
      </c>
      <c r="V9" s="248">
        <v>1000000</v>
      </c>
      <c r="W9" s="248">
        <v>1000000</v>
      </c>
      <c r="X9" s="248">
        <v>1000000</v>
      </c>
      <c r="Y9" s="248">
        <v>1000000</v>
      </c>
      <c r="Z9" s="248">
        <v>1000000</v>
      </c>
    </row>
    <row r="10" spans="1:26" ht="15.5" x14ac:dyDescent="0.35">
      <c r="A10" s="177" t="s">
        <v>86</v>
      </c>
      <c r="B10" s="11">
        <f t="shared" si="2"/>
        <v>2030</v>
      </c>
      <c r="C10" s="11"/>
      <c r="D10" s="11"/>
      <c r="E10" s="13"/>
      <c r="F10" s="13"/>
      <c r="G10" s="13"/>
      <c r="H10" s="248"/>
      <c r="I10" s="248"/>
      <c r="J10" s="248"/>
      <c r="K10" s="248"/>
      <c r="L10" s="248"/>
      <c r="M10" s="248">
        <v>0</v>
      </c>
      <c r="N10" s="248">
        <v>0</v>
      </c>
      <c r="O10" s="248">
        <v>0</v>
      </c>
      <c r="P10" s="248">
        <v>1000000</v>
      </c>
      <c r="Q10" s="248">
        <v>1000000</v>
      </c>
      <c r="R10" s="248">
        <v>1000000</v>
      </c>
      <c r="S10" s="248">
        <v>1000000</v>
      </c>
      <c r="T10" s="248">
        <v>1000000</v>
      </c>
      <c r="U10" s="248">
        <v>1000000</v>
      </c>
      <c r="V10" s="248">
        <v>1000000</v>
      </c>
      <c r="W10" s="248">
        <v>1000000</v>
      </c>
      <c r="X10" s="248">
        <v>1000000</v>
      </c>
      <c r="Y10" s="248">
        <v>1000000</v>
      </c>
      <c r="Z10" s="248">
        <v>1000000</v>
      </c>
    </row>
    <row r="11" spans="1:26" ht="15.5" x14ac:dyDescent="0.35">
      <c r="A11" s="177" t="s">
        <v>86</v>
      </c>
      <c r="B11" s="11">
        <f t="shared" si="2"/>
        <v>2031</v>
      </c>
      <c r="C11" s="11"/>
      <c r="D11" s="11"/>
      <c r="E11" s="13"/>
      <c r="F11" s="13"/>
      <c r="G11" s="13"/>
      <c r="H11" s="248"/>
      <c r="I11" s="248"/>
      <c r="J11" s="248"/>
      <c r="K11" s="248"/>
      <c r="L11" s="248"/>
      <c r="M11" s="248"/>
      <c r="N11" s="248">
        <v>0</v>
      </c>
      <c r="O11" s="248">
        <v>0</v>
      </c>
      <c r="P11" s="248">
        <v>0</v>
      </c>
      <c r="Q11" s="248">
        <v>1000000</v>
      </c>
      <c r="R11" s="248">
        <v>2500000</v>
      </c>
      <c r="S11" s="248">
        <v>1000000</v>
      </c>
      <c r="T11" s="248">
        <v>1000000</v>
      </c>
      <c r="U11" s="248">
        <v>1000000</v>
      </c>
      <c r="V11" s="248">
        <v>1000000</v>
      </c>
      <c r="W11" s="248">
        <v>1000000</v>
      </c>
      <c r="X11" s="248">
        <v>1000000</v>
      </c>
      <c r="Y11" s="248">
        <v>1000000</v>
      </c>
      <c r="Z11" s="248">
        <v>1000000</v>
      </c>
    </row>
    <row r="12" spans="1:26" ht="15.5" x14ac:dyDescent="0.35">
      <c r="A12" s="177" t="s">
        <v>86</v>
      </c>
      <c r="B12" s="11">
        <f t="shared" si="2"/>
        <v>2032</v>
      </c>
      <c r="C12" s="11"/>
      <c r="D12" s="11"/>
      <c r="E12" s="13"/>
      <c r="F12" s="13"/>
      <c r="G12" s="13"/>
      <c r="H12" s="248"/>
      <c r="I12" s="248"/>
      <c r="J12" s="248"/>
      <c r="K12" s="248"/>
      <c r="L12" s="248"/>
      <c r="M12" s="248"/>
      <c r="N12" s="248"/>
      <c r="O12" s="248">
        <v>0</v>
      </c>
      <c r="P12" s="248">
        <v>0</v>
      </c>
      <c r="Q12" s="248">
        <v>0</v>
      </c>
      <c r="R12" s="248">
        <v>1000000</v>
      </c>
      <c r="S12" s="248">
        <v>1000000</v>
      </c>
      <c r="T12" s="248">
        <v>1000000</v>
      </c>
      <c r="U12" s="248">
        <v>1000000</v>
      </c>
      <c r="V12" s="248">
        <v>1000000</v>
      </c>
      <c r="W12" s="248">
        <v>1000000</v>
      </c>
      <c r="X12" s="248">
        <v>2500000</v>
      </c>
      <c r="Y12" s="248">
        <v>1000000</v>
      </c>
      <c r="Z12" s="248">
        <v>1000000</v>
      </c>
    </row>
    <row r="13" spans="1:26" ht="15.5" x14ac:dyDescent="0.35">
      <c r="A13" s="177" t="s">
        <v>86</v>
      </c>
      <c r="B13" s="11">
        <f t="shared" si="2"/>
        <v>2033</v>
      </c>
      <c r="C13" s="11"/>
      <c r="D13" s="11"/>
      <c r="E13" s="13"/>
      <c r="F13" s="13"/>
      <c r="G13" s="13"/>
      <c r="H13" s="248"/>
      <c r="I13" s="248"/>
      <c r="J13" s="248"/>
      <c r="K13" s="248"/>
      <c r="L13" s="248"/>
      <c r="M13" s="248"/>
      <c r="N13" s="248"/>
      <c r="O13" s="248"/>
      <c r="P13" s="248">
        <v>0</v>
      </c>
      <c r="Q13" s="248">
        <v>0</v>
      </c>
      <c r="R13" s="248">
        <v>0</v>
      </c>
      <c r="S13" s="248">
        <v>1000000</v>
      </c>
      <c r="T13" s="248">
        <v>1000000</v>
      </c>
      <c r="U13" s="248">
        <v>1000000</v>
      </c>
      <c r="V13" s="248">
        <v>1000000</v>
      </c>
      <c r="W13" s="248">
        <v>1000000</v>
      </c>
      <c r="X13" s="248">
        <v>1000000</v>
      </c>
      <c r="Y13" s="248">
        <v>1000000</v>
      </c>
      <c r="Z13" s="248">
        <v>1000000</v>
      </c>
    </row>
    <row r="14" spans="1:26" ht="15.5" x14ac:dyDescent="0.35">
      <c r="A14" s="177" t="s">
        <v>86</v>
      </c>
      <c r="B14" s="11">
        <f t="shared" si="2"/>
        <v>2034</v>
      </c>
      <c r="C14" s="11"/>
      <c r="D14" s="11"/>
      <c r="E14" s="13"/>
      <c r="F14" s="13"/>
      <c r="G14" s="13"/>
      <c r="H14" s="248"/>
      <c r="I14" s="248"/>
      <c r="J14" s="248"/>
      <c r="K14" s="248"/>
      <c r="L14" s="248"/>
      <c r="M14" s="248"/>
      <c r="N14" s="248"/>
      <c r="O14" s="248"/>
      <c r="P14" s="248"/>
      <c r="Q14" s="248">
        <v>0</v>
      </c>
      <c r="R14" s="248">
        <v>0</v>
      </c>
      <c r="S14" s="248">
        <v>0</v>
      </c>
      <c r="T14" s="248">
        <v>1000000</v>
      </c>
      <c r="U14" s="248">
        <v>1000000</v>
      </c>
      <c r="V14" s="248">
        <v>1000000</v>
      </c>
      <c r="W14" s="248">
        <v>1000000</v>
      </c>
      <c r="X14" s="248">
        <v>1000000</v>
      </c>
      <c r="Y14" s="248">
        <v>1000000</v>
      </c>
      <c r="Z14" s="248">
        <v>1000000</v>
      </c>
    </row>
    <row r="15" spans="1:26" ht="15.5" x14ac:dyDescent="0.35">
      <c r="A15" s="177" t="s">
        <v>86</v>
      </c>
      <c r="B15" s="11">
        <f t="shared" si="2"/>
        <v>2035</v>
      </c>
      <c r="C15" s="11"/>
      <c r="D15" s="11"/>
      <c r="E15" s="13"/>
      <c r="F15" s="13"/>
      <c r="G15" s="13"/>
      <c r="H15" s="248"/>
      <c r="I15" s="248"/>
      <c r="J15" s="248"/>
      <c r="K15" s="248"/>
      <c r="L15" s="248"/>
      <c r="M15" s="248"/>
      <c r="N15" s="248"/>
      <c r="O15" s="248"/>
      <c r="P15" s="248"/>
      <c r="Q15" s="248"/>
      <c r="R15" s="248">
        <v>0</v>
      </c>
      <c r="S15" s="248">
        <v>0</v>
      </c>
      <c r="T15" s="248">
        <v>0</v>
      </c>
      <c r="U15" s="248">
        <v>1000000</v>
      </c>
      <c r="V15" s="248">
        <v>1000000</v>
      </c>
      <c r="W15" s="248">
        <v>1000000</v>
      </c>
      <c r="X15" s="248">
        <v>1000000</v>
      </c>
      <c r="Y15" s="248">
        <v>1000000</v>
      </c>
      <c r="Z15" s="248">
        <v>1000000</v>
      </c>
    </row>
    <row r="16" spans="1:26" ht="15.5" x14ac:dyDescent="0.35">
      <c r="A16" s="177" t="s">
        <v>86</v>
      </c>
      <c r="B16" s="11">
        <f t="shared" si="2"/>
        <v>2036</v>
      </c>
      <c r="C16" s="11"/>
      <c r="D16" s="11"/>
      <c r="E16" s="13"/>
      <c r="F16" s="13"/>
      <c r="G16" s="13"/>
      <c r="H16" s="248"/>
      <c r="I16" s="248"/>
      <c r="J16" s="248"/>
      <c r="K16" s="248"/>
      <c r="L16" s="248"/>
      <c r="M16" s="248"/>
      <c r="N16" s="248"/>
      <c r="O16" s="248"/>
      <c r="P16" s="248"/>
      <c r="Q16" s="248"/>
      <c r="R16" s="248"/>
      <c r="S16" s="248">
        <v>0</v>
      </c>
      <c r="T16" s="248">
        <v>0</v>
      </c>
      <c r="U16" s="248">
        <v>0</v>
      </c>
      <c r="V16" s="248">
        <v>1000000</v>
      </c>
      <c r="W16" s="248">
        <v>1000000</v>
      </c>
      <c r="X16" s="248">
        <v>1000000</v>
      </c>
      <c r="Y16" s="248">
        <v>1000000</v>
      </c>
      <c r="Z16" s="248">
        <v>1000000</v>
      </c>
    </row>
    <row r="17" spans="1:26" ht="15.5" x14ac:dyDescent="0.35">
      <c r="A17" s="177" t="s">
        <v>86</v>
      </c>
      <c r="B17" s="11">
        <f t="shared" si="2"/>
        <v>2037</v>
      </c>
      <c r="C17" s="11"/>
      <c r="D17" s="11"/>
      <c r="E17" s="13"/>
      <c r="F17" s="13"/>
      <c r="G17" s="13"/>
      <c r="H17" s="248"/>
      <c r="I17" s="248"/>
      <c r="J17" s="248"/>
      <c r="K17" s="248"/>
      <c r="L17" s="248"/>
      <c r="M17" s="248"/>
      <c r="N17" s="248"/>
      <c r="O17" s="248"/>
      <c r="P17" s="248"/>
      <c r="Q17" s="248"/>
      <c r="R17" s="248"/>
      <c r="S17" s="248"/>
      <c r="T17" s="248">
        <v>0</v>
      </c>
      <c r="U17" s="248">
        <v>0</v>
      </c>
      <c r="V17" s="248">
        <v>0</v>
      </c>
      <c r="W17" s="248">
        <v>1000000</v>
      </c>
      <c r="X17" s="248">
        <v>1000000</v>
      </c>
      <c r="Y17" s="248">
        <v>1000000</v>
      </c>
      <c r="Z17" s="248">
        <v>1000000</v>
      </c>
    </row>
    <row r="18" spans="1:26" ht="15.5" x14ac:dyDescent="0.35">
      <c r="A18" s="177" t="s">
        <v>86</v>
      </c>
      <c r="B18" s="11">
        <f t="shared" si="2"/>
        <v>2038</v>
      </c>
      <c r="C18" s="11"/>
      <c r="D18" s="11"/>
      <c r="E18" s="13"/>
      <c r="F18" s="13"/>
      <c r="G18" s="13"/>
      <c r="H18" s="248"/>
      <c r="I18" s="248"/>
      <c r="J18" s="248"/>
      <c r="K18" s="248"/>
      <c r="L18" s="248"/>
      <c r="M18" s="248"/>
      <c r="N18" s="248"/>
      <c r="O18" s="248"/>
      <c r="P18" s="248"/>
      <c r="Q18" s="248"/>
      <c r="R18" s="248"/>
      <c r="S18" s="248"/>
      <c r="T18" s="248"/>
      <c r="U18" s="248">
        <v>0</v>
      </c>
      <c r="V18" s="248">
        <v>0</v>
      </c>
      <c r="W18" s="248">
        <v>0</v>
      </c>
      <c r="X18" s="248">
        <v>1000000</v>
      </c>
      <c r="Y18" s="248">
        <v>1000000</v>
      </c>
      <c r="Z18" s="248">
        <v>1000000</v>
      </c>
    </row>
    <row r="19" spans="1:26" ht="15.5" x14ac:dyDescent="0.35">
      <c r="A19" s="177" t="s">
        <v>86</v>
      </c>
      <c r="B19" s="11">
        <f t="shared" si="2"/>
        <v>2039</v>
      </c>
      <c r="C19" s="11"/>
      <c r="D19" s="11"/>
      <c r="E19" s="13"/>
      <c r="F19" s="13"/>
      <c r="G19" s="13"/>
      <c r="H19" s="248"/>
      <c r="I19" s="248"/>
      <c r="J19" s="248"/>
      <c r="K19" s="248"/>
      <c r="L19" s="248"/>
      <c r="M19" s="248"/>
      <c r="N19" s="248"/>
      <c r="O19" s="248"/>
      <c r="P19" s="248"/>
      <c r="Q19" s="248"/>
      <c r="R19" s="248"/>
      <c r="S19" s="248"/>
      <c r="T19" s="248"/>
      <c r="U19" s="248"/>
      <c r="V19" s="248">
        <v>0</v>
      </c>
      <c r="W19" s="248">
        <v>0</v>
      </c>
      <c r="X19" s="248">
        <v>0</v>
      </c>
      <c r="Y19" s="248">
        <v>1000000</v>
      </c>
      <c r="Z19" s="248">
        <v>1000000</v>
      </c>
    </row>
    <row r="20" spans="1:26" ht="15.5" x14ac:dyDescent="0.35">
      <c r="A20" s="177" t="s">
        <v>86</v>
      </c>
      <c r="B20" s="11">
        <f t="shared" si="2"/>
        <v>2040</v>
      </c>
      <c r="C20" s="11"/>
      <c r="D20" s="11"/>
      <c r="E20" s="13"/>
      <c r="F20" s="13"/>
      <c r="G20" s="13"/>
      <c r="H20" s="248"/>
      <c r="I20" s="248"/>
      <c r="J20" s="248"/>
      <c r="K20" s="248"/>
      <c r="L20" s="248"/>
      <c r="M20" s="248"/>
      <c r="N20" s="248"/>
      <c r="O20" s="248"/>
      <c r="P20" s="248"/>
      <c r="Q20" s="248"/>
      <c r="R20" s="248"/>
      <c r="S20" s="248"/>
      <c r="T20" s="248"/>
      <c r="U20" s="248"/>
      <c r="V20" s="248"/>
      <c r="W20" s="248">
        <v>0</v>
      </c>
      <c r="X20" s="248">
        <v>0</v>
      </c>
      <c r="Y20" s="248">
        <v>0</v>
      </c>
      <c r="Z20" s="248">
        <v>1000000</v>
      </c>
    </row>
    <row r="21" spans="1:26" ht="15.5" x14ac:dyDescent="0.35">
      <c r="A21" s="177" t="s">
        <v>86</v>
      </c>
      <c r="B21" s="11">
        <f t="shared" si="2"/>
        <v>2041</v>
      </c>
      <c r="C21" s="11"/>
      <c r="D21" s="11"/>
      <c r="E21" s="13"/>
      <c r="F21" s="13"/>
      <c r="G21" s="13"/>
      <c r="H21" s="248"/>
      <c r="I21" s="248"/>
      <c r="J21" s="248"/>
      <c r="K21" s="248"/>
      <c r="L21" s="248"/>
      <c r="M21" s="248"/>
      <c r="N21" s="248"/>
      <c r="O21" s="248"/>
      <c r="P21" s="248"/>
      <c r="Q21" s="248"/>
      <c r="R21" s="248"/>
      <c r="S21" s="248"/>
      <c r="T21" s="248"/>
      <c r="U21" s="248"/>
      <c r="V21" s="248"/>
      <c r="W21" s="248"/>
      <c r="X21" s="248"/>
      <c r="Y21" s="248"/>
      <c r="Z21" s="248"/>
    </row>
    <row r="22" spans="1:26" ht="15.5" x14ac:dyDescent="0.35">
      <c r="A22" s="177" t="s">
        <v>86</v>
      </c>
      <c r="B22" s="11">
        <f t="shared" si="2"/>
        <v>2042</v>
      </c>
      <c r="C22" s="11"/>
      <c r="D22" s="11"/>
      <c r="E22" s="13"/>
      <c r="F22" s="13"/>
      <c r="G22" s="13"/>
      <c r="H22" s="248"/>
      <c r="I22" s="248"/>
      <c r="J22" s="248"/>
      <c r="K22" s="248"/>
      <c r="L22" s="248"/>
      <c r="M22" s="248"/>
      <c r="N22" s="248"/>
      <c r="O22" s="248"/>
      <c r="P22" s="248"/>
      <c r="Q22" s="248"/>
      <c r="R22" s="248"/>
      <c r="S22" s="248"/>
      <c r="T22" s="248"/>
      <c r="U22" s="248"/>
      <c r="V22" s="248"/>
      <c r="W22" s="248"/>
      <c r="X22" s="248"/>
      <c r="Y22" s="248"/>
      <c r="Z22" s="248"/>
    </row>
    <row r="23" spans="1:26" ht="15.5" x14ac:dyDescent="0.35">
      <c r="A23" s="12" t="s">
        <v>87</v>
      </c>
      <c r="B23" s="11">
        <v>2022</v>
      </c>
      <c r="C23" s="11"/>
      <c r="D23" s="11"/>
      <c r="E23" s="9"/>
      <c r="F23" s="9"/>
      <c r="G23" s="9"/>
      <c r="H23" s="249">
        <v>1891521</v>
      </c>
      <c r="I23" s="249">
        <v>1882063.395</v>
      </c>
      <c r="J23" s="249">
        <v>1872653.0780249999</v>
      </c>
      <c r="K23" s="249">
        <v>1863289.8126348751</v>
      </c>
      <c r="L23" s="249">
        <v>1853973.3635717006</v>
      </c>
      <c r="M23" s="249">
        <v>1844703.4967538421</v>
      </c>
      <c r="N23" s="249">
        <v>1835479.9792700727</v>
      </c>
      <c r="O23" s="249">
        <v>1826302.5793737224</v>
      </c>
      <c r="P23" s="249">
        <v>1817171.0664768536</v>
      </c>
      <c r="Q23" s="249">
        <v>1808085.2111444692</v>
      </c>
      <c r="R23" s="249">
        <v>1799044.7850887468</v>
      </c>
      <c r="S23" s="249">
        <v>1790049.5611633032</v>
      </c>
      <c r="T23" s="249">
        <v>1781099.3133574869</v>
      </c>
      <c r="U23" s="249">
        <v>1772193.8167906995</v>
      </c>
      <c r="V23" s="249">
        <v>1763332.8477067458</v>
      </c>
      <c r="W23" s="249">
        <v>1754516.1834682119</v>
      </c>
      <c r="X23" s="249">
        <v>1745743.602550871</v>
      </c>
      <c r="Y23" s="249">
        <v>1737014.8845381164</v>
      </c>
      <c r="Z23" s="249">
        <v>1737015.8845381199</v>
      </c>
    </row>
    <row r="24" spans="1:26" ht="15.5" x14ac:dyDescent="0.35">
      <c r="A24" s="12" t="s">
        <v>87</v>
      </c>
      <c r="B24" s="11">
        <f>B23+1</f>
        <v>2023</v>
      </c>
      <c r="C24" s="11"/>
      <c r="D24" s="11"/>
      <c r="E24" s="9"/>
      <c r="F24" s="9">
        <v>0</v>
      </c>
      <c r="G24" s="9">
        <v>0</v>
      </c>
      <c r="H24" s="249">
        <v>0</v>
      </c>
      <c r="I24" s="249">
        <v>2251008</v>
      </c>
      <c r="J24" s="249">
        <f>I24*'Indexed REC Calculator'!$B$92</f>
        <v>2239752.96</v>
      </c>
      <c r="K24" s="249">
        <f>J24*'Indexed REC Calculator'!$B$92</f>
        <v>2228554.1952</v>
      </c>
      <c r="L24" s="249">
        <f>K24*'Indexed REC Calculator'!$B$92</f>
        <v>2217411.424224</v>
      </c>
      <c r="M24" s="249">
        <f>L24*'Indexed REC Calculator'!$B$92</f>
        <v>2206324.36710288</v>
      </c>
      <c r="N24" s="249">
        <f>M24*'Indexed REC Calculator'!$B$92</f>
        <v>2195292.7452673656</v>
      </c>
      <c r="O24" s="249">
        <f>N24*'Indexed REC Calculator'!$B$92</f>
        <v>2184316.2815410285</v>
      </c>
      <c r="P24" s="249">
        <f>O24*'Indexed REC Calculator'!$B$92</f>
        <v>2173394.7001333232</v>
      </c>
      <c r="Q24" s="249">
        <f>P24*'Indexed REC Calculator'!$B$92</f>
        <v>2162527.7266326565</v>
      </c>
      <c r="R24" s="249">
        <f>Q24*'Indexed REC Calculator'!$B$92</f>
        <v>2151715.0879994933</v>
      </c>
      <c r="S24" s="249">
        <f>R24*'Indexed REC Calculator'!$B$92</f>
        <v>2140956.5125594959</v>
      </c>
      <c r="T24" s="249">
        <f>S24*'Indexed REC Calculator'!$B$92</f>
        <v>2130251.7299966984</v>
      </c>
      <c r="U24" s="249">
        <f>T24*'Indexed REC Calculator'!$B$92</f>
        <v>2119600.471346715</v>
      </c>
      <c r="V24" s="249">
        <f>U24*'Indexed REC Calculator'!$B$92</f>
        <v>2109002.4689899813</v>
      </c>
      <c r="W24" s="249">
        <f>V24*'Indexed REC Calculator'!$B$92</f>
        <v>2098457.4566450315</v>
      </c>
      <c r="X24" s="249">
        <f>W24*'Indexed REC Calculator'!$B$92</f>
        <v>2087965.1693618062</v>
      </c>
      <c r="Y24" s="249">
        <f>X24*'Indexed REC Calculator'!$B$92</f>
        <v>2077525.3435149973</v>
      </c>
      <c r="Z24" s="249">
        <f>Y24*'Indexed REC Calculator'!$B$92</f>
        <v>2067137.7167974224</v>
      </c>
    </row>
    <row r="25" spans="1:26" ht="15.5" x14ac:dyDescent="0.35">
      <c r="A25" s="12" t="s">
        <v>87</v>
      </c>
      <c r="B25" s="11">
        <f t="shared" ref="B25:B43" si="4">B24+1</f>
        <v>2024</v>
      </c>
      <c r="C25" s="11"/>
      <c r="D25" s="11"/>
      <c r="E25" s="9"/>
      <c r="F25" s="9"/>
      <c r="G25" s="9">
        <v>0</v>
      </c>
      <c r="H25" s="249">
        <v>0</v>
      </c>
      <c r="I25" s="249">
        <v>0</v>
      </c>
      <c r="J25" s="249">
        <v>1333332</v>
      </c>
      <c r="K25" s="249">
        <f>J25*'Indexed REC Calculator'!$B$92</f>
        <v>1326665.3400000001</v>
      </c>
      <c r="L25" s="249">
        <f>K25*'Indexed REC Calculator'!$B$92</f>
        <v>1320032.0133</v>
      </c>
      <c r="M25" s="249">
        <f>L25*'Indexed REC Calculator'!$B$92</f>
        <v>1313431.8532334999</v>
      </c>
      <c r="N25" s="249">
        <f>M25*'Indexed REC Calculator'!$B$92</f>
        <v>1306864.6939673324</v>
      </c>
      <c r="O25" s="249">
        <f>N25*'Indexed REC Calculator'!$B$92</f>
        <v>1300330.3704974956</v>
      </c>
      <c r="P25" s="249">
        <f>O25*'Indexed REC Calculator'!$B$92</f>
        <v>1293828.718645008</v>
      </c>
      <c r="Q25" s="249">
        <f>P25*'Indexed REC Calculator'!$B$92</f>
        <v>1287359.5750517831</v>
      </c>
      <c r="R25" s="249">
        <f>Q25*'Indexed REC Calculator'!$B$92</f>
        <v>1280922.7771765243</v>
      </c>
      <c r="S25" s="249">
        <f>R25*'Indexed REC Calculator'!$B$92</f>
        <v>1274518.1632906417</v>
      </c>
      <c r="T25" s="249">
        <f>S25*'Indexed REC Calculator'!$B$92</f>
        <v>1268145.5724741886</v>
      </c>
      <c r="U25" s="249">
        <f>T25*'Indexed REC Calculator'!$B$92</f>
        <v>1261804.8446118177</v>
      </c>
      <c r="V25" s="249">
        <f>U25*'Indexed REC Calculator'!$B$92</f>
        <v>1255495.8203887586</v>
      </c>
      <c r="W25" s="249">
        <f>V25*'Indexed REC Calculator'!$B$92</f>
        <v>1249218.3412868148</v>
      </c>
      <c r="X25" s="249">
        <f>W25*'Indexed REC Calculator'!$B$92</f>
        <v>1242972.2495803807</v>
      </c>
      <c r="Y25" s="249">
        <f>X25*'Indexed REC Calculator'!$B$92</f>
        <v>1236757.3883324789</v>
      </c>
      <c r="Z25" s="249">
        <f>Y25*'Indexed REC Calculator'!$B$92</f>
        <v>1230573.6013908165</v>
      </c>
    </row>
    <row r="26" spans="1:26" ht="15.5" x14ac:dyDescent="0.35">
      <c r="A26" s="12" t="s">
        <v>87</v>
      </c>
      <c r="B26" s="11">
        <f t="shared" si="4"/>
        <v>2025</v>
      </c>
      <c r="C26" s="11"/>
      <c r="D26" s="11"/>
      <c r="E26" s="9"/>
      <c r="F26" s="9"/>
      <c r="G26" s="9"/>
      <c r="H26" s="249">
        <v>0</v>
      </c>
      <c r="I26" s="249">
        <v>0</v>
      </c>
      <c r="J26" s="249">
        <v>0</v>
      </c>
      <c r="K26" s="249">
        <v>1500000</v>
      </c>
      <c r="L26" s="249">
        <f>K26*'Indexed REC Calculator'!$B$92</f>
        <v>1492500</v>
      </c>
      <c r="M26" s="249">
        <f>L26*'Indexed REC Calculator'!$B$92</f>
        <v>1485037.5</v>
      </c>
      <c r="N26" s="249">
        <f>M26*'Indexed REC Calculator'!$B$92</f>
        <v>1477612.3125</v>
      </c>
      <c r="O26" s="249">
        <f>N26*'Indexed REC Calculator'!$B$92</f>
        <v>1470224.2509375</v>
      </c>
      <c r="P26" s="249">
        <f>O26*'Indexed REC Calculator'!$B$92</f>
        <v>1462873.1296828126</v>
      </c>
      <c r="Q26" s="249">
        <f>P26*'Indexed REC Calculator'!$B$92</f>
        <v>1455558.7640343986</v>
      </c>
      <c r="R26" s="249">
        <f>Q26*'Indexed REC Calculator'!$B$92</f>
        <v>1448280.9702142265</v>
      </c>
      <c r="S26" s="249">
        <f>R26*'Indexed REC Calculator'!$B$92</f>
        <v>1441039.5653631554</v>
      </c>
      <c r="T26" s="249">
        <f>S26*'Indexed REC Calculator'!$B$92</f>
        <v>1433834.3675363397</v>
      </c>
      <c r="U26" s="249">
        <f>T26*'Indexed REC Calculator'!$B$92</f>
        <v>1426665.195698658</v>
      </c>
      <c r="V26" s="249">
        <f>U26*'Indexed REC Calculator'!$B$92</f>
        <v>1419531.8697201647</v>
      </c>
      <c r="W26" s="249">
        <f>V26*'Indexed REC Calculator'!$B$92</f>
        <v>1412434.2103715639</v>
      </c>
      <c r="X26" s="249">
        <f>W26*'Indexed REC Calculator'!$B$92</f>
        <v>1405372.0393197061</v>
      </c>
      <c r="Y26" s="249">
        <f>X26*'Indexed REC Calculator'!$B$92</f>
        <v>1398345.1791231076</v>
      </c>
      <c r="Z26" s="249">
        <f>Y26*'Indexed REC Calculator'!$B$92</f>
        <v>1391353.453227492</v>
      </c>
    </row>
    <row r="27" spans="1:26" ht="15.5" x14ac:dyDescent="0.35">
      <c r="A27" s="12" t="s">
        <v>87</v>
      </c>
      <c r="B27" s="11">
        <f t="shared" si="4"/>
        <v>2026</v>
      </c>
      <c r="C27" s="11"/>
      <c r="D27" s="11"/>
      <c r="E27" s="9"/>
      <c r="F27" s="9"/>
      <c r="G27" s="9"/>
      <c r="H27" s="249"/>
      <c r="I27" s="249">
        <v>0</v>
      </c>
      <c r="J27" s="249">
        <v>0</v>
      </c>
      <c r="K27" s="249">
        <v>0</v>
      </c>
      <c r="L27" s="249">
        <v>1500000</v>
      </c>
      <c r="M27" s="249">
        <f>L27*'Indexed REC Calculator'!$B$92</f>
        <v>1492500</v>
      </c>
      <c r="N27" s="249">
        <f>M27*'Indexed REC Calculator'!$B$92</f>
        <v>1485037.5</v>
      </c>
      <c r="O27" s="249">
        <f>N27*'Indexed REC Calculator'!$B$92</f>
        <v>1477612.3125</v>
      </c>
      <c r="P27" s="249">
        <f>O27*'Indexed REC Calculator'!$B$92</f>
        <v>1470224.2509375</v>
      </c>
      <c r="Q27" s="249">
        <f>P27*'Indexed REC Calculator'!$B$92</f>
        <v>1462873.1296828126</v>
      </c>
      <c r="R27" s="249">
        <f>Q27*'Indexed REC Calculator'!$B$92</f>
        <v>1455558.7640343986</v>
      </c>
      <c r="S27" s="249">
        <f>R27*'Indexed REC Calculator'!$B$92</f>
        <v>1448280.9702142265</v>
      </c>
      <c r="T27" s="249">
        <f>S27*'Indexed REC Calculator'!$B$92</f>
        <v>1441039.5653631554</v>
      </c>
      <c r="U27" s="249">
        <f>T27*'Indexed REC Calculator'!$B$92</f>
        <v>1433834.3675363397</v>
      </c>
      <c r="V27" s="249">
        <f>U27*'Indexed REC Calculator'!$B$92</f>
        <v>1426665.195698658</v>
      </c>
      <c r="W27" s="249">
        <f>V27*'Indexed REC Calculator'!$B$92</f>
        <v>1419531.8697201647</v>
      </c>
      <c r="X27" s="249">
        <f>W27*'Indexed REC Calculator'!$B$92</f>
        <v>1412434.2103715639</v>
      </c>
      <c r="Y27" s="249">
        <f>X27*'Indexed REC Calculator'!$B$92</f>
        <v>1405372.0393197061</v>
      </c>
      <c r="Z27" s="249">
        <f>Y27*'Indexed REC Calculator'!$B$92</f>
        <v>1398345.1791231076</v>
      </c>
    </row>
    <row r="28" spans="1:26" ht="15.5" x14ac:dyDescent="0.35">
      <c r="A28" s="12" t="s">
        <v>87</v>
      </c>
      <c r="B28" s="11">
        <f t="shared" si="4"/>
        <v>2027</v>
      </c>
      <c r="C28" s="11"/>
      <c r="D28" s="11"/>
      <c r="E28" s="9"/>
      <c r="F28" s="9"/>
      <c r="G28" s="9"/>
      <c r="H28" s="249"/>
      <c r="I28" s="249"/>
      <c r="J28" s="249">
        <v>0</v>
      </c>
      <c r="K28" s="249">
        <v>0</v>
      </c>
      <c r="L28" s="249">
        <v>0</v>
      </c>
      <c r="M28" s="249">
        <v>1500000</v>
      </c>
      <c r="N28" s="249">
        <f>M28*'Indexed REC Calculator'!$B$92</f>
        <v>1492500</v>
      </c>
      <c r="O28" s="249">
        <f>N28*'Indexed REC Calculator'!$B$92</f>
        <v>1485037.5</v>
      </c>
      <c r="P28" s="249">
        <f>O28*'Indexed REC Calculator'!$B$92</f>
        <v>1477612.3125</v>
      </c>
      <c r="Q28" s="249">
        <f>P28*'Indexed REC Calculator'!$B$92</f>
        <v>1470224.2509375</v>
      </c>
      <c r="R28" s="249">
        <f>Q28*'Indexed REC Calculator'!$B$92</f>
        <v>1462873.1296828126</v>
      </c>
      <c r="S28" s="249">
        <f>R28*'Indexed REC Calculator'!$B$92</f>
        <v>1455558.7640343986</v>
      </c>
      <c r="T28" s="249">
        <f>S28*'Indexed REC Calculator'!$B$92</f>
        <v>1448280.9702142265</v>
      </c>
      <c r="U28" s="249">
        <f>T28*'Indexed REC Calculator'!$B$92</f>
        <v>1441039.5653631554</v>
      </c>
      <c r="V28" s="249">
        <f>U28*'Indexed REC Calculator'!$B$92</f>
        <v>1433834.3675363397</v>
      </c>
      <c r="W28" s="249">
        <f>V28*'Indexed REC Calculator'!$B$92</f>
        <v>1426665.195698658</v>
      </c>
      <c r="X28" s="249">
        <f>W28*'Indexed REC Calculator'!$B$92</f>
        <v>1419531.8697201647</v>
      </c>
      <c r="Y28" s="249">
        <f>X28*'Indexed REC Calculator'!$B$92</f>
        <v>1412434.2103715639</v>
      </c>
      <c r="Z28" s="249">
        <f>Y28*'Indexed REC Calculator'!$B$92</f>
        <v>1405372.0393197061</v>
      </c>
    </row>
    <row r="29" spans="1:26" ht="15.5" x14ac:dyDescent="0.35">
      <c r="A29" s="12" t="s">
        <v>87</v>
      </c>
      <c r="B29" s="11">
        <f t="shared" si="4"/>
        <v>2028</v>
      </c>
      <c r="C29" s="11"/>
      <c r="D29" s="11"/>
      <c r="E29" s="9"/>
      <c r="F29" s="9"/>
      <c r="G29" s="9"/>
      <c r="H29" s="249"/>
      <c r="I29" s="249"/>
      <c r="J29" s="249"/>
      <c r="K29" s="249">
        <v>0</v>
      </c>
      <c r="L29" s="249">
        <v>0</v>
      </c>
      <c r="M29" s="249">
        <v>0</v>
      </c>
      <c r="N29" s="249">
        <v>1000000</v>
      </c>
      <c r="O29" s="249">
        <f>N29*'Indexed REC Calculator'!$B$92</f>
        <v>995000</v>
      </c>
      <c r="P29" s="249">
        <f>O29*'Indexed REC Calculator'!$B$92</f>
        <v>990025</v>
      </c>
      <c r="Q29" s="249">
        <f>P29*'Indexed REC Calculator'!$B$92</f>
        <v>985074.875</v>
      </c>
      <c r="R29" s="249">
        <f>Q29*'Indexed REC Calculator'!$B$92</f>
        <v>980149.50062499999</v>
      </c>
      <c r="S29" s="249">
        <f>R29*'Indexed REC Calculator'!$B$92</f>
        <v>975248.75312187499</v>
      </c>
      <c r="T29" s="249">
        <f>S29*'Indexed REC Calculator'!$B$92</f>
        <v>970372.50935626565</v>
      </c>
      <c r="U29" s="249">
        <f>T29*'Indexed REC Calculator'!$B$92</f>
        <v>965520.64680948434</v>
      </c>
      <c r="V29" s="249">
        <f>U29*'Indexed REC Calculator'!$B$92</f>
        <v>960693.04357543692</v>
      </c>
      <c r="W29" s="249">
        <f>V29*'Indexed REC Calculator'!$B$92</f>
        <v>955889.57835755975</v>
      </c>
      <c r="X29" s="249">
        <f>W29*'Indexed REC Calculator'!$B$92</f>
        <v>951110.13046577189</v>
      </c>
      <c r="Y29" s="249">
        <f>X29*'Indexed REC Calculator'!$B$92</f>
        <v>946354.57981344301</v>
      </c>
      <c r="Z29" s="249">
        <f>Y29*'Indexed REC Calculator'!$B$92</f>
        <v>941622.80691437575</v>
      </c>
    </row>
    <row r="30" spans="1:26" ht="15.5" x14ac:dyDescent="0.35">
      <c r="A30" s="12" t="s">
        <v>87</v>
      </c>
      <c r="B30" s="11">
        <f t="shared" si="4"/>
        <v>2029</v>
      </c>
      <c r="C30" s="11"/>
      <c r="D30" s="11"/>
      <c r="E30" s="9"/>
      <c r="F30" s="9"/>
      <c r="G30" s="9"/>
      <c r="H30" s="249"/>
      <c r="I30" s="249"/>
      <c r="J30" s="249"/>
      <c r="K30" s="249"/>
      <c r="L30" s="249">
        <v>0</v>
      </c>
      <c r="M30" s="249">
        <v>0</v>
      </c>
      <c r="N30" s="249">
        <v>0</v>
      </c>
      <c r="O30" s="249">
        <v>1000000</v>
      </c>
      <c r="P30" s="249">
        <f>O30*'Indexed REC Calculator'!$B$92</f>
        <v>995000</v>
      </c>
      <c r="Q30" s="249">
        <f>P30*'Indexed REC Calculator'!$B$92</f>
        <v>990025</v>
      </c>
      <c r="R30" s="249">
        <f>Q30*'Indexed REC Calculator'!$B$92</f>
        <v>985074.875</v>
      </c>
      <c r="S30" s="249">
        <f>R30*'Indexed REC Calculator'!$B$92</f>
        <v>980149.50062499999</v>
      </c>
      <c r="T30" s="249">
        <f>S30*'Indexed REC Calculator'!$B$92</f>
        <v>975248.75312187499</v>
      </c>
      <c r="U30" s="249">
        <f>T30*'Indexed REC Calculator'!$B$92</f>
        <v>970372.50935626565</v>
      </c>
      <c r="V30" s="249">
        <f>U30*'Indexed REC Calculator'!$B$92</f>
        <v>965520.64680948434</v>
      </c>
      <c r="W30" s="249">
        <f>V30*'Indexed REC Calculator'!$B$92</f>
        <v>960693.04357543692</v>
      </c>
      <c r="X30" s="249">
        <f>W30*'Indexed REC Calculator'!$B$92</f>
        <v>955889.57835755975</v>
      </c>
      <c r="Y30" s="249">
        <f>X30*'Indexed REC Calculator'!$B$92</f>
        <v>951110.13046577189</v>
      </c>
      <c r="Z30" s="249">
        <f>Y30*'Indexed REC Calculator'!$B$92</f>
        <v>946354.57981344301</v>
      </c>
    </row>
    <row r="31" spans="1:26" ht="15.5" x14ac:dyDescent="0.35">
      <c r="A31" s="12" t="s">
        <v>87</v>
      </c>
      <c r="B31" s="11">
        <f t="shared" si="4"/>
        <v>2030</v>
      </c>
      <c r="C31" s="11"/>
      <c r="D31" s="11"/>
      <c r="E31" s="9"/>
      <c r="F31" s="9"/>
      <c r="G31" s="9"/>
      <c r="H31" s="249"/>
      <c r="I31" s="249"/>
      <c r="J31" s="249"/>
      <c r="K31" s="249"/>
      <c r="L31" s="249"/>
      <c r="M31" s="249">
        <v>0</v>
      </c>
      <c r="N31" s="249">
        <v>0</v>
      </c>
      <c r="O31" s="249">
        <v>0</v>
      </c>
      <c r="P31" s="249">
        <v>750000</v>
      </c>
      <c r="Q31" s="249">
        <f>P31*'Indexed REC Calculator'!$B$92</f>
        <v>746250</v>
      </c>
      <c r="R31" s="249">
        <f>Q31*'Indexed REC Calculator'!$B$92</f>
        <v>742518.75</v>
      </c>
      <c r="S31" s="249">
        <f>R31*'Indexed REC Calculator'!$B$92</f>
        <v>738806.15625</v>
      </c>
      <c r="T31" s="249">
        <f>S31*'Indexed REC Calculator'!$B$92</f>
        <v>735112.12546875002</v>
      </c>
      <c r="U31" s="249">
        <f>T31*'Indexed REC Calculator'!$B$92</f>
        <v>731436.5648414063</v>
      </c>
      <c r="V31" s="249">
        <f>U31*'Indexed REC Calculator'!$B$92</f>
        <v>727779.3820171993</v>
      </c>
      <c r="W31" s="249">
        <f>V31*'Indexed REC Calculator'!$B$92</f>
        <v>724140.48510711326</v>
      </c>
      <c r="X31" s="249">
        <f>W31*'Indexed REC Calculator'!$B$92</f>
        <v>720519.78268157772</v>
      </c>
      <c r="Y31" s="249">
        <f>X31*'Indexed REC Calculator'!$B$92</f>
        <v>716917.18376816984</v>
      </c>
      <c r="Z31" s="249">
        <f>Y31*'Indexed REC Calculator'!$B$92</f>
        <v>713332.597849329</v>
      </c>
    </row>
    <row r="32" spans="1:26" ht="15.5" x14ac:dyDescent="0.35">
      <c r="A32" s="12" t="s">
        <v>87</v>
      </c>
      <c r="B32" s="11">
        <f t="shared" si="4"/>
        <v>2031</v>
      </c>
      <c r="C32" s="11"/>
      <c r="D32" s="11"/>
      <c r="E32" s="9"/>
      <c r="F32" s="9"/>
      <c r="G32" s="9"/>
      <c r="H32" s="249"/>
      <c r="I32" s="249"/>
      <c r="J32" s="249"/>
      <c r="K32" s="249"/>
      <c r="L32" s="249"/>
      <c r="M32" s="249"/>
      <c r="N32" s="249">
        <v>0</v>
      </c>
      <c r="O32" s="249">
        <v>0</v>
      </c>
      <c r="P32" s="249">
        <v>0</v>
      </c>
      <c r="Q32" s="249">
        <v>750000</v>
      </c>
      <c r="R32" s="249">
        <f>Q32*'Indexed REC Calculator'!$B$92</f>
        <v>746250</v>
      </c>
      <c r="S32" s="249">
        <f>R32*'Indexed REC Calculator'!$B$92</f>
        <v>742518.75</v>
      </c>
      <c r="T32" s="249">
        <f>S32*'Indexed REC Calculator'!$B$92</f>
        <v>738806.15625</v>
      </c>
      <c r="U32" s="249">
        <f>T32*'Indexed REC Calculator'!$B$92</f>
        <v>735112.12546875002</v>
      </c>
      <c r="V32" s="249">
        <f>U32*'Indexed REC Calculator'!$B$92</f>
        <v>731436.5648414063</v>
      </c>
      <c r="W32" s="249">
        <f>V32*'Indexed REC Calculator'!$B$92</f>
        <v>727779.3820171993</v>
      </c>
      <c r="X32" s="249">
        <f>W32*'Indexed REC Calculator'!$B$92</f>
        <v>724140.48510711326</v>
      </c>
      <c r="Y32" s="249">
        <f>X32*'Indexed REC Calculator'!$B$92</f>
        <v>720519.78268157772</v>
      </c>
      <c r="Z32" s="249">
        <f>Y32*'Indexed REC Calculator'!$B$92</f>
        <v>716917.18376816984</v>
      </c>
    </row>
    <row r="33" spans="1:48" ht="15.5" x14ac:dyDescent="0.35">
      <c r="A33" s="12" t="s">
        <v>87</v>
      </c>
      <c r="B33" s="11">
        <f t="shared" si="4"/>
        <v>2032</v>
      </c>
      <c r="C33" s="11"/>
      <c r="D33" s="11"/>
      <c r="E33" s="9"/>
      <c r="F33" s="9"/>
      <c r="G33" s="9"/>
      <c r="H33" s="249"/>
      <c r="I33" s="249"/>
      <c r="J33" s="249"/>
      <c r="K33" s="249"/>
      <c r="L33" s="249"/>
      <c r="M33" s="249"/>
      <c r="N33" s="249"/>
      <c r="O33" s="249">
        <v>0</v>
      </c>
      <c r="P33" s="249">
        <v>0</v>
      </c>
      <c r="Q33" s="249">
        <v>0</v>
      </c>
      <c r="R33" s="249">
        <v>750000</v>
      </c>
      <c r="S33" s="249">
        <f>R33*'Indexed REC Calculator'!$B$92</f>
        <v>746250</v>
      </c>
      <c r="T33" s="249">
        <f>S33*'Indexed REC Calculator'!$B$92</f>
        <v>742518.75</v>
      </c>
      <c r="U33" s="249">
        <f>T33*'Indexed REC Calculator'!$B$92</f>
        <v>738806.15625</v>
      </c>
      <c r="V33" s="249">
        <f>U33*'Indexed REC Calculator'!$B$92</f>
        <v>735112.12546875002</v>
      </c>
      <c r="W33" s="249">
        <f>V33*'Indexed REC Calculator'!$B$92</f>
        <v>731436.5648414063</v>
      </c>
      <c r="X33" s="249">
        <f>W33*'Indexed REC Calculator'!$B$92</f>
        <v>727779.3820171993</v>
      </c>
      <c r="Y33" s="249">
        <f>X33*'Indexed REC Calculator'!$B$92</f>
        <v>724140.48510711326</v>
      </c>
      <c r="Z33" s="249">
        <f>Y33*'Indexed REC Calculator'!$B$92</f>
        <v>720519.78268157772</v>
      </c>
    </row>
    <row r="34" spans="1:48" ht="15.5" x14ac:dyDescent="0.35">
      <c r="A34" s="12" t="s">
        <v>87</v>
      </c>
      <c r="B34" s="11">
        <f t="shared" si="4"/>
        <v>2033</v>
      </c>
      <c r="C34" s="11"/>
      <c r="D34" s="11"/>
      <c r="E34" s="9"/>
      <c r="F34" s="9"/>
      <c r="G34" s="9"/>
      <c r="H34" s="249"/>
      <c r="I34" s="249"/>
      <c r="J34" s="249"/>
      <c r="K34" s="249"/>
      <c r="L34" s="249"/>
      <c r="M34" s="249"/>
      <c r="N34" s="249"/>
      <c r="O34" s="249"/>
      <c r="P34" s="249">
        <v>0</v>
      </c>
      <c r="Q34" s="249">
        <v>0</v>
      </c>
      <c r="R34" s="249">
        <v>0</v>
      </c>
      <c r="S34" s="249">
        <v>750000</v>
      </c>
      <c r="T34" s="249">
        <f>S34*'Indexed REC Calculator'!$B$92</f>
        <v>746250</v>
      </c>
      <c r="U34" s="249">
        <f>T34*'Indexed REC Calculator'!$B$92</f>
        <v>742518.75</v>
      </c>
      <c r="V34" s="249">
        <f>U34*'Indexed REC Calculator'!$B$92</f>
        <v>738806.15625</v>
      </c>
      <c r="W34" s="249">
        <f>V34*'Indexed REC Calculator'!$B$92</f>
        <v>735112.12546875002</v>
      </c>
      <c r="X34" s="249">
        <f>W34*'Indexed REC Calculator'!$B$92</f>
        <v>731436.5648414063</v>
      </c>
      <c r="Y34" s="249">
        <f>X34*'Indexed REC Calculator'!$B$92</f>
        <v>727779.3820171993</v>
      </c>
      <c r="Z34" s="249">
        <f>Y34*'Indexed REC Calculator'!$B$92</f>
        <v>724140.48510711326</v>
      </c>
    </row>
    <row r="35" spans="1:48" ht="15.5" x14ac:dyDescent="0.35">
      <c r="A35" s="12" t="s">
        <v>87</v>
      </c>
      <c r="B35" s="11">
        <f t="shared" si="4"/>
        <v>2034</v>
      </c>
      <c r="C35" s="11"/>
      <c r="D35" s="11"/>
      <c r="E35" s="9"/>
      <c r="F35" s="9"/>
      <c r="G35" s="9"/>
      <c r="H35" s="249"/>
      <c r="I35" s="249"/>
      <c r="J35" s="249"/>
      <c r="K35" s="249"/>
      <c r="L35" s="249"/>
      <c r="M35" s="249"/>
      <c r="N35" s="249"/>
      <c r="O35" s="249"/>
      <c r="P35" s="249"/>
      <c r="Q35" s="249">
        <v>0</v>
      </c>
      <c r="R35" s="249">
        <v>0</v>
      </c>
      <c r="S35" s="249">
        <v>0</v>
      </c>
      <c r="T35" s="249">
        <v>750000</v>
      </c>
      <c r="U35" s="249">
        <f>T35*'Indexed REC Calculator'!$B$92</f>
        <v>746250</v>
      </c>
      <c r="V35" s="249">
        <f>U35*'Indexed REC Calculator'!$B$92</f>
        <v>742518.75</v>
      </c>
      <c r="W35" s="249">
        <f>V35*'Indexed REC Calculator'!$B$92</f>
        <v>738806.15625</v>
      </c>
      <c r="X35" s="249">
        <f>W35*'Indexed REC Calculator'!$B$92</f>
        <v>735112.12546875002</v>
      </c>
      <c r="Y35" s="249">
        <f>X35*'Indexed REC Calculator'!$B$92</f>
        <v>731436.5648414063</v>
      </c>
      <c r="Z35" s="249">
        <f>Y35*'Indexed REC Calculator'!$B$92</f>
        <v>727779.3820171993</v>
      </c>
    </row>
    <row r="36" spans="1:48" ht="15.5" x14ac:dyDescent="0.35">
      <c r="A36" s="12" t="s">
        <v>87</v>
      </c>
      <c r="B36" s="11">
        <f t="shared" si="4"/>
        <v>2035</v>
      </c>
      <c r="C36" s="11"/>
      <c r="D36" s="11"/>
      <c r="E36" s="9"/>
      <c r="F36" s="9"/>
      <c r="G36" s="9"/>
      <c r="H36" s="249"/>
      <c r="I36" s="249"/>
      <c r="J36" s="249"/>
      <c r="K36" s="249"/>
      <c r="L36" s="249"/>
      <c r="M36" s="249"/>
      <c r="N36" s="249"/>
      <c r="O36" s="249"/>
      <c r="P36" s="249"/>
      <c r="Q36" s="249"/>
      <c r="R36" s="249">
        <v>0</v>
      </c>
      <c r="S36" s="249">
        <v>0</v>
      </c>
      <c r="T36" s="249">
        <v>0</v>
      </c>
      <c r="U36" s="249">
        <v>750000</v>
      </c>
      <c r="V36" s="249">
        <f>U36*'Indexed REC Calculator'!$B$92</f>
        <v>746250</v>
      </c>
      <c r="W36" s="249">
        <f>V36*'Indexed REC Calculator'!$B$92</f>
        <v>742518.75</v>
      </c>
      <c r="X36" s="249">
        <f>W36*'Indexed REC Calculator'!$B$92</f>
        <v>738806.15625</v>
      </c>
      <c r="Y36" s="249">
        <f>X36*'Indexed REC Calculator'!$B$92</f>
        <v>735112.12546875002</v>
      </c>
      <c r="Z36" s="249">
        <f>Y36*'Indexed REC Calculator'!$B$92</f>
        <v>731436.5648414063</v>
      </c>
    </row>
    <row r="37" spans="1:48" ht="15.5" x14ac:dyDescent="0.35">
      <c r="A37" s="12" t="s">
        <v>87</v>
      </c>
      <c r="B37" s="11">
        <f t="shared" si="4"/>
        <v>2036</v>
      </c>
      <c r="C37" s="11"/>
      <c r="D37" s="11"/>
      <c r="E37" s="9"/>
      <c r="F37" s="9"/>
      <c r="G37" s="9"/>
      <c r="H37" s="249"/>
      <c r="I37" s="249"/>
      <c r="J37" s="249"/>
      <c r="K37" s="249"/>
      <c r="L37" s="249"/>
      <c r="M37" s="249"/>
      <c r="N37" s="249"/>
      <c r="O37" s="249"/>
      <c r="P37" s="249"/>
      <c r="Q37" s="249"/>
      <c r="R37" s="249"/>
      <c r="S37" s="249">
        <v>0</v>
      </c>
      <c r="T37" s="249">
        <v>0</v>
      </c>
      <c r="U37" s="249">
        <v>0</v>
      </c>
      <c r="V37" s="249">
        <v>750000</v>
      </c>
      <c r="W37" s="249">
        <f>V37*'Indexed REC Calculator'!$B$92</f>
        <v>746250</v>
      </c>
      <c r="X37" s="249">
        <f>W37*'Indexed REC Calculator'!$B$92</f>
        <v>742518.75</v>
      </c>
      <c r="Y37" s="249">
        <f>X37*'Indexed REC Calculator'!$B$92</f>
        <v>738806.15625</v>
      </c>
      <c r="Z37" s="249">
        <f>Y37*'Indexed REC Calculator'!$B$92</f>
        <v>735112.12546875002</v>
      </c>
    </row>
    <row r="38" spans="1:48" ht="15.5" x14ac:dyDescent="0.35">
      <c r="A38" s="12" t="s">
        <v>87</v>
      </c>
      <c r="B38" s="11">
        <f t="shared" si="4"/>
        <v>2037</v>
      </c>
      <c r="C38" s="11"/>
      <c r="D38" s="11"/>
      <c r="E38" s="9"/>
      <c r="F38" s="9"/>
      <c r="G38" s="9"/>
      <c r="H38" s="249"/>
      <c r="I38" s="249"/>
      <c r="J38" s="249"/>
      <c r="K38" s="249"/>
      <c r="L38" s="249"/>
      <c r="M38" s="249"/>
      <c r="N38" s="249"/>
      <c r="O38" s="249"/>
      <c r="P38" s="249"/>
      <c r="Q38" s="249"/>
      <c r="R38" s="249"/>
      <c r="S38" s="249"/>
      <c r="T38" s="249">
        <v>0</v>
      </c>
      <c r="U38" s="249">
        <v>0</v>
      </c>
      <c r="V38" s="249">
        <v>0</v>
      </c>
      <c r="W38" s="249">
        <v>750000</v>
      </c>
      <c r="X38" s="249">
        <f>W38*'Indexed REC Calculator'!$B$92</f>
        <v>746250</v>
      </c>
      <c r="Y38" s="249">
        <f>X38*'Indexed REC Calculator'!$B$92</f>
        <v>742518.75</v>
      </c>
      <c r="Z38" s="249">
        <f>Y38*'Indexed REC Calculator'!$B$92</f>
        <v>738806.15625</v>
      </c>
    </row>
    <row r="39" spans="1:48" ht="15.5" x14ac:dyDescent="0.35">
      <c r="A39" s="12" t="s">
        <v>87</v>
      </c>
      <c r="B39" s="11">
        <f t="shared" si="4"/>
        <v>2038</v>
      </c>
      <c r="C39" s="11"/>
      <c r="D39" s="11"/>
      <c r="E39" s="9"/>
      <c r="F39" s="9"/>
      <c r="G39" s="9"/>
      <c r="H39" s="249"/>
      <c r="I39" s="249"/>
      <c r="J39" s="249"/>
      <c r="K39" s="249"/>
      <c r="L39" s="249"/>
      <c r="M39" s="249"/>
      <c r="N39" s="249"/>
      <c r="O39" s="249"/>
      <c r="P39" s="249"/>
      <c r="Q39" s="249"/>
      <c r="R39" s="249"/>
      <c r="S39" s="249"/>
      <c r="T39" s="249"/>
      <c r="U39" s="249">
        <v>0</v>
      </c>
      <c r="V39" s="249">
        <v>0</v>
      </c>
      <c r="W39" s="249">
        <v>0</v>
      </c>
      <c r="X39" s="249">
        <v>750000</v>
      </c>
      <c r="Y39" s="249">
        <f>X39*'Indexed REC Calculator'!$B$92</f>
        <v>746250</v>
      </c>
      <c r="Z39" s="249">
        <f>Y39*'Indexed REC Calculator'!$B$92</f>
        <v>742518.75</v>
      </c>
    </row>
    <row r="40" spans="1:48" ht="15.5" x14ac:dyDescent="0.35">
      <c r="A40" s="12" t="s">
        <v>87</v>
      </c>
      <c r="B40" s="11">
        <f t="shared" si="4"/>
        <v>2039</v>
      </c>
      <c r="C40" s="11"/>
      <c r="D40" s="11"/>
      <c r="E40" s="9"/>
      <c r="F40" s="9"/>
      <c r="G40" s="9"/>
      <c r="H40" s="249"/>
      <c r="I40" s="249"/>
      <c r="J40" s="249"/>
      <c r="K40" s="249"/>
      <c r="L40" s="249"/>
      <c r="M40" s="249"/>
      <c r="N40" s="249"/>
      <c r="O40" s="249"/>
      <c r="P40" s="249"/>
      <c r="Q40" s="249"/>
      <c r="R40" s="249"/>
      <c r="S40" s="249"/>
      <c r="T40" s="249"/>
      <c r="U40" s="249"/>
      <c r="V40" s="249">
        <v>0</v>
      </c>
      <c r="W40" s="249">
        <v>0</v>
      </c>
      <c r="X40" s="249">
        <v>0</v>
      </c>
      <c r="Y40" s="249">
        <v>750000</v>
      </c>
      <c r="Z40" s="249">
        <v>750001</v>
      </c>
    </row>
    <row r="41" spans="1:48" ht="15.5" x14ac:dyDescent="0.35">
      <c r="A41" s="12" t="s">
        <v>87</v>
      </c>
      <c r="B41" s="11">
        <f t="shared" si="4"/>
        <v>2040</v>
      </c>
      <c r="C41" s="11"/>
      <c r="D41" s="11"/>
      <c r="E41" s="9"/>
      <c r="F41" s="9"/>
      <c r="G41" s="9"/>
      <c r="H41" s="249"/>
      <c r="I41" s="249"/>
      <c r="J41" s="249"/>
      <c r="K41" s="249"/>
      <c r="L41" s="249"/>
      <c r="M41" s="249"/>
      <c r="N41" s="249"/>
      <c r="O41" s="249"/>
      <c r="P41" s="249"/>
      <c r="Q41" s="249"/>
      <c r="R41" s="249"/>
      <c r="S41" s="249"/>
      <c r="T41" s="249"/>
      <c r="U41" s="249"/>
      <c r="V41" s="249"/>
      <c r="W41" s="249">
        <v>0</v>
      </c>
      <c r="X41" s="249">
        <v>0</v>
      </c>
      <c r="Y41" s="249">
        <v>0</v>
      </c>
      <c r="Z41" s="249">
        <v>750000</v>
      </c>
    </row>
    <row r="42" spans="1:48" ht="15.5" x14ac:dyDescent="0.35">
      <c r="A42" s="12" t="s">
        <v>87</v>
      </c>
      <c r="B42" s="11">
        <f t="shared" si="4"/>
        <v>2041</v>
      </c>
      <c r="C42" s="11"/>
      <c r="D42" s="11"/>
      <c r="E42" s="13"/>
      <c r="F42" s="13"/>
      <c r="G42" s="13"/>
      <c r="H42" s="248"/>
      <c r="I42" s="248"/>
      <c r="J42" s="248"/>
      <c r="K42" s="248"/>
      <c r="L42" s="248"/>
      <c r="M42" s="248"/>
      <c r="N42" s="248"/>
      <c r="O42" s="248"/>
      <c r="P42" s="248"/>
      <c r="Q42" s="248"/>
      <c r="R42" s="248"/>
      <c r="S42" s="248"/>
      <c r="T42" s="248"/>
      <c r="U42" s="248"/>
      <c r="V42" s="248"/>
      <c r="W42" s="248"/>
      <c r="X42" s="248"/>
      <c r="Y42" s="248"/>
      <c r="Z42" s="248"/>
    </row>
    <row r="43" spans="1:48" ht="15.5" x14ac:dyDescent="0.35">
      <c r="A43" s="12" t="s">
        <v>87</v>
      </c>
      <c r="B43" s="11">
        <f t="shared" si="4"/>
        <v>2042</v>
      </c>
      <c r="C43" s="11"/>
      <c r="D43" s="11"/>
      <c r="E43" s="13"/>
      <c r="F43" s="13"/>
      <c r="G43" s="13"/>
      <c r="H43" s="248"/>
      <c r="I43" s="248"/>
      <c r="J43" s="248"/>
      <c r="K43" s="248"/>
      <c r="L43" s="248"/>
      <c r="M43" s="248"/>
      <c r="N43" s="248"/>
      <c r="O43" s="248"/>
      <c r="P43" s="248"/>
      <c r="Q43" s="248"/>
      <c r="R43" s="248"/>
      <c r="S43" s="248"/>
      <c r="T43" s="248"/>
      <c r="U43" s="248"/>
      <c r="V43" s="248"/>
      <c r="W43" s="248"/>
      <c r="X43" s="248"/>
      <c r="Y43" s="248"/>
      <c r="Z43" s="248"/>
    </row>
    <row r="44" spans="1:48" ht="15.5" x14ac:dyDescent="0.35">
      <c r="A44" s="12" t="s">
        <v>82</v>
      </c>
      <c r="B44" s="11">
        <v>2022</v>
      </c>
      <c r="C44" s="11"/>
      <c r="D44" s="11"/>
      <c r="E44" s="9">
        <v>0</v>
      </c>
      <c r="F44" s="9">
        <v>0</v>
      </c>
      <c r="G44" s="9">
        <v>0</v>
      </c>
      <c r="H44" s="249">
        <v>57870</v>
      </c>
      <c r="I44" s="249">
        <v>57580.649999999994</v>
      </c>
      <c r="J44" s="249">
        <v>57292.746749999998</v>
      </c>
      <c r="K44" s="249">
        <v>57006.283016250003</v>
      </c>
      <c r="L44" s="249">
        <v>56721.251601168748</v>
      </c>
      <c r="M44" s="249">
        <v>56437.645343162905</v>
      </c>
      <c r="N44" s="249">
        <v>56155.457116447091</v>
      </c>
      <c r="O44" s="249">
        <v>55874.679830864858</v>
      </c>
      <c r="P44" s="249">
        <v>55595.306431710531</v>
      </c>
      <c r="Q44" s="249">
        <v>55317.329899551973</v>
      </c>
      <c r="R44" s="249">
        <v>55040.743250054213</v>
      </c>
      <c r="S44" s="249">
        <v>54765.539533803945</v>
      </c>
      <c r="T44" s="249">
        <v>54491.711836134928</v>
      </c>
      <c r="U44" s="249">
        <v>54219.253276954252</v>
      </c>
      <c r="V44" s="249">
        <v>53948.157010569477</v>
      </c>
      <c r="W44" s="249">
        <v>53678.416225516637</v>
      </c>
      <c r="X44" s="249">
        <v>53410.024144389048</v>
      </c>
      <c r="Y44" s="249">
        <v>53142.974023667106</v>
      </c>
      <c r="Z44" s="249">
        <v>53143.974023667099</v>
      </c>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row>
    <row r="45" spans="1:48" ht="15.5" x14ac:dyDescent="0.35">
      <c r="A45" s="12" t="s">
        <v>82</v>
      </c>
      <c r="B45" s="11">
        <f t="shared" ref="B45:B64" si="5">B44+1</f>
        <v>2023</v>
      </c>
      <c r="C45" s="11"/>
      <c r="D45" s="11"/>
      <c r="E45" s="9"/>
      <c r="F45" s="9">
        <v>0</v>
      </c>
      <c r="G45" s="9">
        <v>0</v>
      </c>
      <c r="H45" s="249">
        <v>0</v>
      </c>
      <c r="I45" s="249">
        <v>105744</v>
      </c>
      <c r="J45" s="249">
        <f>I45*'Indexed REC Calculator'!$B$92</f>
        <v>105215.28</v>
      </c>
      <c r="K45" s="249">
        <f>J45*'Indexed REC Calculator'!$B$92</f>
        <v>104689.20359999999</v>
      </c>
      <c r="L45" s="249">
        <f>K45*'Indexed REC Calculator'!$B$92</f>
        <v>104165.75758199999</v>
      </c>
      <c r="M45" s="249">
        <f>L45*'Indexed REC Calculator'!$B$92</f>
        <v>103644.92879409</v>
      </c>
      <c r="N45" s="249">
        <f>M45*'Indexed REC Calculator'!$B$92</f>
        <v>103126.70415011955</v>
      </c>
      <c r="O45" s="249">
        <f>N45*'Indexed REC Calculator'!$B$92</f>
        <v>102611.07062936894</v>
      </c>
      <c r="P45" s="249">
        <f>O45*'Indexed REC Calculator'!$B$92</f>
        <v>102098.0152762221</v>
      </c>
      <c r="Q45" s="249">
        <f>P45*'Indexed REC Calculator'!$B$92</f>
        <v>101587.52519984098</v>
      </c>
      <c r="R45" s="249">
        <f>Q45*'Indexed REC Calculator'!$B$92</f>
        <v>101079.58757384178</v>
      </c>
      <c r="S45" s="249">
        <f>R45*'Indexed REC Calculator'!$B$92</f>
        <v>100574.18963597257</v>
      </c>
      <c r="T45" s="249">
        <f>S45*'Indexed REC Calculator'!$B$92</f>
        <v>100071.31868779271</v>
      </c>
      <c r="U45" s="249">
        <f>T45*'Indexed REC Calculator'!$B$92</f>
        <v>99570.962094353745</v>
      </c>
      <c r="V45" s="249">
        <f>U45*'Indexed REC Calculator'!$B$92</f>
        <v>99073.107283881982</v>
      </c>
      <c r="W45" s="249">
        <f>V45*'Indexed REC Calculator'!$B$92</f>
        <v>98577.741747462569</v>
      </c>
      <c r="X45" s="249">
        <f>W45*'Indexed REC Calculator'!$B$92</f>
        <v>98084.853038725254</v>
      </c>
      <c r="Y45" s="249">
        <f>X45*'Indexed REC Calculator'!$B$92</f>
        <v>97594.428773531632</v>
      </c>
      <c r="Z45" s="249">
        <f>Y45*'Indexed REC Calculator'!$B$92</f>
        <v>97106.456629663968</v>
      </c>
    </row>
    <row r="46" spans="1:48" ht="15.5" x14ac:dyDescent="0.35">
      <c r="A46" s="12" t="s">
        <v>82</v>
      </c>
      <c r="B46" s="11">
        <f t="shared" si="5"/>
        <v>2024</v>
      </c>
      <c r="C46" s="11"/>
      <c r="D46" s="11"/>
      <c r="E46" s="9"/>
      <c r="F46" s="9"/>
      <c r="G46" s="9">
        <v>0</v>
      </c>
      <c r="H46" s="249">
        <v>0</v>
      </c>
      <c r="I46" s="249">
        <v>0</v>
      </c>
      <c r="J46" s="249">
        <v>86666</v>
      </c>
      <c r="K46" s="249">
        <f>J46*'Indexed REC Calculator'!$B$92</f>
        <v>86232.67</v>
      </c>
      <c r="L46" s="249">
        <f>K46*'Indexed REC Calculator'!$B$92</f>
        <v>85801.506649999996</v>
      </c>
      <c r="M46" s="249">
        <f>L46*'Indexed REC Calculator'!$B$92</f>
        <v>85372.499116749997</v>
      </c>
      <c r="N46" s="249">
        <f>M46*'Indexed REC Calculator'!$B$92</f>
        <v>84945.636621166253</v>
      </c>
      <c r="O46" s="249">
        <f>N46*'Indexed REC Calculator'!$B$92</f>
        <v>84520.908438060418</v>
      </c>
      <c r="P46" s="249">
        <f>O46*'Indexed REC Calculator'!$B$92</f>
        <v>84098.303895870122</v>
      </c>
      <c r="Q46" s="249">
        <f>P46*'Indexed REC Calculator'!$B$92</f>
        <v>83677.812376390764</v>
      </c>
      <c r="R46" s="249">
        <f>Q46*'Indexed REC Calculator'!$B$92</f>
        <v>83259.423314508807</v>
      </c>
      <c r="S46" s="249">
        <f>R46*'Indexed REC Calculator'!$B$92</f>
        <v>82843.126197936261</v>
      </c>
      <c r="T46" s="249">
        <f>S46*'Indexed REC Calculator'!$B$92</f>
        <v>82428.910566946579</v>
      </c>
      <c r="U46" s="249">
        <f>T46*'Indexed REC Calculator'!$B$92</f>
        <v>82016.766014111839</v>
      </c>
      <c r="V46" s="249">
        <f>U46*'Indexed REC Calculator'!$B$92</f>
        <v>81606.682184041274</v>
      </c>
      <c r="W46" s="249">
        <f>V46*'Indexed REC Calculator'!$B$92</f>
        <v>81198.648773121065</v>
      </c>
      <c r="X46" s="249">
        <f>W46*'Indexed REC Calculator'!$B$92</f>
        <v>80792.655529255455</v>
      </c>
      <c r="Y46" s="249">
        <f>X46*'Indexed REC Calculator'!$B$92</f>
        <v>80388.692251609173</v>
      </c>
      <c r="Z46" s="249">
        <f>Y46*'Indexed REC Calculator'!$B$92</f>
        <v>79986.748790351121</v>
      </c>
    </row>
    <row r="47" spans="1:48" ht="15.5" x14ac:dyDescent="0.35">
      <c r="A47" s="12" t="s">
        <v>82</v>
      </c>
      <c r="B47" s="11">
        <f t="shared" si="5"/>
        <v>2025</v>
      </c>
      <c r="C47" s="11"/>
      <c r="D47" s="11"/>
      <c r="E47" s="9"/>
      <c r="F47" s="9"/>
      <c r="G47" s="9"/>
      <c r="H47" s="249">
        <v>0</v>
      </c>
      <c r="I47" s="249">
        <v>0</v>
      </c>
      <c r="J47" s="249">
        <v>0</v>
      </c>
      <c r="K47" s="249">
        <v>85000</v>
      </c>
      <c r="L47" s="249">
        <f>K47*'Indexed REC Calculator'!$B$92</f>
        <v>84575</v>
      </c>
      <c r="M47" s="249">
        <f>L47*'Indexed REC Calculator'!$B$92</f>
        <v>84152.125</v>
      </c>
      <c r="N47" s="249">
        <f>M47*'Indexed REC Calculator'!$B$92</f>
        <v>83731.364375000005</v>
      </c>
      <c r="O47" s="249">
        <f>N47*'Indexed REC Calculator'!$B$92</f>
        <v>83312.707553125001</v>
      </c>
      <c r="P47" s="249">
        <f>O47*'Indexed REC Calculator'!$B$92</f>
        <v>82896.144015359372</v>
      </c>
      <c r="Q47" s="249">
        <f>P47*'Indexed REC Calculator'!$B$92</f>
        <v>82481.663295282575</v>
      </c>
      <c r="R47" s="249">
        <f>Q47*'Indexed REC Calculator'!$B$92</f>
        <v>82069.254978806159</v>
      </c>
      <c r="S47" s="249">
        <f>R47*'Indexed REC Calculator'!$B$92</f>
        <v>81658.908703912122</v>
      </c>
      <c r="T47" s="249">
        <f>S47*'Indexed REC Calculator'!$B$92</f>
        <v>81250.614160392564</v>
      </c>
      <c r="U47" s="249">
        <f>T47*'Indexed REC Calculator'!$B$92</f>
        <v>80844.361089590602</v>
      </c>
      <c r="V47" s="249">
        <f>U47*'Indexed REC Calculator'!$B$92</f>
        <v>80440.139284142642</v>
      </c>
      <c r="W47" s="249">
        <f>V47*'Indexed REC Calculator'!$B$92</f>
        <v>80037.938587721932</v>
      </c>
      <c r="X47" s="249">
        <f>W47*'Indexed REC Calculator'!$B$92</f>
        <v>79637.748894783319</v>
      </c>
      <c r="Y47" s="249">
        <f>X47*'Indexed REC Calculator'!$B$92</f>
        <v>79239.560150309408</v>
      </c>
      <c r="Z47" s="249">
        <f>Y47*'Indexed REC Calculator'!$B$92</f>
        <v>78843.362349557865</v>
      </c>
    </row>
    <row r="48" spans="1:48" ht="15.5" x14ac:dyDescent="0.35">
      <c r="A48" s="12" t="s">
        <v>82</v>
      </c>
      <c r="B48" s="11">
        <f t="shared" si="5"/>
        <v>2026</v>
      </c>
      <c r="C48" s="11"/>
      <c r="D48" s="11"/>
      <c r="E48" s="9"/>
      <c r="F48" s="9"/>
      <c r="G48" s="9"/>
      <c r="H48" s="249"/>
      <c r="I48" s="249">
        <v>0</v>
      </c>
      <c r="J48" s="249">
        <v>0</v>
      </c>
      <c r="K48" s="249">
        <v>0</v>
      </c>
      <c r="L48" s="249">
        <v>85000</v>
      </c>
      <c r="M48" s="249">
        <f>L48*'Indexed REC Calculator'!$B$92</f>
        <v>84575</v>
      </c>
      <c r="N48" s="249">
        <f>M48*'Indexed REC Calculator'!$B$92</f>
        <v>84152.125</v>
      </c>
      <c r="O48" s="249">
        <f>N48*'Indexed REC Calculator'!$B$92</f>
        <v>83731.364375000005</v>
      </c>
      <c r="P48" s="249">
        <f>O48*'Indexed REC Calculator'!$B$92</f>
        <v>83312.707553125001</v>
      </c>
      <c r="Q48" s="249">
        <f>P48*'Indexed REC Calculator'!$B$92</f>
        <v>82896.144015359372</v>
      </c>
      <c r="R48" s="249">
        <f>Q48*'Indexed REC Calculator'!$B$92</f>
        <v>82481.663295282575</v>
      </c>
      <c r="S48" s="249">
        <f>R48*'Indexed REC Calculator'!$B$92</f>
        <v>82069.254978806159</v>
      </c>
      <c r="T48" s="249">
        <f>S48*'Indexed REC Calculator'!$B$92</f>
        <v>81658.908703912122</v>
      </c>
      <c r="U48" s="249">
        <f>T48*'Indexed REC Calculator'!$B$92</f>
        <v>81250.614160392564</v>
      </c>
      <c r="V48" s="249">
        <f>U48*'Indexed REC Calculator'!$B$92</f>
        <v>80844.361089590602</v>
      </c>
      <c r="W48" s="249">
        <f>V48*'Indexed REC Calculator'!$B$92</f>
        <v>80440.139284142642</v>
      </c>
      <c r="X48" s="249">
        <f>W48*'Indexed REC Calculator'!$B$92</f>
        <v>80037.938587721932</v>
      </c>
      <c r="Y48" s="249">
        <f>X48*'Indexed REC Calculator'!$B$92</f>
        <v>79637.748894783319</v>
      </c>
      <c r="Z48" s="249">
        <f>Y48*'Indexed REC Calculator'!$B$92</f>
        <v>79239.560150309408</v>
      </c>
    </row>
    <row r="49" spans="1:26" ht="15.5" x14ac:dyDescent="0.35">
      <c r="A49" s="12" t="s">
        <v>82</v>
      </c>
      <c r="B49" s="11">
        <f t="shared" si="5"/>
        <v>2027</v>
      </c>
      <c r="C49" s="11"/>
      <c r="D49" s="11"/>
      <c r="E49" s="9"/>
      <c r="F49" s="9"/>
      <c r="G49" s="9"/>
      <c r="H49" s="249"/>
      <c r="I49" s="249"/>
      <c r="J49" s="249">
        <v>0</v>
      </c>
      <c r="K49" s="249">
        <v>0</v>
      </c>
      <c r="L49" s="249">
        <v>0</v>
      </c>
      <c r="M49" s="249">
        <v>85000</v>
      </c>
      <c r="N49" s="249">
        <f>M49*'Indexed REC Calculator'!$B$92</f>
        <v>84575</v>
      </c>
      <c r="O49" s="249">
        <f>N49*'Indexed REC Calculator'!$B$92</f>
        <v>84152.125</v>
      </c>
      <c r="P49" s="249">
        <f>O49*'Indexed REC Calculator'!$B$92</f>
        <v>83731.364375000005</v>
      </c>
      <c r="Q49" s="249">
        <f>P49*'Indexed REC Calculator'!$B$92</f>
        <v>83312.707553125001</v>
      </c>
      <c r="R49" s="249">
        <f>Q49*'Indexed REC Calculator'!$B$92</f>
        <v>82896.144015359372</v>
      </c>
      <c r="S49" s="249">
        <f>R49*'Indexed REC Calculator'!$B$92</f>
        <v>82481.663295282575</v>
      </c>
      <c r="T49" s="249">
        <f>S49*'Indexed REC Calculator'!$B$92</f>
        <v>82069.254978806159</v>
      </c>
      <c r="U49" s="249">
        <f>T49*'Indexed REC Calculator'!$B$92</f>
        <v>81658.908703912122</v>
      </c>
      <c r="V49" s="249">
        <f>U49*'Indexed REC Calculator'!$B$92</f>
        <v>81250.614160392564</v>
      </c>
      <c r="W49" s="249">
        <f>V49*'Indexed REC Calculator'!$B$92</f>
        <v>80844.361089590602</v>
      </c>
      <c r="X49" s="249">
        <f>W49*'Indexed REC Calculator'!$B$92</f>
        <v>80440.139284142642</v>
      </c>
      <c r="Y49" s="249">
        <f>X49*'Indexed REC Calculator'!$B$92</f>
        <v>80037.938587721932</v>
      </c>
      <c r="Z49" s="249">
        <f>Y49*'Indexed REC Calculator'!$B$92</f>
        <v>79637.748894783319</v>
      </c>
    </row>
    <row r="50" spans="1:26" ht="15.5" x14ac:dyDescent="0.35">
      <c r="A50" s="12" t="s">
        <v>82</v>
      </c>
      <c r="B50" s="11">
        <f t="shared" si="5"/>
        <v>2028</v>
      </c>
      <c r="C50" s="11"/>
      <c r="D50" s="11"/>
      <c r="E50" s="9"/>
      <c r="F50" s="9"/>
      <c r="G50" s="9"/>
      <c r="H50" s="249"/>
      <c r="I50" s="249"/>
      <c r="J50" s="249"/>
      <c r="K50" s="249">
        <v>0</v>
      </c>
      <c r="L50" s="249">
        <v>0</v>
      </c>
      <c r="M50" s="249">
        <v>0</v>
      </c>
      <c r="N50" s="249">
        <v>85000</v>
      </c>
      <c r="O50" s="249">
        <f>N50*'Indexed REC Calculator'!$B$92</f>
        <v>84575</v>
      </c>
      <c r="P50" s="249">
        <f>O50*'Indexed REC Calculator'!$B$92</f>
        <v>84152.125</v>
      </c>
      <c r="Q50" s="249">
        <f>P50*'Indexed REC Calculator'!$B$92</f>
        <v>83731.364375000005</v>
      </c>
      <c r="R50" s="249">
        <f>Q50*'Indexed REC Calculator'!$B$92</f>
        <v>83312.707553125001</v>
      </c>
      <c r="S50" s="249">
        <f>R50*'Indexed REC Calculator'!$B$92</f>
        <v>82896.144015359372</v>
      </c>
      <c r="T50" s="249">
        <f>S50*'Indexed REC Calculator'!$B$92</f>
        <v>82481.663295282575</v>
      </c>
      <c r="U50" s="249">
        <f>T50*'Indexed REC Calculator'!$B$92</f>
        <v>82069.254978806159</v>
      </c>
      <c r="V50" s="249">
        <f>U50*'Indexed REC Calculator'!$B$92</f>
        <v>81658.908703912122</v>
      </c>
      <c r="W50" s="249">
        <f>V50*'Indexed REC Calculator'!$B$92</f>
        <v>81250.614160392564</v>
      </c>
      <c r="X50" s="249">
        <f>W50*'Indexed REC Calculator'!$B$92</f>
        <v>80844.361089590602</v>
      </c>
      <c r="Y50" s="249">
        <f>X50*'Indexed REC Calculator'!$B$92</f>
        <v>80440.139284142642</v>
      </c>
      <c r="Z50" s="249">
        <f>Y50*'Indexed REC Calculator'!$B$92</f>
        <v>80037.938587721932</v>
      </c>
    </row>
    <row r="51" spans="1:26" ht="15.5" x14ac:dyDescent="0.35">
      <c r="A51" s="12" t="s">
        <v>82</v>
      </c>
      <c r="B51" s="11">
        <f t="shared" si="5"/>
        <v>2029</v>
      </c>
      <c r="C51" s="11"/>
      <c r="D51" s="11"/>
      <c r="E51" s="9"/>
      <c r="F51" s="9"/>
      <c r="G51" s="9"/>
      <c r="H51" s="249"/>
      <c r="I51" s="249"/>
      <c r="J51" s="249"/>
      <c r="K51" s="249"/>
      <c r="L51" s="249">
        <v>0</v>
      </c>
      <c r="M51" s="249">
        <v>0</v>
      </c>
      <c r="N51" s="249">
        <v>0</v>
      </c>
      <c r="O51" s="249">
        <v>85000</v>
      </c>
      <c r="P51" s="249">
        <f>O51*'Indexed REC Calculator'!$B$92</f>
        <v>84575</v>
      </c>
      <c r="Q51" s="249">
        <f>P51*'Indexed REC Calculator'!$B$92</f>
        <v>84152.125</v>
      </c>
      <c r="R51" s="249">
        <f>Q51*'Indexed REC Calculator'!$B$92</f>
        <v>83731.364375000005</v>
      </c>
      <c r="S51" s="249">
        <f>R51*'Indexed REC Calculator'!$B$92</f>
        <v>83312.707553125001</v>
      </c>
      <c r="T51" s="249">
        <f>S51*'Indexed REC Calculator'!$B$92</f>
        <v>82896.144015359372</v>
      </c>
      <c r="U51" s="249">
        <f>T51*'Indexed REC Calculator'!$B$92</f>
        <v>82481.663295282575</v>
      </c>
      <c r="V51" s="249">
        <f>U51*'Indexed REC Calculator'!$B$92</f>
        <v>82069.254978806159</v>
      </c>
      <c r="W51" s="249">
        <f>V51*'Indexed REC Calculator'!$B$92</f>
        <v>81658.908703912122</v>
      </c>
      <c r="X51" s="249">
        <f>W51*'Indexed REC Calculator'!$B$92</f>
        <v>81250.614160392564</v>
      </c>
      <c r="Y51" s="249">
        <f>X51*'Indexed REC Calculator'!$B$92</f>
        <v>80844.361089590602</v>
      </c>
      <c r="Z51" s="249">
        <f>Y51*'Indexed REC Calculator'!$B$92</f>
        <v>80440.139284142642</v>
      </c>
    </row>
    <row r="52" spans="1:26" ht="15.5" x14ac:dyDescent="0.35">
      <c r="A52" s="12" t="s">
        <v>82</v>
      </c>
      <c r="B52" s="11">
        <f t="shared" si="5"/>
        <v>2030</v>
      </c>
      <c r="C52" s="11"/>
      <c r="D52" s="11"/>
      <c r="E52" s="9"/>
      <c r="F52" s="9"/>
      <c r="G52" s="9"/>
      <c r="H52" s="249"/>
      <c r="I52" s="249"/>
      <c r="J52" s="249"/>
      <c r="K52" s="249"/>
      <c r="L52" s="249"/>
      <c r="M52" s="249">
        <v>0</v>
      </c>
      <c r="N52" s="249">
        <v>0</v>
      </c>
      <c r="O52" s="249">
        <v>0</v>
      </c>
      <c r="P52" s="249">
        <v>50000</v>
      </c>
      <c r="Q52" s="249">
        <f>P52*'Indexed REC Calculator'!$B$92</f>
        <v>49750</v>
      </c>
      <c r="R52" s="249">
        <f>Q52*'Indexed REC Calculator'!$B$92</f>
        <v>49501.25</v>
      </c>
      <c r="S52" s="249">
        <f>R52*'Indexed REC Calculator'!$B$92</f>
        <v>49253.743750000001</v>
      </c>
      <c r="T52" s="249">
        <f>S52*'Indexed REC Calculator'!$B$92</f>
        <v>49007.475031250004</v>
      </c>
      <c r="U52" s="249">
        <f>T52*'Indexed REC Calculator'!$B$92</f>
        <v>48762.437656093753</v>
      </c>
      <c r="V52" s="249">
        <f>U52*'Indexed REC Calculator'!$B$92</f>
        <v>48518.625467813283</v>
      </c>
      <c r="W52" s="249">
        <f>V52*'Indexed REC Calculator'!$B$92</f>
        <v>48276.032340474216</v>
      </c>
      <c r="X52" s="249">
        <f>W52*'Indexed REC Calculator'!$B$92</f>
        <v>48034.652178771845</v>
      </c>
      <c r="Y52" s="249">
        <f>X52*'Indexed REC Calculator'!$B$92</f>
        <v>47794.478917877983</v>
      </c>
      <c r="Z52" s="249">
        <f>Y52*'Indexed REC Calculator'!$B$92</f>
        <v>47555.50652328859</v>
      </c>
    </row>
    <row r="53" spans="1:26" ht="15.5" x14ac:dyDescent="0.35">
      <c r="A53" s="12" t="s">
        <v>82</v>
      </c>
      <c r="B53" s="11">
        <f t="shared" si="5"/>
        <v>2031</v>
      </c>
      <c r="C53" s="11"/>
      <c r="D53" s="11"/>
      <c r="E53" s="9"/>
      <c r="F53" s="9"/>
      <c r="G53" s="9"/>
      <c r="H53" s="249"/>
      <c r="I53" s="249"/>
      <c r="J53" s="249"/>
      <c r="K53" s="249"/>
      <c r="L53" s="249"/>
      <c r="M53" s="249"/>
      <c r="N53" s="249">
        <v>0</v>
      </c>
      <c r="O53" s="249">
        <v>0</v>
      </c>
      <c r="P53" s="249">
        <v>0</v>
      </c>
      <c r="Q53" s="249">
        <v>50000</v>
      </c>
      <c r="R53" s="249">
        <f>Q53*'Indexed REC Calculator'!$B$92</f>
        <v>49750</v>
      </c>
      <c r="S53" s="249">
        <f>R53*'Indexed REC Calculator'!$B$92</f>
        <v>49501.25</v>
      </c>
      <c r="T53" s="249">
        <f>S53*'Indexed REC Calculator'!$B$92</f>
        <v>49253.743750000001</v>
      </c>
      <c r="U53" s="249">
        <f>T53*'Indexed REC Calculator'!$B$92</f>
        <v>49007.475031250004</v>
      </c>
      <c r="V53" s="249">
        <f>U53*'Indexed REC Calculator'!$B$92</f>
        <v>48762.437656093753</v>
      </c>
      <c r="W53" s="249">
        <f>V53*'Indexed REC Calculator'!$B$92</f>
        <v>48518.625467813283</v>
      </c>
      <c r="X53" s="249">
        <f>W53*'Indexed REC Calculator'!$B$92</f>
        <v>48276.032340474216</v>
      </c>
      <c r="Y53" s="249">
        <f>X53*'Indexed REC Calculator'!$B$92</f>
        <v>48034.652178771845</v>
      </c>
      <c r="Z53" s="249">
        <f>Y53*'Indexed REC Calculator'!$B$92</f>
        <v>47794.478917877983</v>
      </c>
    </row>
    <row r="54" spans="1:26" ht="15.5" x14ac:dyDescent="0.35">
      <c r="A54" s="12" t="s">
        <v>82</v>
      </c>
      <c r="B54" s="11">
        <f t="shared" si="5"/>
        <v>2032</v>
      </c>
      <c r="C54" s="11"/>
      <c r="D54" s="11"/>
      <c r="E54" s="9"/>
      <c r="F54" s="9"/>
      <c r="G54" s="9"/>
      <c r="H54" s="249"/>
      <c r="I54" s="249"/>
      <c r="J54" s="249"/>
      <c r="K54" s="249"/>
      <c r="L54" s="249"/>
      <c r="M54" s="249"/>
      <c r="N54" s="249"/>
      <c r="O54" s="249">
        <v>0</v>
      </c>
      <c r="P54" s="249">
        <v>0</v>
      </c>
      <c r="Q54" s="249">
        <v>0</v>
      </c>
      <c r="R54" s="249">
        <v>50000</v>
      </c>
      <c r="S54" s="249">
        <f>R54*'Indexed REC Calculator'!$B$92</f>
        <v>49750</v>
      </c>
      <c r="T54" s="249">
        <f>S54*'Indexed REC Calculator'!$B$92</f>
        <v>49501.25</v>
      </c>
      <c r="U54" s="249">
        <f>T54*'Indexed REC Calculator'!$B$92</f>
        <v>49253.743750000001</v>
      </c>
      <c r="V54" s="249">
        <f>U54*'Indexed REC Calculator'!$B$92</f>
        <v>49007.475031250004</v>
      </c>
      <c r="W54" s="249">
        <f>V54*'Indexed REC Calculator'!$B$92</f>
        <v>48762.437656093753</v>
      </c>
      <c r="X54" s="249">
        <f>W54*'Indexed REC Calculator'!$B$92</f>
        <v>48518.625467813283</v>
      </c>
      <c r="Y54" s="249">
        <f>X54*'Indexed REC Calculator'!$B$92</f>
        <v>48276.032340474216</v>
      </c>
      <c r="Z54" s="249">
        <f>Y54*'Indexed REC Calculator'!$B$92</f>
        <v>48034.652178771845</v>
      </c>
    </row>
    <row r="55" spans="1:26" ht="15.5" x14ac:dyDescent="0.35">
      <c r="A55" s="12" t="s">
        <v>82</v>
      </c>
      <c r="B55" s="11">
        <f t="shared" si="5"/>
        <v>2033</v>
      </c>
      <c r="C55" s="11"/>
      <c r="D55" s="11"/>
      <c r="E55" s="9"/>
      <c r="F55" s="9"/>
      <c r="G55" s="9"/>
      <c r="H55" s="249"/>
      <c r="I55" s="249"/>
      <c r="J55" s="249"/>
      <c r="K55" s="249"/>
      <c r="L55" s="249"/>
      <c r="M55" s="249"/>
      <c r="N55" s="249"/>
      <c r="O55" s="249"/>
      <c r="P55" s="249">
        <v>0</v>
      </c>
      <c r="Q55" s="249">
        <v>0</v>
      </c>
      <c r="R55" s="249">
        <v>0</v>
      </c>
      <c r="S55" s="249">
        <v>50000</v>
      </c>
      <c r="T55" s="249">
        <f>S55*'Indexed REC Calculator'!$B$92</f>
        <v>49750</v>
      </c>
      <c r="U55" s="249">
        <f>T55*'Indexed REC Calculator'!$B$92</f>
        <v>49501.25</v>
      </c>
      <c r="V55" s="249">
        <f>U55*'Indexed REC Calculator'!$B$92</f>
        <v>49253.743750000001</v>
      </c>
      <c r="W55" s="249">
        <f>V55*'Indexed REC Calculator'!$B$92</f>
        <v>49007.475031250004</v>
      </c>
      <c r="X55" s="249">
        <f>W55*'Indexed REC Calculator'!$B$92</f>
        <v>48762.437656093753</v>
      </c>
      <c r="Y55" s="249">
        <f>X55*'Indexed REC Calculator'!$B$92</f>
        <v>48518.625467813283</v>
      </c>
      <c r="Z55" s="249">
        <f>Y55*'Indexed REC Calculator'!$B$92</f>
        <v>48276.032340474216</v>
      </c>
    </row>
    <row r="56" spans="1:26" ht="15.5" x14ac:dyDescent="0.35">
      <c r="A56" s="12" t="s">
        <v>82</v>
      </c>
      <c r="B56" s="11">
        <f t="shared" si="5"/>
        <v>2034</v>
      </c>
      <c r="C56" s="11"/>
      <c r="D56" s="11"/>
      <c r="E56" s="9"/>
      <c r="F56" s="9"/>
      <c r="G56" s="9"/>
      <c r="H56" s="249"/>
      <c r="I56" s="249"/>
      <c r="J56" s="249"/>
      <c r="K56" s="249"/>
      <c r="L56" s="249"/>
      <c r="M56" s="249"/>
      <c r="N56" s="249"/>
      <c r="O56" s="249"/>
      <c r="P56" s="249"/>
      <c r="Q56" s="249">
        <v>0</v>
      </c>
      <c r="R56" s="249">
        <v>0</v>
      </c>
      <c r="S56" s="249">
        <v>0</v>
      </c>
      <c r="T56" s="249">
        <v>50000</v>
      </c>
      <c r="U56" s="249">
        <f>T56*'Indexed REC Calculator'!$B$92</f>
        <v>49750</v>
      </c>
      <c r="V56" s="249">
        <f>U56*'Indexed REC Calculator'!$B$92</f>
        <v>49501.25</v>
      </c>
      <c r="W56" s="249">
        <f>V56*'Indexed REC Calculator'!$B$92</f>
        <v>49253.743750000001</v>
      </c>
      <c r="X56" s="249">
        <f>W56*'Indexed REC Calculator'!$B$92</f>
        <v>49007.475031250004</v>
      </c>
      <c r="Y56" s="249">
        <f>X56*'Indexed REC Calculator'!$B$92</f>
        <v>48762.437656093753</v>
      </c>
      <c r="Z56" s="249">
        <f>Y56*'Indexed REC Calculator'!$B$92</f>
        <v>48518.625467813283</v>
      </c>
    </row>
    <row r="57" spans="1:26" ht="15.5" x14ac:dyDescent="0.35">
      <c r="A57" s="12" t="s">
        <v>82</v>
      </c>
      <c r="B57" s="11">
        <f t="shared" si="5"/>
        <v>2035</v>
      </c>
      <c r="C57" s="11"/>
      <c r="D57" s="11"/>
      <c r="E57" s="9"/>
      <c r="F57" s="9"/>
      <c r="G57" s="9"/>
      <c r="H57" s="249"/>
      <c r="I57" s="249"/>
      <c r="J57" s="249"/>
      <c r="K57" s="249"/>
      <c r="L57" s="249"/>
      <c r="M57" s="249"/>
      <c r="N57" s="249"/>
      <c r="O57" s="249"/>
      <c r="P57" s="249"/>
      <c r="Q57" s="249"/>
      <c r="R57" s="249">
        <v>0</v>
      </c>
      <c r="S57" s="249">
        <v>0</v>
      </c>
      <c r="T57" s="249">
        <v>0</v>
      </c>
      <c r="U57" s="249">
        <v>50000</v>
      </c>
      <c r="V57" s="249">
        <f>U57*'Indexed REC Calculator'!$B$92</f>
        <v>49750</v>
      </c>
      <c r="W57" s="249">
        <f>V57*'Indexed REC Calculator'!$B$92</f>
        <v>49501.25</v>
      </c>
      <c r="X57" s="249">
        <f>W57*'Indexed REC Calculator'!$B$92</f>
        <v>49253.743750000001</v>
      </c>
      <c r="Y57" s="249">
        <f>X57*'Indexed REC Calculator'!$B$92</f>
        <v>49007.475031250004</v>
      </c>
      <c r="Z57" s="249">
        <f>Y57*'Indexed REC Calculator'!$B$92</f>
        <v>48762.437656093753</v>
      </c>
    </row>
    <row r="58" spans="1:26" ht="15.5" x14ac:dyDescent="0.35">
      <c r="A58" s="12" t="s">
        <v>82</v>
      </c>
      <c r="B58" s="11">
        <f t="shared" si="5"/>
        <v>2036</v>
      </c>
      <c r="C58" s="11"/>
      <c r="D58" s="11"/>
      <c r="E58" s="9"/>
      <c r="F58" s="9"/>
      <c r="G58" s="9"/>
      <c r="H58" s="249"/>
      <c r="I58" s="249"/>
      <c r="J58" s="249"/>
      <c r="K58" s="249"/>
      <c r="L58" s="249"/>
      <c r="M58" s="249"/>
      <c r="N58" s="249"/>
      <c r="O58" s="249"/>
      <c r="P58" s="249"/>
      <c r="Q58" s="249"/>
      <c r="R58" s="249"/>
      <c r="S58" s="249">
        <v>0</v>
      </c>
      <c r="T58" s="249">
        <v>0</v>
      </c>
      <c r="U58" s="249">
        <v>0</v>
      </c>
      <c r="V58" s="249">
        <v>50000</v>
      </c>
      <c r="W58" s="249">
        <f>V58*'Indexed REC Calculator'!$B$92</f>
        <v>49750</v>
      </c>
      <c r="X58" s="249">
        <f>W58*'Indexed REC Calculator'!$B$92</f>
        <v>49501.25</v>
      </c>
      <c r="Y58" s="249">
        <f>X58*'Indexed REC Calculator'!$B$92</f>
        <v>49253.743750000001</v>
      </c>
      <c r="Z58" s="249">
        <f>Y58*'Indexed REC Calculator'!$B$92</f>
        <v>49007.475031250004</v>
      </c>
    </row>
    <row r="59" spans="1:26" ht="15.5" x14ac:dyDescent="0.35">
      <c r="A59" s="12" t="s">
        <v>82</v>
      </c>
      <c r="B59" s="11">
        <f t="shared" si="5"/>
        <v>2037</v>
      </c>
      <c r="C59" s="11"/>
      <c r="D59" s="11"/>
      <c r="E59" s="9"/>
      <c r="F59" s="9"/>
      <c r="G59" s="9"/>
      <c r="H59" s="249"/>
      <c r="I59" s="249"/>
      <c r="J59" s="249"/>
      <c r="K59" s="249"/>
      <c r="L59" s="249"/>
      <c r="M59" s="249"/>
      <c r="N59" s="249"/>
      <c r="O59" s="249"/>
      <c r="P59" s="249"/>
      <c r="Q59" s="249"/>
      <c r="R59" s="249"/>
      <c r="S59" s="249"/>
      <c r="T59" s="249">
        <v>0</v>
      </c>
      <c r="U59" s="249">
        <v>0</v>
      </c>
      <c r="V59" s="249">
        <v>0</v>
      </c>
      <c r="W59" s="249">
        <v>50000</v>
      </c>
      <c r="X59" s="249">
        <f>W59*'Indexed REC Calculator'!$B$92</f>
        <v>49750</v>
      </c>
      <c r="Y59" s="249">
        <f>X59*'Indexed REC Calculator'!$B$92</f>
        <v>49501.25</v>
      </c>
      <c r="Z59" s="249">
        <f>Y59*'Indexed REC Calculator'!$B$92</f>
        <v>49253.743750000001</v>
      </c>
    </row>
    <row r="60" spans="1:26" ht="15.5" x14ac:dyDescent="0.35">
      <c r="A60" s="12" t="s">
        <v>82</v>
      </c>
      <c r="B60" s="11">
        <f t="shared" si="5"/>
        <v>2038</v>
      </c>
      <c r="C60" s="11"/>
      <c r="D60" s="11"/>
      <c r="E60" s="9"/>
      <c r="F60" s="9"/>
      <c r="G60" s="9"/>
      <c r="H60" s="249"/>
      <c r="I60" s="249"/>
      <c r="J60" s="249"/>
      <c r="K60" s="249"/>
      <c r="L60" s="249"/>
      <c r="M60" s="249"/>
      <c r="N60" s="249"/>
      <c r="O60" s="249"/>
      <c r="P60" s="249"/>
      <c r="Q60" s="249"/>
      <c r="R60" s="249"/>
      <c r="S60" s="249"/>
      <c r="T60" s="249"/>
      <c r="U60" s="249">
        <v>0</v>
      </c>
      <c r="V60" s="249">
        <v>0</v>
      </c>
      <c r="W60" s="249">
        <v>0</v>
      </c>
      <c r="X60" s="249">
        <v>50000</v>
      </c>
      <c r="Y60" s="249">
        <f>X60*'Indexed REC Calculator'!$B$92</f>
        <v>49750</v>
      </c>
      <c r="Z60" s="249">
        <f>Y60*'Indexed REC Calculator'!$B$92</f>
        <v>49501.25</v>
      </c>
    </row>
    <row r="61" spans="1:26" ht="15.5" x14ac:dyDescent="0.35">
      <c r="A61" s="12" t="s">
        <v>82</v>
      </c>
      <c r="B61" s="11">
        <f t="shared" si="5"/>
        <v>2039</v>
      </c>
      <c r="C61" s="11"/>
      <c r="D61" s="11"/>
      <c r="E61" s="9"/>
      <c r="F61" s="9"/>
      <c r="G61" s="9"/>
      <c r="H61" s="249"/>
      <c r="I61" s="249"/>
      <c r="J61" s="249"/>
      <c r="K61" s="249"/>
      <c r="L61" s="249"/>
      <c r="M61" s="249"/>
      <c r="N61" s="249"/>
      <c r="O61" s="249"/>
      <c r="P61" s="249"/>
      <c r="Q61" s="249"/>
      <c r="R61" s="249"/>
      <c r="S61" s="249"/>
      <c r="T61" s="249"/>
      <c r="U61" s="249"/>
      <c r="V61" s="249">
        <v>0</v>
      </c>
      <c r="W61" s="249">
        <v>0</v>
      </c>
      <c r="X61" s="249">
        <v>0</v>
      </c>
      <c r="Y61" s="249">
        <v>50000</v>
      </c>
      <c r="Z61" s="249">
        <f>Y61*'Indexed REC Calculator'!$B$92</f>
        <v>49750</v>
      </c>
    </row>
    <row r="62" spans="1:26" ht="15.5" x14ac:dyDescent="0.35">
      <c r="A62" s="12" t="s">
        <v>82</v>
      </c>
      <c r="B62" s="11">
        <f t="shared" si="5"/>
        <v>2040</v>
      </c>
      <c r="C62" s="11"/>
      <c r="D62" s="11"/>
      <c r="E62" s="9"/>
      <c r="F62" s="9"/>
      <c r="G62" s="9"/>
      <c r="H62" s="249"/>
      <c r="I62" s="249"/>
      <c r="J62" s="249"/>
      <c r="K62" s="249"/>
      <c r="L62" s="249"/>
      <c r="M62" s="249"/>
      <c r="N62" s="249"/>
      <c r="O62" s="249"/>
      <c r="P62" s="249"/>
      <c r="Q62" s="249"/>
      <c r="R62" s="249"/>
      <c r="S62" s="249"/>
      <c r="T62" s="249"/>
      <c r="U62" s="249"/>
      <c r="V62" s="249"/>
      <c r="W62" s="249">
        <v>0</v>
      </c>
      <c r="X62" s="249">
        <v>0</v>
      </c>
      <c r="Y62" s="249">
        <v>0</v>
      </c>
      <c r="Z62" s="249">
        <v>50000</v>
      </c>
    </row>
    <row r="63" spans="1:26" ht="15.5" x14ac:dyDescent="0.35">
      <c r="A63" s="12" t="s">
        <v>82</v>
      </c>
      <c r="B63" s="11">
        <f t="shared" si="5"/>
        <v>2041</v>
      </c>
      <c r="C63" s="11"/>
      <c r="D63" s="11"/>
      <c r="E63" s="13"/>
      <c r="F63" s="13"/>
      <c r="G63" s="13"/>
      <c r="H63" s="248"/>
      <c r="I63" s="248"/>
      <c r="J63" s="248"/>
      <c r="K63" s="248"/>
      <c r="L63" s="248"/>
      <c r="M63" s="248"/>
      <c r="N63" s="248"/>
      <c r="O63" s="248"/>
      <c r="P63" s="248"/>
      <c r="Q63" s="248"/>
      <c r="R63" s="248"/>
      <c r="S63" s="248"/>
      <c r="T63" s="248"/>
      <c r="U63" s="248"/>
      <c r="V63" s="248"/>
      <c r="W63" s="248"/>
      <c r="X63" s="248"/>
      <c r="Y63" s="248"/>
      <c r="Z63" s="248"/>
    </row>
    <row r="64" spans="1:26" ht="15.5" x14ac:dyDescent="0.35">
      <c r="A64" s="12" t="s">
        <v>82</v>
      </c>
      <c r="B64" s="11">
        <f t="shared" si="5"/>
        <v>2042</v>
      </c>
      <c r="C64" s="11"/>
      <c r="D64" s="11"/>
      <c r="E64" s="13"/>
      <c r="F64" s="13"/>
      <c r="G64" s="13"/>
      <c r="H64" s="248"/>
      <c r="I64" s="248"/>
      <c r="J64" s="248"/>
      <c r="K64" s="248"/>
      <c r="L64" s="248"/>
      <c r="M64" s="248"/>
      <c r="N64" s="248"/>
      <c r="O64" s="248"/>
      <c r="P64" s="248"/>
      <c r="Q64" s="248"/>
      <c r="R64" s="248"/>
      <c r="S64" s="248"/>
      <c r="T64" s="248"/>
      <c r="U64" s="248"/>
      <c r="V64" s="248"/>
      <c r="W64" s="248"/>
      <c r="X64" s="248"/>
      <c r="Y64" s="248"/>
      <c r="Z64" s="248"/>
    </row>
    <row r="65" spans="1:26" x14ac:dyDescent="0.35">
      <c r="J65" s="172"/>
    </row>
    <row r="67" spans="1:26" ht="15.5" x14ac:dyDescent="0.35">
      <c r="A67" s="177" t="s">
        <v>88</v>
      </c>
      <c r="C67" s="220">
        <v>2020</v>
      </c>
      <c r="D67" s="220">
        <v>2021</v>
      </c>
      <c r="E67" s="220">
        <v>2022</v>
      </c>
      <c r="F67" s="220">
        <f>E67+1</f>
        <v>2023</v>
      </c>
      <c r="G67" s="220">
        <f t="shared" ref="G67:Y67" si="6">F67+1</f>
        <v>2024</v>
      </c>
      <c r="H67" s="220">
        <f t="shared" si="6"/>
        <v>2025</v>
      </c>
      <c r="I67" s="220">
        <f t="shared" si="6"/>
        <v>2026</v>
      </c>
      <c r="J67" s="220">
        <f t="shared" si="6"/>
        <v>2027</v>
      </c>
      <c r="K67" s="220">
        <f t="shared" si="6"/>
        <v>2028</v>
      </c>
      <c r="L67" s="220">
        <f t="shared" si="6"/>
        <v>2029</v>
      </c>
      <c r="M67" s="220">
        <f t="shared" si="6"/>
        <v>2030</v>
      </c>
      <c r="N67" s="220">
        <f t="shared" si="6"/>
        <v>2031</v>
      </c>
      <c r="O67" s="220">
        <f t="shared" si="6"/>
        <v>2032</v>
      </c>
      <c r="P67" s="220">
        <f t="shared" si="6"/>
        <v>2033</v>
      </c>
      <c r="Q67" s="220">
        <f t="shared" si="6"/>
        <v>2034</v>
      </c>
      <c r="R67" s="220">
        <f t="shared" si="6"/>
        <v>2035</v>
      </c>
      <c r="S67" s="220">
        <f t="shared" si="6"/>
        <v>2036</v>
      </c>
      <c r="T67" s="220">
        <f t="shared" si="6"/>
        <v>2037</v>
      </c>
      <c r="U67" s="220">
        <f t="shared" si="6"/>
        <v>2038</v>
      </c>
      <c r="V67" s="220">
        <f t="shared" si="6"/>
        <v>2039</v>
      </c>
      <c r="W67" s="220">
        <f t="shared" si="6"/>
        <v>2040</v>
      </c>
      <c r="X67" s="220">
        <f t="shared" si="6"/>
        <v>2041</v>
      </c>
      <c r="Y67" s="220">
        <f t="shared" si="6"/>
        <v>2042</v>
      </c>
      <c r="Z67" s="220">
        <f t="shared" ref="Z67" si="7">Y67+1</f>
        <v>2043</v>
      </c>
    </row>
    <row r="68" spans="1:26" x14ac:dyDescent="0.35">
      <c r="A68" s="12" t="s">
        <v>86</v>
      </c>
      <c r="C68" s="13">
        <f>IFERROR(SUMIF($A$2:$A$64,$A$68, C2:C64),"error")</f>
        <v>0</v>
      </c>
      <c r="D68" s="13">
        <f t="shared" ref="D68:Z68" si="8">IFERROR(SUMIF($A$2:$A$64,$A$68, D2:D64),"error")</f>
        <v>0</v>
      </c>
      <c r="E68" s="13">
        <f t="shared" si="8"/>
        <v>0</v>
      </c>
      <c r="F68" s="13">
        <f t="shared" si="8"/>
        <v>0</v>
      </c>
      <c r="G68" s="13">
        <f t="shared" si="8"/>
        <v>0</v>
      </c>
      <c r="H68" s="13">
        <f t="shared" si="8"/>
        <v>460000</v>
      </c>
      <c r="I68" s="13">
        <f t="shared" si="8"/>
        <v>460000</v>
      </c>
      <c r="J68" s="13">
        <f>IFERROR(SUMIF($A$2:$A$64,$A$68, J2:J64),"error")</f>
        <v>7521795</v>
      </c>
      <c r="K68" s="13">
        <f t="shared" si="8"/>
        <v>10021795</v>
      </c>
      <c r="L68" s="13">
        <f t="shared" si="8"/>
        <v>12521795</v>
      </c>
      <c r="M68" s="13">
        <f t="shared" si="8"/>
        <v>15021795</v>
      </c>
      <c r="N68" s="13">
        <f t="shared" si="8"/>
        <v>17521795</v>
      </c>
      <c r="O68" s="13">
        <f t="shared" si="8"/>
        <v>20021795</v>
      </c>
      <c r="P68" s="13">
        <f t="shared" si="8"/>
        <v>19521795</v>
      </c>
      <c r="Q68" s="13">
        <f t="shared" si="8"/>
        <v>20521795</v>
      </c>
      <c r="R68" s="13">
        <f t="shared" si="8"/>
        <v>23021795</v>
      </c>
      <c r="S68" s="13">
        <f t="shared" si="8"/>
        <v>22521795</v>
      </c>
      <c r="T68" s="13">
        <f t="shared" si="8"/>
        <v>23521795</v>
      </c>
      <c r="U68" s="13">
        <f t="shared" si="8"/>
        <v>24521795</v>
      </c>
      <c r="V68" s="13">
        <f t="shared" si="8"/>
        <v>25521795</v>
      </c>
      <c r="W68" s="13">
        <f t="shared" si="8"/>
        <v>26521795</v>
      </c>
      <c r="X68" s="13">
        <f t="shared" si="8"/>
        <v>29021795</v>
      </c>
      <c r="Y68" s="13">
        <f t="shared" si="8"/>
        <v>28521795</v>
      </c>
      <c r="Z68" s="13">
        <f t="shared" si="8"/>
        <v>29521795</v>
      </c>
    </row>
    <row r="69" spans="1:26" x14ac:dyDescent="0.35">
      <c r="A69" s="12" t="s">
        <v>87</v>
      </c>
      <c r="C69" s="13">
        <f>IFERROR(SUMIF($A$2:$A$64,$A$69, C2:C64),"error")</f>
        <v>0</v>
      </c>
      <c r="D69" s="13">
        <f t="shared" ref="D69:Z69" si="9">IFERROR(SUMIF($A$2:$A$64,$A$69, D2:D64),"error")</f>
        <v>0</v>
      </c>
      <c r="E69" s="13">
        <f t="shared" si="9"/>
        <v>0</v>
      </c>
      <c r="F69" s="13">
        <f t="shared" si="9"/>
        <v>0</v>
      </c>
      <c r="G69" s="13">
        <f t="shared" si="9"/>
        <v>0</v>
      </c>
      <c r="H69" s="13">
        <f>IFERROR(SUMIF($A$2:$A$64,$A$69, H2:H64),"error")</f>
        <v>1891521</v>
      </c>
      <c r="I69" s="13">
        <f t="shared" si="9"/>
        <v>4133071.395</v>
      </c>
      <c r="J69" s="13">
        <f t="shared" si="9"/>
        <v>5445738.0380250001</v>
      </c>
      <c r="K69" s="13">
        <f t="shared" si="9"/>
        <v>6918509.3478348749</v>
      </c>
      <c r="L69" s="13">
        <f t="shared" si="9"/>
        <v>8383916.8010957008</v>
      </c>
      <c r="M69" s="13">
        <f t="shared" si="9"/>
        <v>9841997.217090223</v>
      </c>
      <c r="N69" s="13">
        <f t="shared" si="9"/>
        <v>10792787.231004771</v>
      </c>
      <c r="O69" s="13">
        <f t="shared" si="9"/>
        <v>11738823.294849746</v>
      </c>
      <c r="P69" s="13">
        <f t="shared" si="9"/>
        <v>12430129.178375497</v>
      </c>
      <c r="Q69" s="13">
        <f t="shared" si="9"/>
        <v>13117978.532483621</v>
      </c>
      <c r="R69" s="13">
        <f t="shared" si="9"/>
        <v>13802388.639821202</v>
      </c>
      <c r="S69" s="13">
        <f t="shared" si="9"/>
        <v>14483376.696622096</v>
      </c>
      <c r="T69" s="13">
        <f t="shared" si="9"/>
        <v>15160959.813138988</v>
      </c>
      <c r="U69" s="13">
        <f t="shared" si="9"/>
        <v>15835155.014073292</v>
      </c>
      <c r="V69" s="13">
        <f t="shared" si="9"/>
        <v>16505979.239002926</v>
      </c>
      <c r="W69" s="13">
        <f t="shared" si="9"/>
        <v>17173449.342807911</v>
      </c>
      <c r="X69" s="13">
        <f t="shared" si="9"/>
        <v>17837582.096093871</v>
      </c>
      <c r="Y69" s="13">
        <f t="shared" si="9"/>
        <v>18498394.185613401</v>
      </c>
      <c r="Z69" s="13">
        <f t="shared" si="9"/>
        <v>19168339.289108027</v>
      </c>
    </row>
    <row r="70" spans="1:26" x14ac:dyDescent="0.35">
      <c r="A70" s="12" t="s">
        <v>82</v>
      </c>
      <c r="C70" s="13">
        <f>IFERROR(SUMIF($A$2:$A$64,$A$70, C2:C64),"error")</f>
        <v>0</v>
      </c>
      <c r="D70" s="13">
        <f t="shared" ref="D70:Z70" si="10">IFERROR(SUMIF($A$2:$A$64,$A$70, D2:D64),"error")</f>
        <v>0</v>
      </c>
      <c r="E70" s="13">
        <f t="shared" si="10"/>
        <v>0</v>
      </c>
      <c r="F70" s="13">
        <f t="shared" si="10"/>
        <v>0</v>
      </c>
      <c r="G70" s="13">
        <f t="shared" si="10"/>
        <v>0</v>
      </c>
      <c r="H70" s="13">
        <f t="shared" si="10"/>
        <v>57870</v>
      </c>
      <c r="I70" s="13">
        <f t="shared" si="10"/>
        <v>163324.65</v>
      </c>
      <c r="J70" s="13">
        <f t="shared" si="10"/>
        <v>249174.02674999999</v>
      </c>
      <c r="K70" s="13">
        <f t="shared" si="10"/>
        <v>332928.15661624999</v>
      </c>
      <c r="L70" s="13">
        <f t="shared" si="10"/>
        <v>416263.51583316876</v>
      </c>
      <c r="M70" s="13">
        <f t="shared" si="10"/>
        <v>499182.1982540029</v>
      </c>
      <c r="N70" s="13">
        <f t="shared" si="10"/>
        <v>581686.28726273286</v>
      </c>
      <c r="O70" s="13">
        <f t="shared" si="10"/>
        <v>663777.8558264192</v>
      </c>
      <c r="P70" s="13">
        <f t="shared" si="10"/>
        <v>710458.96654728707</v>
      </c>
      <c r="Q70" s="13">
        <f t="shared" si="10"/>
        <v>756906.67171455058</v>
      </c>
      <c r="R70" s="13">
        <f t="shared" si="10"/>
        <v>803122.13835597795</v>
      </c>
      <c r="S70" s="13">
        <f t="shared" si="10"/>
        <v>849106.52766419807</v>
      </c>
      <c r="T70" s="13">
        <f t="shared" si="10"/>
        <v>894860.99502587703</v>
      </c>
      <c r="U70" s="13">
        <f t="shared" si="10"/>
        <v>940386.69005074759</v>
      </c>
      <c r="V70" s="13">
        <f t="shared" si="10"/>
        <v>985684.75660049391</v>
      </c>
      <c r="W70" s="13">
        <f t="shared" si="10"/>
        <v>1030756.3328174915</v>
      </c>
      <c r="X70" s="13">
        <f t="shared" si="10"/>
        <v>1075602.5511534037</v>
      </c>
      <c r="Y70" s="13">
        <f t="shared" si="10"/>
        <v>1120224.5383976367</v>
      </c>
      <c r="Z70" s="13">
        <f t="shared" si="10"/>
        <v>1164890.1305757668</v>
      </c>
    </row>
    <row r="71" spans="1:26" x14ac:dyDescent="0.35">
      <c r="A71" s="14" t="s">
        <v>89</v>
      </c>
      <c r="C71" s="13">
        <f>SUM(C68:C70)</f>
        <v>0</v>
      </c>
      <c r="D71" s="13">
        <f t="shared" ref="D71" si="11">SUM(D68:D70)</f>
        <v>0</v>
      </c>
      <c r="E71" s="13">
        <f t="shared" ref="E71:Y71" si="12">SUM(E68:E70)</f>
        <v>0</v>
      </c>
      <c r="F71" s="13">
        <f t="shared" si="12"/>
        <v>0</v>
      </c>
      <c r="G71" s="13">
        <f t="shared" si="12"/>
        <v>0</v>
      </c>
      <c r="H71" s="13">
        <f t="shared" si="12"/>
        <v>2409391</v>
      </c>
      <c r="I71" s="13">
        <f t="shared" si="12"/>
        <v>4756396.0449999999</v>
      </c>
      <c r="J71" s="13">
        <f t="shared" si="12"/>
        <v>13216707.064774999</v>
      </c>
      <c r="K71" s="13">
        <f t="shared" si="12"/>
        <v>17273232.504451122</v>
      </c>
      <c r="L71" s="13">
        <f t="shared" si="12"/>
        <v>21321975.316928871</v>
      </c>
      <c r="M71" s="13">
        <f t="shared" si="12"/>
        <v>25362974.415344227</v>
      </c>
      <c r="N71" s="13">
        <f t="shared" si="12"/>
        <v>28896268.518267505</v>
      </c>
      <c r="O71" s="13">
        <f t="shared" si="12"/>
        <v>32424396.150676165</v>
      </c>
      <c r="P71" s="13">
        <f t="shared" si="12"/>
        <v>32662383.144922785</v>
      </c>
      <c r="Q71" s="13">
        <f t="shared" si="12"/>
        <v>34396680.204198174</v>
      </c>
      <c r="R71" s="13">
        <f t="shared" si="12"/>
        <v>37627305.778177179</v>
      </c>
      <c r="S71" s="13">
        <f t="shared" si="12"/>
        <v>37854278.224286295</v>
      </c>
      <c r="T71" s="13">
        <f t="shared" si="12"/>
        <v>39577615.808164872</v>
      </c>
      <c r="U71" s="13">
        <f t="shared" si="12"/>
        <v>41297336.704124041</v>
      </c>
      <c r="V71" s="13">
        <f t="shared" si="12"/>
        <v>43013458.99560342</v>
      </c>
      <c r="W71" s="13">
        <f t="shared" si="12"/>
        <v>44726000.675625406</v>
      </c>
      <c r="X71" s="13">
        <f t="shared" si="12"/>
        <v>47934979.647247277</v>
      </c>
      <c r="Y71" s="13">
        <f t="shared" si="12"/>
        <v>48140413.724011041</v>
      </c>
      <c r="Z71" s="13">
        <f t="shared" ref="Z71" si="13">SUM(Z68:Z70)</f>
        <v>49855024.419683792</v>
      </c>
    </row>
    <row r="73" spans="1:26" ht="15.5" x14ac:dyDescent="0.35">
      <c r="A73" s="177" t="s">
        <v>90</v>
      </c>
      <c r="C73" s="220">
        <v>2020</v>
      </c>
      <c r="D73" s="220">
        <v>2021</v>
      </c>
      <c r="E73" s="220">
        <v>2022</v>
      </c>
      <c r="F73" s="220">
        <f>E73+1</f>
        <v>2023</v>
      </c>
      <c r="G73" s="220">
        <f t="shared" ref="G73" si="14">F73+1</f>
        <v>2024</v>
      </c>
      <c r="H73" s="220">
        <f t="shared" ref="H73" si="15">G73+1</f>
        <v>2025</v>
      </c>
      <c r="I73" s="220">
        <f t="shared" ref="I73" si="16">H73+1</f>
        <v>2026</v>
      </c>
      <c r="J73" s="220">
        <f t="shared" ref="J73" si="17">I73+1</f>
        <v>2027</v>
      </c>
      <c r="K73" s="220">
        <f t="shared" ref="K73" si="18">J73+1</f>
        <v>2028</v>
      </c>
      <c r="L73" s="220">
        <f t="shared" ref="L73" si="19">K73+1</f>
        <v>2029</v>
      </c>
      <c r="M73" s="220">
        <f t="shared" ref="M73" si="20">L73+1</f>
        <v>2030</v>
      </c>
      <c r="N73" s="220">
        <f t="shared" ref="N73" si="21">M73+1</f>
        <v>2031</v>
      </c>
      <c r="O73" s="220">
        <f t="shared" ref="O73" si="22">N73+1</f>
        <v>2032</v>
      </c>
      <c r="P73" s="220">
        <f t="shared" ref="P73" si="23">O73+1</f>
        <v>2033</v>
      </c>
      <c r="Q73" s="220">
        <f t="shared" ref="Q73" si="24">P73+1</f>
        <v>2034</v>
      </c>
      <c r="R73" s="220">
        <f t="shared" ref="R73" si="25">Q73+1</f>
        <v>2035</v>
      </c>
      <c r="S73" s="220">
        <f t="shared" ref="S73" si="26">R73+1</f>
        <v>2036</v>
      </c>
      <c r="T73" s="220">
        <f t="shared" ref="T73" si="27">S73+1</f>
        <v>2037</v>
      </c>
      <c r="U73" s="220">
        <f t="shared" ref="U73" si="28">T73+1</f>
        <v>2038</v>
      </c>
      <c r="V73" s="220">
        <f t="shared" ref="V73" si="29">U73+1</f>
        <v>2039</v>
      </c>
      <c r="W73" s="220">
        <f t="shared" ref="W73" si="30">V73+1</f>
        <v>2040</v>
      </c>
      <c r="X73" s="220">
        <f t="shared" ref="X73" si="31">W73+1</f>
        <v>2041</v>
      </c>
      <c r="Y73" s="220">
        <f t="shared" ref="Y73" si="32">X73+1</f>
        <v>2042</v>
      </c>
      <c r="Z73" s="220">
        <f t="shared" ref="Z73" si="33">Y73+1</f>
        <v>2043</v>
      </c>
    </row>
    <row r="74" spans="1:26" s="183" customFormat="1" x14ac:dyDescent="0.35">
      <c r="A74" s="304" t="s">
        <v>86</v>
      </c>
      <c r="C74" s="183">
        <f>SUMIFS(C2:C64,$A$2:$A$64,$A$74,$B$2:$B$64,"&lt;=2023")</f>
        <v>0</v>
      </c>
      <c r="D74" s="183">
        <f>SUMIFS(D2:D64,$A$2:$A$64,$A$74,$B$2:$B$64,"&lt;=2023")</f>
        <v>0</v>
      </c>
      <c r="E74" s="305">
        <f>C74</f>
        <v>0</v>
      </c>
      <c r="F74" s="305">
        <f t="shared" ref="F74:G74" si="34">SUM(F2:F3)</f>
        <v>0</v>
      </c>
      <c r="G74" s="305">
        <f t="shared" si="34"/>
        <v>0</v>
      </c>
      <c r="H74" s="305">
        <f>SUM(H2:H3)</f>
        <v>460000</v>
      </c>
      <c r="I74" s="305">
        <f t="shared" ref="I74:Z74" si="35">SUM(I2:I3)</f>
        <v>460000</v>
      </c>
      <c r="J74" s="305">
        <f t="shared" si="35"/>
        <v>1288463</v>
      </c>
      <c r="K74" s="305">
        <f t="shared" si="35"/>
        <v>1288463</v>
      </c>
      <c r="L74" s="305">
        <f t="shared" si="35"/>
        <v>1288463</v>
      </c>
      <c r="M74" s="305">
        <f t="shared" si="35"/>
        <v>1288463</v>
      </c>
      <c r="N74" s="305">
        <f t="shared" si="35"/>
        <v>1288463</v>
      </c>
      <c r="O74" s="305">
        <f t="shared" si="35"/>
        <v>1288463</v>
      </c>
      <c r="P74" s="305">
        <f t="shared" si="35"/>
        <v>1288463</v>
      </c>
      <c r="Q74" s="305">
        <f t="shared" si="35"/>
        <v>1288463</v>
      </c>
      <c r="R74" s="305">
        <f t="shared" si="35"/>
        <v>1288463</v>
      </c>
      <c r="S74" s="305">
        <f t="shared" si="35"/>
        <v>1288463</v>
      </c>
      <c r="T74" s="305">
        <f t="shared" si="35"/>
        <v>1288463</v>
      </c>
      <c r="U74" s="305">
        <f t="shared" si="35"/>
        <v>1288463</v>
      </c>
      <c r="V74" s="305">
        <f t="shared" si="35"/>
        <v>1288463</v>
      </c>
      <c r="W74" s="305">
        <f t="shared" si="35"/>
        <v>1288463</v>
      </c>
      <c r="X74" s="305">
        <f t="shared" si="35"/>
        <v>1288463</v>
      </c>
      <c r="Y74" s="305">
        <f t="shared" si="35"/>
        <v>1288463</v>
      </c>
      <c r="Z74" s="305">
        <f t="shared" si="35"/>
        <v>1288463</v>
      </c>
    </row>
    <row r="75" spans="1:26" x14ac:dyDescent="0.35">
      <c r="A75" s="12" t="s">
        <v>87</v>
      </c>
      <c r="C75">
        <f>SUMIFS(C2:C64,$A$2:$A$64,$A$75,$B$2:$B$64,"&lt;=2023")</f>
        <v>0</v>
      </c>
      <c r="D75">
        <f>SUMIFS(D2:D64,$A$2:$A$64,$A$75,$B$2:$B$64,"&lt;=2023")</f>
        <v>0</v>
      </c>
      <c r="E75" s="13">
        <f t="shared" ref="E75:Y75" si="36">SUM(E23:E24)</f>
        <v>0</v>
      </c>
      <c r="F75" s="13">
        <f t="shared" si="36"/>
        <v>0</v>
      </c>
      <c r="G75" s="13">
        <f t="shared" si="36"/>
        <v>0</v>
      </c>
      <c r="H75" s="13">
        <f>SUM(H23:H24)</f>
        <v>1891521</v>
      </c>
      <c r="I75" s="13">
        <f t="shared" si="36"/>
        <v>4133071.395</v>
      </c>
      <c r="J75" s="13">
        <f t="shared" si="36"/>
        <v>4112406.0380250001</v>
      </c>
      <c r="K75" s="13">
        <f>SUM(K23:K24)</f>
        <v>4091844.007834875</v>
      </c>
      <c r="L75" s="13">
        <f t="shared" si="36"/>
        <v>4071384.7877957006</v>
      </c>
      <c r="M75" s="13">
        <f t="shared" si="36"/>
        <v>4051027.8638567221</v>
      </c>
      <c r="N75" s="13">
        <f t="shared" si="36"/>
        <v>4030772.7245374382</v>
      </c>
      <c r="O75" s="13">
        <f t="shared" si="36"/>
        <v>4010618.860914751</v>
      </c>
      <c r="P75" s="13">
        <f t="shared" si="36"/>
        <v>3990565.7666101768</v>
      </c>
      <c r="Q75" s="13">
        <f t="shared" si="36"/>
        <v>3970612.9377771257</v>
      </c>
      <c r="R75" s="13">
        <f t="shared" si="36"/>
        <v>3950759.8730882402</v>
      </c>
      <c r="S75" s="13">
        <f t="shared" si="36"/>
        <v>3931006.0737227993</v>
      </c>
      <c r="T75" s="13">
        <f t="shared" si="36"/>
        <v>3911351.0433541853</v>
      </c>
      <c r="U75" s="13">
        <f t="shared" si="36"/>
        <v>3891794.2881374145</v>
      </c>
      <c r="V75" s="13">
        <f t="shared" si="36"/>
        <v>3872335.3166967272</v>
      </c>
      <c r="W75" s="13">
        <f t="shared" si="36"/>
        <v>3852973.6401132434</v>
      </c>
      <c r="X75" s="13">
        <f t="shared" si="36"/>
        <v>3833708.7719126772</v>
      </c>
      <c r="Y75" s="13">
        <f t="shared" si="36"/>
        <v>3814540.2280531134</v>
      </c>
      <c r="Z75" s="13">
        <f t="shared" ref="Z75" si="37">SUM(Z23:Z24)</f>
        <v>3804153.6013355423</v>
      </c>
    </row>
    <row r="76" spans="1:26" x14ac:dyDescent="0.35">
      <c r="A76" s="12" t="s">
        <v>82</v>
      </c>
      <c r="C76">
        <f>SUMIFS(C4:C66,$A$2:$A$64,$A$76,$B$2:$B$64,"&lt;=2023")</f>
        <v>0</v>
      </c>
      <c r="D76">
        <f>SUMIFS(D4:D66,$A$2:$A$64,$A$76,$B$2:$B$64,"&lt;=2023")</f>
        <v>0</v>
      </c>
      <c r="E76" s="13">
        <f t="shared" ref="E76:Y76" si="38">SUM(E44:E45)</f>
        <v>0</v>
      </c>
      <c r="F76" s="13">
        <f t="shared" si="38"/>
        <v>0</v>
      </c>
      <c r="G76" s="13">
        <f t="shared" si="38"/>
        <v>0</v>
      </c>
      <c r="H76" s="13">
        <f t="shared" si="38"/>
        <v>57870</v>
      </c>
      <c r="I76" s="13">
        <f t="shared" si="38"/>
        <v>163324.65</v>
      </c>
      <c r="J76" s="13">
        <f t="shared" si="38"/>
        <v>162508.02674999999</v>
      </c>
      <c r="K76" s="13">
        <f t="shared" si="38"/>
        <v>161695.48661625001</v>
      </c>
      <c r="L76" s="13">
        <f t="shared" si="38"/>
        <v>160887.00918316873</v>
      </c>
      <c r="M76" s="13">
        <f t="shared" si="38"/>
        <v>160082.5741372529</v>
      </c>
      <c r="N76" s="13">
        <f t="shared" si="38"/>
        <v>159282.16126656663</v>
      </c>
      <c r="O76" s="13">
        <f t="shared" si="38"/>
        <v>158485.7504602338</v>
      </c>
      <c r="P76" s="13">
        <f t="shared" si="38"/>
        <v>157693.32170793263</v>
      </c>
      <c r="Q76" s="13">
        <f t="shared" si="38"/>
        <v>156904.85509939294</v>
      </c>
      <c r="R76" s="13">
        <f t="shared" si="38"/>
        <v>156120.33082389599</v>
      </c>
      <c r="S76" s="13">
        <f t="shared" si="38"/>
        <v>155339.72916977652</v>
      </c>
      <c r="T76" s="13">
        <f t="shared" si="38"/>
        <v>154563.03052392765</v>
      </c>
      <c r="U76" s="13">
        <f t="shared" si="38"/>
        <v>153790.215371308</v>
      </c>
      <c r="V76" s="13">
        <f t="shared" si="38"/>
        <v>153021.26429445145</v>
      </c>
      <c r="W76" s="13">
        <f t="shared" si="38"/>
        <v>152256.15797297921</v>
      </c>
      <c r="X76" s="13">
        <f t="shared" si="38"/>
        <v>151494.87718311429</v>
      </c>
      <c r="Y76" s="13">
        <f t="shared" si="38"/>
        <v>150737.40279719874</v>
      </c>
      <c r="Z76" s="13">
        <f t="shared" ref="Z76" si="39">SUM(Z44:Z45)</f>
        <v>150250.43065333107</v>
      </c>
    </row>
    <row r="77" spans="1:26" x14ac:dyDescent="0.35">
      <c r="A77" s="14" t="s">
        <v>89</v>
      </c>
      <c r="C77" s="13">
        <f t="shared" ref="C77:Y77" si="40">SUM(C74:C76)</f>
        <v>0</v>
      </c>
      <c r="D77" s="13">
        <f t="shared" si="40"/>
        <v>0</v>
      </c>
      <c r="E77" s="13">
        <f t="shared" si="40"/>
        <v>0</v>
      </c>
      <c r="F77" s="13">
        <f t="shared" si="40"/>
        <v>0</v>
      </c>
      <c r="G77" s="13">
        <f t="shared" si="40"/>
        <v>0</v>
      </c>
      <c r="H77" s="13">
        <f t="shared" si="40"/>
        <v>2409391</v>
      </c>
      <c r="I77" s="13">
        <f t="shared" si="40"/>
        <v>4756396.0449999999</v>
      </c>
      <c r="J77" s="13">
        <f t="shared" si="40"/>
        <v>5563377.0647750003</v>
      </c>
      <c r="K77" s="13">
        <f t="shared" si="40"/>
        <v>5542002.4944511252</v>
      </c>
      <c r="L77" s="13">
        <f t="shared" si="40"/>
        <v>5520734.7969788685</v>
      </c>
      <c r="M77" s="13">
        <f t="shared" si="40"/>
        <v>5499573.4379939744</v>
      </c>
      <c r="N77" s="13">
        <f t="shared" si="40"/>
        <v>5478517.885804004</v>
      </c>
      <c r="O77" s="13">
        <f t="shared" si="40"/>
        <v>5457567.6113749845</v>
      </c>
      <c r="P77" s="13">
        <f t="shared" si="40"/>
        <v>5436722.0883181095</v>
      </c>
      <c r="Q77" s="13">
        <f t="shared" si="40"/>
        <v>5415980.7928765193</v>
      </c>
      <c r="R77" s="13">
        <f t="shared" si="40"/>
        <v>5395343.2039121371</v>
      </c>
      <c r="S77" s="13">
        <f t="shared" si="40"/>
        <v>5374808.802892576</v>
      </c>
      <c r="T77" s="13">
        <f t="shared" si="40"/>
        <v>5354377.0738781132</v>
      </c>
      <c r="U77" s="13">
        <f t="shared" si="40"/>
        <v>5334047.5035087224</v>
      </c>
      <c r="V77" s="13">
        <f t="shared" si="40"/>
        <v>5313819.5809911788</v>
      </c>
      <c r="W77" s="13">
        <f t="shared" si="40"/>
        <v>5293692.7980862232</v>
      </c>
      <c r="X77" s="13">
        <f t="shared" si="40"/>
        <v>5273666.6490957914</v>
      </c>
      <c r="Y77" s="13">
        <f t="shared" si="40"/>
        <v>5253740.6308503123</v>
      </c>
      <c r="Z77" s="13">
        <f t="shared" ref="Z77" si="41">SUM(Z74:Z76)</f>
        <v>5242867.0319888731</v>
      </c>
    </row>
    <row r="78" spans="1:26" x14ac:dyDescent="0.35">
      <c r="P78" s="185"/>
    </row>
    <row r="79" spans="1:26" ht="15.5" x14ac:dyDescent="0.35">
      <c r="A79" s="1" t="s">
        <v>91</v>
      </c>
      <c r="C79" s="220">
        <v>2020</v>
      </c>
      <c r="D79" s="220">
        <v>2021</v>
      </c>
      <c r="E79" s="220">
        <v>2022</v>
      </c>
      <c r="F79" s="220">
        <f>E79+1</f>
        <v>2023</v>
      </c>
      <c r="G79" s="220">
        <f t="shared" ref="G79" si="42">F79+1</f>
        <v>2024</v>
      </c>
      <c r="H79" s="220">
        <f t="shared" ref="H79" si="43">G79+1</f>
        <v>2025</v>
      </c>
      <c r="I79" s="220">
        <f t="shared" ref="I79" si="44">H79+1</f>
        <v>2026</v>
      </c>
      <c r="J79" s="220">
        <f t="shared" ref="J79" si="45">I79+1</f>
        <v>2027</v>
      </c>
      <c r="K79" s="220">
        <f t="shared" ref="K79" si="46">J79+1</f>
        <v>2028</v>
      </c>
      <c r="L79" s="220">
        <f t="shared" ref="L79" si="47">K79+1</f>
        <v>2029</v>
      </c>
      <c r="M79" s="220">
        <f t="shared" ref="M79" si="48">L79+1</f>
        <v>2030</v>
      </c>
      <c r="N79" s="220">
        <f t="shared" ref="N79" si="49">M79+1</f>
        <v>2031</v>
      </c>
      <c r="O79" s="220">
        <f t="shared" ref="O79" si="50">N79+1</f>
        <v>2032</v>
      </c>
      <c r="P79" s="220">
        <f t="shared" ref="P79" si="51">O79+1</f>
        <v>2033</v>
      </c>
      <c r="Q79" s="220">
        <f t="shared" ref="Q79" si="52">P79+1</f>
        <v>2034</v>
      </c>
      <c r="R79" s="220">
        <f t="shared" ref="R79" si="53">Q79+1</f>
        <v>2035</v>
      </c>
      <c r="S79" s="220">
        <f t="shared" ref="S79" si="54">R79+1</f>
        <v>2036</v>
      </c>
      <c r="T79" s="220">
        <f t="shared" ref="T79" si="55">S79+1</f>
        <v>2037</v>
      </c>
      <c r="U79" s="220">
        <f t="shared" ref="U79" si="56">T79+1</f>
        <v>2038</v>
      </c>
      <c r="V79" s="220">
        <f t="shared" ref="V79" si="57">U79+1</f>
        <v>2039</v>
      </c>
      <c r="W79" s="220">
        <f t="shared" ref="W79" si="58">V79+1</f>
        <v>2040</v>
      </c>
      <c r="X79" s="220">
        <f t="shared" ref="X79" si="59">W79+1</f>
        <v>2041</v>
      </c>
      <c r="Y79" s="220">
        <f t="shared" ref="Y79" si="60">X79+1</f>
        <v>2042</v>
      </c>
      <c r="Z79" s="220">
        <f t="shared" ref="Z79" si="61">Y79+1</f>
        <v>2043</v>
      </c>
    </row>
    <row r="80" spans="1:26" s="183" customFormat="1" x14ac:dyDescent="0.35">
      <c r="A80" s="304" t="s">
        <v>86</v>
      </c>
      <c r="C80" s="306">
        <f>SUMIFS(C2:C64,$A$2:$A$64,$A$80,$B$2:$B$64,"&gt;2023")</f>
        <v>0</v>
      </c>
      <c r="D80" s="306">
        <f t="shared" ref="D80:Z80" si="62">SUMIFS(D2:D64,$A$2:$A$64,$A$80,$B$2:$B$64,"&gt;2023")</f>
        <v>0</v>
      </c>
      <c r="E80" s="306">
        <f t="shared" si="62"/>
        <v>0</v>
      </c>
      <c r="F80" s="306">
        <f t="shared" si="62"/>
        <v>0</v>
      </c>
      <c r="G80" s="306">
        <f t="shared" si="62"/>
        <v>0</v>
      </c>
      <c r="H80" s="306">
        <f t="shared" si="62"/>
        <v>0</v>
      </c>
      <c r="I80" s="306">
        <f t="shared" si="62"/>
        <v>0</v>
      </c>
      <c r="J80" s="306">
        <f t="shared" si="62"/>
        <v>6233332</v>
      </c>
      <c r="K80" s="306">
        <f t="shared" si="62"/>
        <v>8733332</v>
      </c>
      <c r="L80" s="306">
        <f t="shared" si="62"/>
        <v>11233332</v>
      </c>
      <c r="M80" s="306">
        <f t="shared" si="62"/>
        <v>13733332</v>
      </c>
      <c r="N80" s="306">
        <f t="shared" si="62"/>
        <v>16233332</v>
      </c>
      <c r="O80" s="306">
        <f t="shared" si="62"/>
        <v>18733332</v>
      </c>
      <c r="P80" s="306">
        <f t="shared" si="62"/>
        <v>18233332</v>
      </c>
      <c r="Q80" s="306">
        <f t="shared" si="62"/>
        <v>19233332</v>
      </c>
      <c r="R80" s="306">
        <f t="shared" si="62"/>
        <v>21733332</v>
      </c>
      <c r="S80" s="306">
        <f t="shared" si="62"/>
        <v>21233332</v>
      </c>
      <c r="T80" s="306">
        <f t="shared" si="62"/>
        <v>22233332</v>
      </c>
      <c r="U80" s="306">
        <f t="shared" si="62"/>
        <v>23233332</v>
      </c>
      <c r="V80" s="306">
        <f t="shared" si="62"/>
        <v>24233332</v>
      </c>
      <c r="W80" s="306">
        <f t="shared" si="62"/>
        <v>25233332</v>
      </c>
      <c r="X80" s="306">
        <f t="shared" si="62"/>
        <v>27733332</v>
      </c>
      <c r="Y80" s="306">
        <f t="shared" si="62"/>
        <v>27233332</v>
      </c>
      <c r="Z80" s="306">
        <f t="shared" si="62"/>
        <v>28233332</v>
      </c>
    </row>
    <row r="81" spans="1:26" s="183" customFormat="1" x14ac:dyDescent="0.35">
      <c r="A81" s="304" t="s">
        <v>87</v>
      </c>
      <c r="C81" s="306">
        <f>SUMIFS(C2:C64,$A$2:$A$64,$A$81,$B$2:$B$64,"&gt;2023")</f>
        <v>0</v>
      </c>
      <c r="D81" s="306">
        <f t="shared" ref="D81:Z81" si="63">SUMIFS(D2:D64,$A$2:$A$64,$A$81,$B$2:$B$64,"&gt;2023")</f>
        <v>0</v>
      </c>
      <c r="E81" s="306">
        <f t="shared" si="63"/>
        <v>0</v>
      </c>
      <c r="F81" s="306">
        <f t="shared" si="63"/>
        <v>0</v>
      </c>
      <c r="G81" s="306">
        <f t="shared" si="63"/>
        <v>0</v>
      </c>
      <c r="H81" s="306">
        <f t="shared" si="63"/>
        <v>0</v>
      </c>
      <c r="I81" s="306">
        <f t="shared" si="63"/>
        <v>0</v>
      </c>
      <c r="J81" s="306">
        <f t="shared" si="63"/>
        <v>1333332</v>
      </c>
      <c r="K81" s="306">
        <f t="shared" si="63"/>
        <v>2826665.34</v>
      </c>
      <c r="L81" s="306">
        <f t="shared" si="63"/>
        <v>4312532.0132999998</v>
      </c>
      <c r="M81" s="306">
        <f t="shared" si="63"/>
        <v>5790969.3532334995</v>
      </c>
      <c r="N81" s="306">
        <f t="shared" si="63"/>
        <v>6762014.5064673321</v>
      </c>
      <c r="O81" s="306">
        <f t="shared" si="63"/>
        <v>7728204.4339349959</v>
      </c>
      <c r="P81" s="306">
        <f t="shared" si="63"/>
        <v>8439563.4117653202</v>
      </c>
      <c r="Q81" s="306">
        <f t="shared" si="63"/>
        <v>9147365.5947064944</v>
      </c>
      <c r="R81" s="306">
        <f t="shared" si="63"/>
        <v>9851628.7667329628</v>
      </c>
      <c r="S81" s="306">
        <f t="shared" si="63"/>
        <v>10552370.622899298</v>
      </c>
      <c r="T81" s="306">
        <f t="shared" si="63"/>
        <v>11249608.769784801</v>
      </c>
      <c r="U81" s="306">
        <f t="shared" si="63"/>
        <v>11943360.725935878</v>
      </c>
      <c r="V81" s="306">
        <f t="shared" si="63"/>
        <v>12633643.922306197</v>
      </c>
      <c r="W81" s="306">
        <f t="shared" si="63"/>
        <v>13320475.702694668</v>
      </c>
      <c r="X81" s="306">
        <f t="shared" si="63"/>
        <v>14003873.324181193</v>
      </c>
      <c r="Y81" s="306">
        <f t="shared" si="63"/>
        <v>14683853.957560286</v>
      </c>
      <c r="Z81" s="306">
        <f t="shared" si="63"/>
        <v>15364185.687772484</v>
      </c>
    </row>
    <row r="82" spans="1:26" s="183" customFormat="1" x14ac:dyDescent="0.35">
      <c r="A82" s="304" t="s">
        <v>82</v>
      </c>
      <c r="C82" s="306">
        <f>SUMIFS(C2:C64,$A$2:$A$64,$A$82,$B$2:$B$64,"&gt;2023")</f>
        <v>0</v>
      </c>
      <c r="D82" s="306">
        <f t="shared" ref="D82:Z82" si="64">SUMIFS(D2:D64,$A$2:$A$64,$A$82,$B$2:$B$64,"&gt;2023")</f>
        <v>0</v>
      </c>
      <c r="E82" s="306">
        <f t="shared" si="64"/>
        <v>0</v>
      </c>
      <c r="F82" s="306">
        <f t="shared" si="64"/>
        <v>0</v>
      </c>
      <c r="G82" s="306">
        <f t="shared" si="64"/>
        <v>0</v>
      </c>
      <c r="H82" s="306">
        <f t="shared" si="64"/>
        <v>0</v>
      </c>
      <c r="I82" s="306">
        <f t="shared" si="64"/>
        <v>0</v>
      </c>
      <c r="J82" s="306">
        <f t="shared" si="64"/>
        <v>86666</v>
      </c>
      <c r="K82" s="306">
        <f t="shared" si="64"/>
        <v>171232.66999999998</v>
      </c>
      <c r="L82" s="306">
        <f t="shared" si="64"/>
        <v>255376.50665</v>
      </c>
      <c r="M82" s="306">
        <f t="shared" si="64"/>
        <v>339099.62411674997</v>
      </c>
      <c r="N82" s="306">
        <f t="shared" si="64"/>
        <v>422404.12599616626</v>
      </c>
      <c r="O82" s="306">
        <f t="shared" si="64"/>
        <v>505292.10536618542</v>
      </c>
      <c r="P82" s="306">
        <f t="shared" si="64"/>
        <v>552765.64483935456</v>
      </c>
      <c r="Q82" s="306">
        <f t="shared" si="64"/>
        <v>600001.81661515776</v>
      </c>
      <c r="R82" s="306">
        <f t="shared" si="64"/>
        <v>647001.80753208185</v>
      </c>
      <c r="S82" s="306">
        <f t="shared" si="64"/>
        <v>693766.79849442153</v>
      </c>
      <c r="T82" s="306">
        <f t="shared" si="64"/>
        <v>740297.96450194949</v>
      </c>
      <c r="U82" s="306">
        <f t="shared" si="64"/>
        <v>786596.47467943968</v>
      </c>
      <c r="V82" s="306">
        <f t="shared" si="64"/>
        <v>832663.49230604235</v>
      </c>
      <c r="W82" s="306">
        <f t="shared" si="64"/>
        <v>878500.17484451213</v>
      </c>
      <c r="X82" s="306">
        <f t="shared" si="64"/>
        <v>924107.67397028964</v>
      </c>
      <c r="Y82" s="306">
        <f t="shared" si="64"/>
        <v>969487.13560043823</v>
      </c>
      <c r="Z82" s="306">
        <f t="shared" si="64"/>
        <v>1014639.6999224358</v>
      </c>
    </row>
    <row r="83" spans="1:26" x14ac:dyDescent="0.35">
      <c r="A83" s="14" t="s">
        <v>89</v>
      </c>
      <c r="C83" s="172">
        <f>SUM(C80:C82)</f>
        <v>0</v>
      </c>
      <c r="D83" s="172">
        <f t="shared" ref="D83:Z83" si="65">SUM(D80:D82)</f>
        <v>0</v>
      </c>
      <c r="E83" s="172">
        <f t="shared" si="65"/>
        <v>0</v>
      </c>
      <c r="F83" s="172">
        <f t="shared" si="65"/>
        <v>0</v>
      </c>
      <c r="G83" s="172">
        <f t="shared" si="65"/>
        <v>0</v>
      </c>
      <c r="H83" s="172">
        <f t="shared" si="65"/>
        <v>0</v>
      </c>
      <c r="I83" s="172">
        <f t="shared" si="65"/>
        <v>0</v>
      </c>
      <c r="J83" s="172">
        <f t="shared" si="65"/>
        <v>7653330</v>
      </c>
      <c r="K83" s="172">
        <f t="shared" si="65"/>
        <v>11731230.01</v>
      </c>
      <c r="L83" s="172">
        <f t="shared" si="65"/>
        <v>15801240.519950001</v>
      </c>
      <c r="M83" s="172">
        <f t="shared" si="65"/>
        <v>19863400.97735025</v>
      </c>
      <c r="N83" s="172">
        <f t="shared" si="65"/>
        <v>23417750.632463496</v>
      </c>
      <c r="O83" s="172">
        <f t="shared" si="65"/>
        <v>26966828.539301179</v>
      </c>
      <c r="P83" s="172">
        <f t="shared" si="65"/>
        <v>27225661.056604676</v>
      </c>
      <c r="Q83" s="172">
        <f t="shared" si="65"/>
        <v>28980699.411321651</v>
      </c>
      <c r="R83" s="172">
        <f t="shared" si="65"/>
        <v>32231962.574265044</v>
      </c>
      <c r="S83" s="172">
        <f t="shared" si="65"/>
        <v>32479469.421393719</v>
      </c>
      <c r="T83" s="172">
        <f t="shared" si="65"/>
        <v>34223238.734286748</v>
      </c>
      <c r="U83" s="172">
        <f t="shared" si="65"/>
        <v>35963289.200615317</v>
      </c>
      <c r="V83" s="172">
        <f t="shared" si="65"/>
        <v>37699639.414612234</v>
      </c>
      <c r="W83" s="172">
        <f t="shared" si="65"/>
        <v>39432307.87753918</v>
      </c>
      <c r="X83" s="172">
        <f t="shared" si="65"/>
        <v>42661312.998151481</v>
      </c>
      <c r="Y83" s="172">
        <f t="shared" si="65"/>
        <v>42886673.093160726</v>
      </c>
      <c r="Z83" s="172">
        <f t="shared" si="65"/>
        <v>44612157.387694918</v>
      </c>
    </row>
    <row r="86" spans="1:26" x14ac:dyDescent="0.35">
      <c r="P86" s="185"/>
      <c r="W86" s="97">
        <f>'Collections and ACP'!L27</f>
        <v>0</v>
      </c>
    </row>
    <row r="87" spans="1:26" x14ac:dyDescent="0.35">
      <c r="P87" s="185"/>
      <c r="W87" s="97" t="e">
        <f>'Collections and ACP'!#REF!</f>
        <v>#REF!</v>
      </c>
    </row>
    <row r="88" spans="1:26" x14ac:dyDescent="0.35">
      <c r="P88" s="185"/>
      <c r="W88" s="97">
        <f>'Collections and ACP'!M27</f>
        <v>0</v>
      </c>
    </row>
    <row r="89" spans="1:26" ht="15.5" x14ac:dyDescent="0.35">
      <c r="B89" s="1"/>
      <c r="C89" s="1"/>
      <c r="D89" s="1"/>
      <c r="E89" s="177"/>
      <c r="F89" s="177"/>
      <c r="G89" s="177"/>
      <c r="H89" s="220">
        <f t="shared" ref="H89:Z89" si="66">H79</f>
        <v>2025</v>
      </c>
      <c r="I89" s="220">
        <f t="shared" si="66"/>
        <v>2026</v>
      </c>
      <c r="J89" s="220">
        <f t="shared" si="66"/>
        <v>2027</v>
      </c>
      <c r="K89" s="220">
        <f t="shared" si="66"/>
        <v>2028</v>
      </c>
      <c r="L89" s="220">
        <f t="shared" si="66"/>
        <v>2029</v>
      </c>
      <c r="M89" s="220">
        <f t="shared" si="66"/>
        <v>2030</v>
      </c>
      <c r="N89" s="220">
        <f t="shared" si="66"/>
        <v>2031</v>
      </c>
      <c r="O89" s="220">
        <f t="shared" si="66"/>
        <v>2032</v>
      </c>
      <c r="P89" s="220">
        <f t="shared" si="66"/>
        <v>2033</v>
      </c>
      <c r="Q89" s="220">
        <f t="shared" si="66"/>
        <v>2034</v>
      </c>
      <c r="R89" s="220">
        <f t="shared" si="66"/>
        <v>2035</v>
      </c>
      <c r="S89" s="220">
        <f t="shared" si="66"/>
        <v>2036</v>
      </c>
      <c r="T89" s="220">
        <f t="shared" si="66"/>
        <v>2037</v>
      </c>
      <c r="U89" s="220">
        <f t="shared" si="66"/>
        <v>2038</v>
      </c>
      <c r="V89" s="220">
        <f t="shared" si="66"/>
        <v>2039</v>
      </c>
      <c r="W89" s="220">
        <f t="shared" si="66"/>
        <v>2040</v>
      </c>
      <c r="X89" s="220">
        <f t="shared" si="66"/>
        <v>2041</v>
      </c>
      <c r="Y89" s="220">
        <f t="shared" si="66"/>
        <v>2042</v>
      </c>
      <c r="Z89" s="220">
        <f t="shared" si="66"/>
        <v>2043</v>
      </c>
    </row>
    <row r="90" spans="1:26" ht="15.5" x14ac:dyDescent="0.35">
      <c r="B90" s="1"/>
      <c r="C90" s="1"/>
      <c r="D90" s="1"/>
      <c r="E90" s="11">
        <v>2023</v>
      </c>
      <c r="F90" s="11"/>
      <c r="G90" s="177" t="s">
        <v>92</v>
      </c>
      <c r="H90" s="28">
        <f>SUMIF($B$2:$B$64,$E90,H$2:H$64)+SUMIF($B$2:$B$64,$F90,H$2:H$64)</f>
        <v>0</v>
      </c>
      <c r="I90" s="28">
        <f>SUMIF($B$2:$B$64,$E90,I$2:I$64)+SUMIF($B$2:$B$64,$F90,I$2:I$64)</f>
        <v>2356752</v>
      </c>
      <c r="J90" s="28">
        <f t="shared" ref="J90:Z90" si="67">SUMIF($B$2:$B$64,$E90,J$2:J$64)+SUMIF($B$2:$B$64,$F90,J$2:J$64)</f>
        <v>3173431.2399999998</v>
      </c>
      <c r="K90" s="28">
        <f t="shared" si="67"/>
        <v>3161706.3988000001</v>
      </c>
      <c r="L90" s="28">
        <f t="shared" si="67"/>
        <v>3150040.1818059999</v>
      </c>
      <c r="M90" s="28">
        <f t="shared" si="67"/>
        <v>3138432.2958969702</v>
      </c>
      <c r="N90" s="28">
        <f t="shared" si="67"/>
        <v>3126882.4494174849</v>
      </c>
      <c r="O90" s="28">
        <f t="shared" si="67"/>
        <v>3115390.3521703975</v>
      </c>
      <c r="P90" s="28">
        <f t="shared" si="67"/>
        <v>3103955.7154095452</v>
      </c>
      <c r="Q90" s="28">
        <f t="shared" si="67"/>
        <v>3092578.2518324973</v>
      </c>
      <c r="R90" s="28">
        <f t="shared" si="67"/>
        <v>3081257.675573335</v>
      </c>
      <c r="S90" s="28">
        <f t="shared" si="67"/>
        <v>3069993.7021954684</v>
      </c>
      <c r="T90" s="28">
        <f t="shared" si="67"/>
        <v>3058786.0486844913</v>
      </c>
      <c r="U90" s="28">
        <f t="shared" si="67"/>
        <v>3047634.433441069</v>
      </c>
      <c r="V90" s="28">
        <f t="shared" si="67"/>
        <v>3036538.5762738632</v>
      </c>
      <c r="W90" s="28">
        <f t="shared" si="67"/>
        <v>3025498.1983924941</v>
      </c>
      <c r="X90" s="28">
        <f t="shared" si="67"/>
        <v>3014513.0224005319</v>
      </c>
      <c r="Y90" s="28">
        <f t="shared" si="67"/>
        <v>3003582.7722885292</v>
      </c>
      <c r="Z90" s="28">
        <f t="shared" si="67"/>
        <v>2992707.1734270868</v>
      </c>
    </row>
    <row r="91" spans="1:26" ht="15.5" x14ac:dyDescent="0.35">
      <c r="B91" s="172"/>
      <c r="C91" s="172"/>
      <c r="D91" s="172"/>
      <c r="E91" s="11">
        <v>2024</v>
      </c>
      <c r="F91" s="11">
        <v>2025</v>
      </c>
      <c r="G91" s="177" t="s">
        <v>93</v>
      </c>
      <c r="H91" s="28">
        <f>SUMIF($B$2:$B$64,$E91,H$2:H$64)+SUMIF($B$2:$B$64,$F91,H$2:H$64)</f>
        <v>0</v>
      </c>
      <c r="I91" s="28">
        <f t="shared" ref="I91:Z99" si="68">SUMIF($B$2:$B$64,$E91,I$2:I$64)+SUMIF($B$2:$B$64,$F91,I$2:I$64)</f>
        <v>0</v>
      </c>
      <c r="J91" s="28">
        <f>SUMIF($B$2:$B$64,$E91,J$2:J$64)+SUMIF($B$2:$B$64,$F91,J$2:J$64)</f>
        <v>7653330</v>
      </c>
      <c r="K91" s="28">
        <f t="shared" si="68"/>
        <v>11731230.01</v>
      </c>
      <c r="L91" s="28">
        <f t="shared" si="68"/>
        <v>11716240.519949999</v>
      </c>
      <c r="M91" s="28">
        <f t="shared" si="68"/>
        <v>11701325.97735025</v>
      </c>
      <c r="N91" s="28">
        <f t="shared" si="68"/>
        <v>11686486.007463498</v>
      </c>
      <c r="O91" s="28">
        <f t="shared" si="68"/>
        <v>11671720.23742618</v>
      </c>
      <c r="P91" s="28">
        <f t="shared" si="68"/>
        <v>11657028.29623905</v>
      </c>
      <c r="Q91" s="28">
        <f t="shared" si="68"/>
        <v>11642409.814757856</v>
      </c>
      <c r="R91" s="28">
        <f t="shared" si="68"/>
        <v>11627864.425684066</v>
      </c>
      <c r="S91" s="28">
        <f t="shared" si="68"/>
        <v>11613391.763555646</v>
      </c>
      <c r="T91" s="28">
        <f t="shared" si="68"/>
        <v>11598991.464737868</v>
      </c>
      <c r="U91" s="28">
        <f t="shared" si="68"/>
        <v>11584663.167414179</v>
      </c>
      <c r="V91" s="28">
        <f t="shared" si="68"/>
        <v>11570406.511577107</v>
      </c>
      <c r="W91" s="28">
        <f t="shared" si="68"/>
        <v>11556221.139019221</v>
      </c>
      <c r="X91" s="28">
        <f t="shared" si="68"/>
        <v>11542106.693324124</v>
      </c>
      <c r="Y91" s="28">
        <f t="shared" si="68"/>
        <v>11528062.819857504</v>
      </c>
      <c r="Z91" s="28">
        <f t="shared" si="68"/>
        <v>11514089.165758217</v>
      </c>
    </row>
    <row r="92" spans="1:26" ht="15.5" x14ac:dyDescent="0.35">
      <c r="B92" s="199"/>
      <c r="C92" s="199"/>
      <c r="D92" s="199"/>
      <c r="E92" s="11">
        <v>2026</v>
      </c>
      <c r="F92" s="11">
        <v>2027</v>
      </c>
      <c r="G92" s="177" t="s">
        <v>94</v>
      </c>
      <c r="H92" s="28">
        <f t="shared" ref="H92:W99" si="69">SUMIF($B$2:$B$64,$E92,H$2:H$64)+SUMIF($B$2:$B$64,$F92,H$2:H$64)</f>
        <v>0</v>
      </c>
      <c r="I92" s="28">
        <f t="shared" si="69"/>
        <v>0</v>
      </c>
      <c r="J92" s="28">
        <f t="shared" si="69"/>
        <v>0</v>
      </c>
      <c r="K92" s="28">
        <f t="shared" si="69"/>
        <v>0</v>
      </c>
      <c r="L92" s="28">
        <f t="shared" si="69"/>
        <v>4085000</v>
      </c>
      <c r="M92" s="28">
        <f t="shared" si="69"/>
        <v>8162075</v>
      </c>
      <c r="N92" s="28">
        <f t="shared" si="69"/>
        <v>8146264.625</v>
      </c>
      <c r="O92" s="28">
        <f t="shared" si="69"/>
        <v>8130533.3018749999</v>
      </c>
      <c r="P92" s="28">
        <f t="shared" si="69"/>
        <v>8114880.6353656249</v>
      </c>
      <c r="Q92" s="28">
        <f t="shared" si="69"/>
        <v>8099306.2321887966</v>
      </c>
      <c r="R92" s="28">
        <f t="shared" si="69"/>
        <v>8083809.7010278534</v>
      </c>
      <c r="S92" s="28">
        <f t="shared" si="69"/>
        <v>8068390.6525227139</v>
      </c>
      <c r="T92" s="28">
        <f t="shared" si="69"/>
        <v>8053048.6992601007</v>
      </c>
      <c r="U92" s="28">
        <f t="shared" si="69"/>
        <v>8037783.4557638001</v>
      </c>
      <c r="V92" s="28">
        <f t="shared" si="69"/>
        <v>8022594.5384849813</v>
      </c>
      <c r="W92" s="28">
        <f t="shared" si="69"/>
        <v>8007481.5657925559</v>
      </c>
      <c r="X92" s="28">
        <f t="shared" si="68"/>
        <v>7992444.1579635935</v>
      </c>
      <c r="Y92" s="28">
        <f t="shared" si="68"/>
        <v>7977481.9371737754</v>
      </c>
      <c r="Z92" s="28">
        <f t="shared" si="68"/>
        <v>7962594.5274879057</v>
      </c>
    </row>
    <row r="93" spans="1:26" ht="15.5" x14ac:dyDescent="0.35">
      <c r="B93" s="199"/>
      <c r="C93" s="199"/>
      <c r="D93" s="199"/>
      <c r="E93" s="11">
        <v>2028</v>
      </c>
      <c r="F93" s="11">
        <v>2029</v>
      </c>
      <c r="G93" s="177" t="s">
        <v>95</v>
      </c>
      <c r="H93" s="28">
        <f t="shared" si="69"/>
        <v>0</v>
      </c>
      <c r="I93" s="28">
        <f t="shared" si="68"/>
        <v>0</v>
      </c>
      <c r="J93" s="28">
        <f t="shared" si="68"/>
        <v>0</v>
      </c>
      <c r="K93" s="28">
        <f t="shared" si="68"/>
        <v>0</v>
      </c>
      <c r="L93" s="28">
        <f t="shared" si="68"/>
        <v>0</v>
      </c>
      <c r="M93" s="28">
        <f t="shared" si="68"/>
        <v>0</v>
      </c>
      <c r="N93" s="28">
        <f t="shared" si="68"/>
        <v>3585000</v>
      </c>
      <c r="O93" s="28">
        <f t="shared" si="68"/>
        <v>7164575</v>
      </c>
      <c r="P93" s="28">
        <f t="shared" si="68"/>
        <v>5653752.125</v>
      </c>
      <c r="Q93" s="28">
        <f t="shared" si="68"/>
        <v>5642983.3643749999</v>
      </c>
      <c r="R93" s="28">
        <f t="shared" si="68"/>
        <v>5632268.4475531243</v>
      </c>
      <c r="S93" s="28">
        <f t="shared" si="68"/>
        <v>5621607.1053153593</v>
      </c>
      <c r="T93" s="28">
        <f t="shared" si="68"/>
        <v>5610999.0697887829</v>
      </c>
      <c r="U93" s="28">
        <f t="shared" si="68"/>
        <v>5600444.0744398385</v>
      </c>
      <c r="V93" s="28">
        <f t="shared" si="68"/>
        <v>5589941.8540676394</v>
      </c>
      <c r="W93" s="28">
        <f t="shared" si="68"/>
        <v>5579492.1447973009</v>
      </c>
      <c r="X93" s="28">
        <f t="shared" si="68"/>
        <v>5569094.684073315</v>
      </c>
      <c r="Y93" s="28">
        <f t="shared" si="68"/>
        <v>5558749.2106529484</v>
      </c>
      <c r="Z93" s="28">
        <f t="shared" si="68"/>
        <v>5548455.4645996839</v>
      </c>
    </row>
    <row r="94" spans="1:26" ht="15.5" x14ac:dyDescent="0.35">
      <c r="B94" s="199"/>
      <c r="C94" s="199"/>
      <c r="D94" s="199"/>
      <c r="E94" s="11">
        <v>2030</v>
      </c>
      <c r="F94" s="11">
        <v>2031</v>
      </c>
      <c r="G94" s="177" t="s">
        <v>96</v>
      </c>
      <c r="H94" s="28">
        <f t="shared" si="69"/>
        <v>0</v>
      </c>
      <c r="I94" s="28">
        <f t="shared" si="68"/>
        <v>0</v>
      </c>
      <c r="J94" s="28">
        <f t="shared" si="68"/>
        <v>0</v>
      </c>
      <c r="K94" s="28">
        <f t="shared" si="68"/>
        <v>0</v>
      </c>
      <c r="L94" s="28">
        <f t="shared" si="68"/>
        <v>0</v>
      </c>
      <c r="M94" s="28">
        <f t="shared" si="68"/>
        <v>0</v>
      </c>
      <c r="N94" s="28">
        <f t="shared" si="68"/>
        <v>0</v>
      </c>
      <c r="O94" s="28">
        <f t="shared" si="68"/>
        <v>0</v>
      </c>
      <c r="P94" s="28">
        <f t="shared" si="68"/>
        <v>1800000</v>
      </c>
      <c r="Q94" s="28">
        <f t="shared" si="68"/>
        <v>3596000</v>
      </c>
      <c r="R94" s="28">
        <f t="shared" si="68"/>
        <v>5088020</v>
      </c>
      <c r="S94" s="28">
        <f t="shared" si="68"/>
        <v>3580079.9</v>
      </c>
      <c r="T94" s="28">
        <f t="shared" si="68"/>
        <v>3572179.5005000001</v>
      </c>
      <c r="U94" s="28">
        <f t="shared" si="68"/>
        <v>3564318.6029975004</v>
      </c>
      <c r="V94" s="28">
        <f t="shared" si="68"/>
        <v>3556497.0099825133</v>
      </c>
      <c r="W94" s="28">
        <f t="shared" si="68"/>
        <v>3548714.5249326001</v>
      </c>
      <c r="X94" s="28">
        <f t="shared" si="68"/>
        <v>3540970.9523079367</v>
      </c>
      <c r="Y94" s="28">
        <f t="shared" si="68"/>
        <v>3533266.0975463977</v>
      </c>
      <c r="Z94" s="28">
        <f t="shared" si="68"/>
        <v>3525599.7670586654</v>
      </c>
    </row>
    <row r="95" spans="1:26" ht="15.5" x14ac:dyDescent="0.35">
      <c r="B95" s="199"/>
      <c r="C95" s="199"/>
      <c r="D95" s="199"/>
      <c r="E95" s="11">
        <v>2032</v>
      </c>
      <c r="F95" s="11">
        <v>2033</v>
      </c>
      <c r="G95" s="177" t="s">
        <v>97</v>
      </c>
      <c r="H95" s="28">
        <f t="shared" si="69"/>
        <v>0</v>
      </c>
      <c r="I95" s="28">
        <f t="shared" si="68"/>
        <v>0</v>
      </c>
      <c r="J95" s="28">
        <f t="shared" si="68"/>
        <v>0</v>
      </c>
      <c r="K95" s="28">
        <f t="shared" si="68"/>
        <v>0</v>
      </c>
      <c r="L95" s="28">
        <f t="shared" si="68"/>
        <v>0</v>
      </c>
      <c r="M95" s="28">
        <f t="shared" si="68"/>
        <v>0</v>
      </c>
      <c r="N95" s="28">
        <f t="shared" si="68"/>
        <v>0</v>
      </c>
      <c r="O95" s="28">
        <f t="shared" si="68"/>
        <v>0</v>
      </c>
      <c r="P95" s="28">
        <f t="shared" si="68"/>
        <v>0</v>
      </c>
      <c r="Q95" s="28">
        <f t="shared" si="68"/>
        <v>0</v>
      </c>
      <c r="R95" s="28">
        <f t="shared" si="68"/>
        <v>1800000</v>
      </c>
      <c r="S95" s="28">
        <f t="shared" si="68"/>
        <v>3596000</v>
      </c>
      <c r="T95" s="28">
        <f t="shared" si="68"/>
        <v>3588020</v>
      </c>
      <c r="U95" s="28">
        <f t="shared" si="68"/>
        <v>3580079.9</v>
      </c>
      <c r="V95" s="28">
        <f t="shared" si="68"/>
        <v>3572179.5005000001</v>
      </c>
      <c r="W95" s="28">
        <f t="shared" si="68"/>
        <v>3564318.6029975004</v>
      </c>
      <c r="X95" s="28">
        <f t="shared" si="68"/>
        <v>5056497.0099825133</v>
      </c>
      <c r="Y95" s="28">
        <f t="shared" si="68"/>
        <v>3548714.5249326001</v>
      </c>
      <c r="Z95" s="28">
        <f t="shared" si="68"/>
        <v>3540970.9523079367</v>
      </c>
    </row>
    <row r="96" spans="1:26" ht="15.5" x14ac:dyDescent="0.35">
      <c r="B96" s="199"/>
      <c r="C96" s="199"/>
      <c r="D96" s="199"/>
      <c r="E96" s="11">
        <v>2034</v>
      </c>
      <c r="F96" s="11">
        <v>2035</v>
      </c>
      <c r="G96" s="177" t="s">
        <v>98</v>
      </c>
      <c r="H96" s="28">
        <f t="shared" si="69"/>
        <v>0</v>
      </c>
      <c r="I96" s="28">
        <f t="shared" si="68"/>
        <v>0</v>
      </c>
      <c r="J96" s="28">
        <f t="shared" si="68"/>
        <v>0</v>
      </c>
      <c r="K96" s="28">
        <f t="shared" si="68"/>
        <v>0</v>
      </c>
      <c r="L96" s="28">
        <f t="shared" si="68"/>
        <v>0</v>
      </c>
      <c r="M96" s="28">
        <f t="shared" si="68"/>
        <v>0</v>
      </c>
      <c r="N96" s="28">
        <f t="shared" si="68"/>
        <v>0</v>
      </c>
      <c r="O96" s="28">
        <f t="shared" si="68"/>
        <v>0</v>
      </c>
      <c r="P96" s="28">
        <f t="shared" si="68"/>
        <v>0</v>
      </c>
      <c r="Q96" s="28">
        <f t="shared" si="68"/>
        <v>0</v>
      </c>
      <c r="R96" s="28">
        <f t="shared" si="68"/>
        <v>0</v>
      </c>
      <c r="S96" s="28">
        <f t="shared" si="68"/>
        <v>0</v>
      </c>
      <c r="T96" s="28">
        <f t="shared" si="68"/>
        <v>1800000</v>
      </c>
      <c r="U96" s="28">
        <f t="shared" si="68"/>
        <v>3596000</v>
      </c>
      <c r="V96" s="28">
        <f t="shared" si="68"/>
        <v>3588020</v>
      </c>
      <c r="W96" s="28">
        <f t="shared" si="68"/>
        <v>3580079.9</v>
      </c>
      <c r="X96" s="28">
        <f t="shared" si="68"/>
        <v>3572179.5005000001</v>
      </c>
      <c r="Y96" s="28">
        <f t="shared" si="68"/>
        <v>3564318.6029975004</v>
      </c>
      <c r="Z96" s="28">
        <f t="shared" si="68"/>
        <v>3556497.0099825133</v>
      </c>
    </row>
    <row r="97" spans="2:26" ht="15.5" x14ac:dyDescent="0.35">
      <c r="B97" s="199"/>
      <c r="C97" s="199"/>
      <c r="D97" s="199"/>
      <c r="E97" s="11">
        <v>2036</v>
      </c>
      <c r="F97" s="11">
        <v>2037</v>
      </c>
      <c r="G97" s="177" t="s">
        <v>99</v>
      </c>
      <c r="H97" s="28">
        <f t="shared" si="69"/>
        <v>0</v>
      </c>
      <c r="I97" s="28">
        <f t="shared" si="68"/>
        <v>0</v>
      </c>
      <c r="J97" s="28">
        <f t="shared" si="68"/>
        <v>0</v>
      </c>
      <c r="K97" s="28">
        <f t="shared" si="68"/>
        <v>0</v>
      </c>
      <c r="L97" s="28">
        <f t="shared" si="68"/>
        <v>0</v>
      </c>
      <c r="M97" s="28">
        <f t="shared" si="68"/>
        <v>0</v>
      </c>
      <c r="N97" s="28">
        <f t="shared" si="68"/>
        <v>0</v>
      </c>
      <c r="O97" s="28">
        <f t="shared" si="68"/>
        <v>0</v>
      </c>
      <c r="P97" s="28">
        <f t="shared" si="68"/>
        <v>0</v>
      </c>
      <c r="Q97" s="28">
        <f t="shared" si="68"/>
        <v>0</v>
      </c>
      <c r="R97" s="28">
        <f t="shared" si="68"/>
        <v>0</v>
      </c>
      <c r="S97" s="28">
        <f t="shared" si="68"/>
        <v>0</v>
      </c>
      <c r="T97" s="28">
        <f t="shared" si="68"/>
        <v>0</v>
      </c>
      <c r="U97" s="28">
        <f t="shared" si="68"/>
        <v>0</v>
      </c>
      <c r="V97" s="28">
        <f t="shared" si="68"/>
        <v>1800000</v>
      </c>
      <c r="W97" s="28">
        <f t="shared" si="68"/>
        <v>3596000</v>
      </c>
      <c r="X97" s="28">
        <f t="shared" si="68"/>
        <v>3588020</v>
      </c>
      <c r="Y97" s="28">
        <f t="shared" si="68"/>
        <v>3580079.9</v>
      </c>
      <c r="Z97" s="28">
        <f t="shared" si="68"/>
        <v>3572179.5005000001</v>
      </c>
    </row>
    <row r="98" spans="2:26" ht="15.5" x14ac:dyDescent="0.35">
      <c r="B98" s="199"/>
      <c r="C98" s="199"/>
      <c r="D98" s="199"/>
      <c r="E98" s="11">
        <v>2038</v>
      </c>
      <c r="F98" s="11">
        <v>2039</v>
      </c>
      <c r="G98" s="177" t="s">
        <v>100</v>
      </c>
      <c r="H98" s="28">
        <f t="shared" si="69"/>
        <v>0</v>
      </c>
      <c r="I98" s="28">
        <f t="shared" si="68"/>
        <v>0</v>
      </c>
      <c r="J98" s="28">
        <f t="shared" si="68"/>
        <v>0</v>
      </c>
      <c r="K98" s="28">
        <f t="shared" si="68"/>
        <v>0</v>
      </c>
      <c r="L98" s="28">
        <f t="shared" si="68"/>
        <v>0</v>
      </c>
      <c r="M98" s="28">
        <f t="shared" si="68"/>
        <v>0</v>
      </c>
      <c r="N98" s="28">
        <f t="shared" si="68"/>
        <v>0</v>
      </c>
      <c r="O98" s="28">
        <f t="shared" si="68"/>
        <v>0</v>
      </c>
      <c r="P98" s="28">
        <f t="shared" si="68"/>
        <v>0</v>
      </c>
      <c r="Q98" s="28">
        <f t="shared" si="68"/>
        <v>0</v>
      </c>
      <c r="R98" s="28">
        <f t="shared" si="68"/>
        <v>0</v>
      </c>
      <c r="S98" s="28">
        <f t="shared" si="68"/>
        <v>0</v>
      </c>
      <c r="T98" s="28">
        <f t="shared" si="68"/>
        <v>0</v>
      </c>
      <c r="U98" s="28">
        <f t="shared" si="68"/>
        <v>0</v>
      </c>
      <c r="V98" s="28">
        <f t="shared" si="68"/>
        <v>0</v>
      </c>
      <c r="W98" s="28">
        <f t="shared" si="68"/>
        <v>0</v>
      </c>
      <c r="X98" s="28">
        <f t="shared" si="68"/>
        <v>1800000</v>
      </c>
      <c r="Y98" s="28">
        <f t="shared" si="68"/>
        <v>3596000</v>
      </c>
      <c r="Z98" s="28">
        <f t="shared" si="68"/>
        <v>3591771</v>
      </c>
    </row>
    <row r="99" spans="2:26" ht="15.5" x14ac:dyDescent="0.35">
      <c r="B99" s="199"/>
      <c r="C99" s="199"/>
      <c r="D99" s="199"/>
      <c r="E99" s="11">
        <v>2040</v>
      </c>
      <c r="F99" s="11">
        <v>2041</v>
      </c>
      <c r="G99" s="177" t="s">
        <v>101</v>
      </c>
      <c r="H99" s="28">
        <f t="shared" si="69"/>
        <v>0</v>
      </c>
      <c r="I99" s="28">
        <f t="shared" si="68"/>
        <v>0</v>
      </c>
      <c r="J99" s="28">
        <f t="shared" si="68"/>
        <v>0</v>
      </c>
      <c r="K99" s="28">
        <f t="shared" si="68"/>
        <v>0</v>
      </c>
      <c r="L99" s="28">
        <f t="shared" si="68"/>
        <v>0</v>
      </c>
      <c r="M99" s="28">
        <f t="shared" si="68"/>
        <v>0</v>
      </c>
      <c r="N99" s="28">
        <f t="shared" si="68"/>
        <v>0</v>
      </c>
      <c r="O99" s="28">
        <f t="shared" si="68"/>
        <v>0</v>
      </c>
      <c r="P99" s="28">
        <f t="shared" si="68"/>
        <v>0</v>
      </c>
      <c r="Q99" s="28">
        <f t="shared" si="68"/>
        <v>0</v>
      </c>
      <c r="R99" s="28">
        <f t="shared" si="68"/>
        <v>0</v>
      </c>
      <c r="S99" s="28">
        <f t="shared" si="68"/>
        <v>0</v>
      </c>
      <c r="T99" s="28">
        <f t="shared" si="68"/>
        <v>0</v>
      </c>
      <c r="U99" s="28">
        <f t="shared" si="68"/>
        <v>0</v>
      </c>
      <c r="V99" s="28">
        <f t="shared" si="68"/>
        <v>0</v>
      </c>
      <c r="W99" s="28">
        <f t="shared" si="68"/>
        <v>0</v>
      </c>
      <c r="X99" s="28">
        <f t="shared" si="68"/>
        <v>0</v>
      </c>
      <c r="Y99" s="28">
        <f t="shared" si="68"/>
        <v>0</v>
      </c>
      <c r="Z99" s="28">
        <f t="shared" si="68"/>
        <v>1800000</v>
      </c>
    </row>
  </sheetData>
  <pageMargins left="0.7" right="0.7" top="0.75" bottom="0.75" header="0.3" footer="0.3"/>
  <pageSetup scale="27" fitToHeight="3" orientation="portrait" r:id="rId1"/>
  <customProperties>
    <customPr name="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9C4E6-F6F4-4A6B-81EC-323BF3DB61BD}">
  <sheetPr>
    <tabColor theme="5" tint="0.59999389629810485"/>
    <pageSetUpPr fitToPage="1"/>
  </sheetPr>
  <dimension ref="A1:AH156"/>
  <sheetViews>
    <sheetView topLeftCell="A75" zoomScaleNormal="100" workbookViewId="0">
      <selection activeCell="T108" sqref="T108"/>
    </sheetView>
  </sheetViews>
  <sheetFormatPr defaultRowHeight="14.5" x14ac:dyDescent="0.35"/>
  <cols>
    <col min="1" max="1" width="25.54296875" style="1" bestFit="1" customWidth="1"/>
    <col min="2" max="2" width="7.54296875" bestFit="1" customWidth="1"/>
    <col min="3" max="3" width="5.453125" bestFit="1" customWidth="1"/>
    <col min="4" max="4" width="13.453125" bestFit="1" customWidth="1"/>
    <col min="5" max="5" width="12.453125" bestFit="1" customWidth="1"/>
    <col min="6" max="6" width="14.453125" bestFit="1" customWidth="1"/>
    <col min="7" max="7" width="12.453125" bestFit="1" customWidth="1"/>
    <col min="8" max="22" width="15.453125" bestFit="1" customWidth="1"/>
    <col min="23" max="23" width="14.453125" bestFit="1" customWidth="1"/>
    <col min="24" max="24" width="12.1796875" bestFit="1" customWidth="1"/>
  </cols>
  <sheetData>
    <row r="1" spans="1:24" ht="15.5" x14ac:dyDescent="0.35">
      <c r="A1" s="177" t="s">
        <v>84</v>
      </c>
      <c r="B1" s="177" t="s">
        <v>85</v>
      </c>
      <c r="C1" s="220">
        <v>2022</v>
      </c>
      <c r="D1" s="220">
        <f t="shared" ref="D1:W1" si="0">C1+1</f>
        <v>2023</v>
      </c>
      <c r="E1" s="220">
        <f t="shared" si="0"/>
        <v>2024</v>
      </c>
      <c r="F1" s="220">
        <f t="shared" si="0"/>
        <v>2025</v>
      </c>
      <c r="G1" s="220">
        <f t="shared" si="0"/>
        <v>2026</v>
      </c>
      <c r="H1" s="220">
        <f t="shared" si="0"/>
        <v>2027</v>
      </c>
      <c r="I1" s="220">
        <f t="shared" si="0"/>
        <v>2028</v>
      </c>
      <c r="J1" s="220">
        <f t="shared" si="0"/>
        <v>2029</v>
      </c>
      <c r="K1" s="220">
        <f t="shared" si="0"/>
        <v>2030</v>
      </c>
      <c r="L1" s="220">
        <f t="shared" si="0"/>
        <v>2031</v>
      </c>
      <c r="M1" s="220">
        <f t="shared" si="0"/>
        <v>2032</v>
      </c>
      <c r="N1" s="220">
        <f t="shared" si="0"/>
        <v>2033</v>
      </c>
      <c r="O1" s="220">
        <f t="shared" si="0"/>
        <v>2034</v>
      </c>
      <c r="P1" s="220">
        <f t="shared" si="0"/>
        <v>2035</v>
      </c>
      <c r="Q1" s="220">
        <f t="shared" si="0"/>
        <v>2036</v>
      </c>
      <c r="R1" s="220">
        <f t="shared" si="0"/>
        <v>2037</v>
      </c>
      <c r="S1" s="220">
        <f t="shared" si="0"/>
        <v>2038</v>
      </c>
      <c r="T1" s="220">
        <f t="shared" si="0"/>
        <v>2039</v>
      </c>
      <c r="U1" s="220">
        <f t="shared" si="0"/>
        <v>2040</v>
      </c>
      <c r="V1" s="220">
        <f t="shared" si="0"/>
        <v>2041</v>
      </c>
      <c r="W1" s="220">
        <f t="shared" si="0"/>
        <v>2042</v>
      </c>
      <c r="X1" s="220">
        <v>2043</v>
      </c>
    </row>
    <row r="2" spans="1:24" ht="15.5" x14ac:dyDescent="0.35">
      <c r="A2" s="177" t="s">
        <v>86</v>
      </c>
      <c r="B2" s="11">
        <v>2022</v>
      </c>
      <c r="C2" s="221"/>
      <c r="D2" s="221"/>
      <c r="E2" s="221"/>
      <c r="F2" s="74">
        <f>'Indexed REC Activities'!H2*'Indexed REC Calculator'!F9</f>
        <v>3376103.3730158722</v>
      </c>
      <c r="G2" s="181">
        <f>'Indexed REC Activities'!I2*'Indexed REC Calculator'!G9</f>
        <v>1695757.1428571462</v>
      </c>
      <c r="H2" s="181">
        <f>'Indexed REC Activities'!J2*'Indexed REC Calculator'!H9</f>
        <v>1232790.8730158736</v>
      </c>
      <c r="I2" s="181">
        <f>'Indexed REC Activities'!K2*'Indexed REC Calculator'!I9</f>
        <v>663682.34126983595</v>
      </c>
      <c r="J2" s="181">
        <f>'Indexed REC Activities'!L2*'Indexed REC Calculator'!J9</f>
        <v>571011.50793650188</v>
      </c>
      <c r="K2" s="181">
        <f>'Indexed REC Activities'!M2*'Indexed REC Calculator'!K9</f>
        <v>-746067.06349206599</v>
      </c>
      <c r="L2" s="181">
        <f>'Indexed REC Activities'!N2*'Indexed REC Calculator'!L9</f>
        <v>-220024.20634919987</v>
      </c>
      <c r="M2" s="181">
        <f>'Indexed REC Activities'!O2*'Indexed REC Calculator'!M9</f>
        <v>1221491.666666667</v>
      </c>
      <c r="N2" s="181">
        <f>'Indexed REC Activities'!P2*'Indexed REC Calculator'!N9</f>
        <v>1535455.3571428568</v>
      </c>
      <c r="O2" s="181">
        <f>'Indexed REC Activities'!Q2*'Indexed REC Calculator'!O9</f>
        <v>1006021.8253968287</v>
      </c>
      <c r="P2" s="181">
        <f>'Indexed REC Activities'!R2*'Indexed REC Calculator'!P9</f>
        <v>-108939.68253968183</v>
      </c>
      <c r="Q2" s="181">
        <f>'Indexed REC Activities'!S2*'Indexed REC Calculator'!Q9</f>
        <v>-843611.70634920802</v>
      </c>
      <c r="R2" s="181">
        <f>'Indexed REC Activities'!T2*'Indexed REC Calculator'!R9</f>
        <v>-1422372.0238095217</v>
      </c>
      <c r="S2" s="181">
        <f>'Indexed REC Activities'!U2*'Indexed REC Calculator'!S9</f>
        <v>-2029138.4920634897</v>
      </c>
      <c r="T2" s="181">
        <f>'Indexed REC Activities'!V2*'Indexed REC Calculator'!T9</f>
        <v>-2533112.3015873046</v>
      </c>
      <c r="U2" s="181">
        <f>'Indexed REC Activities'!W2*'Indexed REC Calculator'!U9</f>
        <v>-2997949.6031746012</v>
      </c>
      <c r="V2" s="181">
        <f>'Indexed REC Activities'!X2*'Indexed REC Calculator'!V9</f>
        <v>-3601485.1190476175</v>
      </c>
      <c r="W2" s="181">
        <f>'Indexed REC Activities'!Y2*'Indexed REC Calculator'!W9</f>
        <v>-4096491.666666667</v>
      </c>
      <c r="X2" s="181">
        <f>'Indexed REC Activities'!Z2*'Indexed REC Calculator'!X9</f>
        <v>-4580691.8650793638</v>
      </c>
    </row>
    <row r="3" spans="1:24" ht="15.5" x14ac:dyDescent="0.35">
      <c r="A3" s="177" t="s">
        <v>86</v>
      </c>
      <c r="B3" s="11">
        <f>B2+1</f>
        <v>2023</v>
      </c>
      <c r="C3" s="181">
        <f>'Indexed REC Activities'!E3*'Indexed REC Calculator'!C10</f>
        <v>0</v>
      </c>
      <c r="D3" s="181">
        <f>'Indexed REC Activities'!F3*'Indexed REC Calculator'!D10</f>
        <v>0</v>
      </c>
      <c r="E3" s="181">
        <f>'Indexed REC Activities'!G3*'Indexed REC Calculator'!E10</f>
        <v>0</v>
      </c>
      <c r="F3" s="181">
        <f>'Indexed REC Activities'!H3*'Indexed REC Calculator'!F10</f>
        <v>0</v>
      </c>
      <c r="G3" s="181">
        <f>'Indexed REC Activities'!I3*'Indexed REC Calculator'!G10</f>
        <v>0</v>
      </c>
      <c r="H3" s="181">
        <f>'Indexed REC Activities'!J3*'Indexed REC Calculator'!H10</f>
        <v>16855063.297242057</v>
      </c>
      <c r="I3" s="181">
        <f>'Indexed REC Activities'!K3*'Indexed REC Calculator'!I10</f>
        <v>15830095.119990064</v>
      </c>
      <c r="J3" s="181">
        <f>'Indexed REC Activities'!L3*'Indexed REC Calculator'!J10</f>
        <v>15663194.344781728</v>
      </c>
      <c r="K3" s="181">
        <f>'Indexed REC Activities'!M3*'Indexed REC Calculator'!K10</f>
        <v>13291127.247996021</v>
      </c>
      <c r="L3" s="181">
        <f>'Indexed REC Activities'!N3*'Indexed REC Calculator'!L10</f>
        <v>14238533.864424609</v>
      </c>
      <c r="M3" s="181">
        <f>'Indexed REC Activities'!O3*'Indexed REC Calculator'!M10</f>
        <v>16834713.352916662</v>
      </c>
      <c r="N3" s="181">
        <f>'Indexed REC Activities'!P3*'Indexed REC Calculator'!N10</f>
        <v>17400164.007053565</v>
      </c>
      <c r="O3" s="181">
        <f>'Indexed REC Activities'!Q3*'Indexed REC Calculator'!O10</f>
        <v>16446650.763551587</v>
      </c>
      <c r="P3" s="181">
        <f>'Indexed REC Activities'!R3*'Indexed REC Calculator'!P10</f>
        <v>14438597.816269835</v>
      </c>
      <c r="Q3" s="181">
        <f>'Indexed REC Activities'!S3*'Indexed REC Calculator'!Q10</f>
        <v>13115448.710049594</v>
      </c>
      <c r="R3" s="181">
        <f>'Indexed REC Activities'!T3*'Indexed REC Calculator'!R10</f>
        <v>12073097.603779759</v>
      </c>
      <c r="S3" s="181">
        <f>'Indexed REC Activities'!U3*'Indexed REC Calculator'!S10</f>
        <v>10980307.237281743</v>
      </c>
      <c r="T3" s="181">
        <f>'Indexed REC Activities'!V3*'Indexed REC Calculator'!T10</f>
        <v>10072647.119543638</v>
      </c>
      <c r="U3" s="181">
        <f>'Indexed REC Activities'!W3*'Indexed REC Calculator'!U10</f>
        <v>9235472.1078372989</v>
      </c>
      <c r="V3" s="181">
        <f>'Indexed REC Activities'!X3*'Indexed REC Calculator'!V10</f>
        <v>8148500.7076488053</v>
      </c>
      <c r="W3" s="181">
        <f>'Indexed REC Activities'!Y3*'Indexed REC Calculator'!W10</f>
        <v>7256990.6870833263</v>
      </c>
      <c r="X3" s="181">
        <f>'Indexed REC Activities'!Z3*'Indexed REC Calculator'!X10</f>
        <v>-8249855.9230853152</v>
      </c>
    </row>
    <row r="4" spans="1:24" ht="15.5" x14ac:dyDescent="0.35">
      <c r="A4" s="177" t="s">
        <v>86</v>
      </c>
      <c r="B4" s="11">
        <f t="shared" ref="B4:B22" si="1">B3+1</f>
        <v>2024</v>
      </c>
      <c r="C4" s="181">
        <f>'Indexed REC Activities'!E4*'Indexed REC Calculator'!C11</f>
        <v>0</v>
      </c>
      <c r="D4" s="181">
        <f>'Indexed REC Activities'!F4*'Indexed REC Calculator'!D11</f>
        <v>0</v>
      </c>
      <c r="E4" s="181">
        <f>'Indexed REC Activities'!G4*'Indexed REC Calculator'!E11</f>
        <v>0</v>
      </c>
      <c r="F4" s="181">
        <f>'Indexed REC Activities'!H4*'Indexed REC Calculator'!F11</f>
        <v>0</v>
      </c>
      <c r="G4" s="181">
        <f>'Indexed REC Activities'!I4*'Indexed REC Calculator'!G11</f>
        <v>0</v>
      </c>
      <c r="H4" s="181">
        <f>'Indexed REC Activities'!J4*'Indexed REC Calculator'!H11</f>
        <v>16705206.082777787</v>
      </c>
      <c r="I4" s="181">
        <f>'Indexed REC Activities'!K4*'Indexed REC Calculator'!I11</f>
        <v>8993374.7297221497</v>
      </c>
      <c r="J4" s="181">
        <f>'Indexed REC Activities'!L4*'Indexed REC Calculator'!J11</f>
        <v>7737618.0538888071</v>
      </c>
      <c r="K4" s="181">
        <f>'Indexed REC Activities'!M4*'Indexed REC Calculator'!K11</f>
        <v>-10109747.176111145</v>
      </c>
      <c r="L4" s="181">
        <f>'Indexed REC Activities'!N4*'Indexed REC Calculator'!L11</f>
        <v>-2981486.7961110231</v>
      </c>
      <c r="M4" s="181">
        <f>'Indexed REC Activities'!O4*'Indexed REC Calculator'!M11</f>
        <v>16552093.681666672</v>
      </c>
      <c r="N4" s="181">
        <f>'Indexed REC Activities'!P4*'Indexed REC Calculator'!N11</f>
        <v>20806528.287499994</v>
      </c>
      <c r="O4" s="181">
        <f>'Indexed REC Activities'!Q4*'Indexed REC Calculator'!O11</f>
        <v>13632321.819444489</v>
      </c>
      <c r="P4" s="181">
        <f>'Indexed REC Activities'!R4*'Indexed REC Calculator'!P11</f>
        <v>-1476211.3244444348</v>
      </c>
      <c r="Q4" s="181">
        <f>'Indexed REC Activities'!S4*'Indexed REC Calculator'!Q11</f>
        <v>-11431547.488611134</v>
      </c>
      <c r="R4" s="181">
        <f>'Indexed REC Activities'!T4*'Indexed REC Calculator'!R11</f>
        <v>-19274167.504166637</v>
      </c>
      <c r="S4" s="181">
        <f>'Indexed REC Activities'!U4*'Indexed REC Calculator'!S11</f>
        <v>-27496291.076111082</v>
      </c>
      <c r="T4" s="181">
        <f>'Indexed REC Activities'!V4*'Indexed REC Calculator'!T11</f>
        <v>-34325499.932777822</v>
      </c>
      <c r="U4" s="181">
        <f>'Indexed REC Activities'!W4*'Indexed REC Calculator'!U11</f>
        <v>-40624380.86055553</v>
      </c>
      <c r="V4" s="181">
        <f>'Indexed REC Activities'!X4*'Indexed REC Calculator'!V11</f>
        <v>-48802722.69583331</v>
      </c>
      <c r="W4" s="181">
        <f>'Indexed REC Activities'!Y4*'Indexed REC Calculator'!W11</f>
        <v>-55510418.681666672</v>
      </c>
      <c r="X4" s="181">
        <f>'Indexed REC Activities'!Z4*'Indexed REC Calculator'!X11</f>
        <v>-62071680.836388871</v>
      </c>
    </row>
    <row r="5" spans="1:24" ht="15.5" x14ac:dyDescent="0.35">
      <c r="A5" s="177" t="s">
        <v>86</v>
      </c>
      <c r="B5" s="11">
        <f t="shared" si="1"/>
        <v>2025</v>
      </c>
      <c r="C5" s="181">
        <f>'Indexed REC Activities'!E5*'Indexed REC Calculator'!C12</f>
        <v>0</v>
      </c>
      <c r="D5" s="181">
        <f>'Indexed REC Activities'!F5*'Indexed REC Calculator'!D12</f>
        <v>0</v>
      </c>
      <c r="E5" s="181">
        <f>'Indexed REC Activities'!G5*'Indexed REC Calculator'!E12</f>
        <v>0</v>
      </c>
      <c r="F5" s="181">
        <f>'Indexed REC Activities'!H5*'Indexed REC Calculator'!F12</f>
        <v>0</v>
      </c>
      <c r="G5" s="181">
        <f>'Indexed REC Activities'!I5*'Indexed REC Calculator'!G12</f>
        <v>0</v>
      </c>
      <c r="H5" s="181">
        <f>'Indexed REC Activities'!J5*'Indexed REC Calculator'!H12</f>
        <v>0</v>
      </c>
      <c r="I5" s="181">
        <f>'Indexed REC Activities'!K5*'Indexed REC Calculator'!I12</f>
        <v>3606969.2460317169</v>
      </c>
      <c r="J5" s="181">
        <f>'Indexed REC Activities'!L5*'Indexed REC Calculator'!J12</f>
        <v>3103323.4126983802</v>
      </c>
      <c r="K5" s="181">
        <f>'Indexed REC Activities'!M5*'Indexed REC Calculator'!K12</f>
        <v>-4054712.3015873153</v>
      </c>
      <c r="L5" s="181">
        <f>'Indexed REC Activities'!N5*'Indexed REC Calculator'!L12</f>
        <v>-1195783.7301586948</v>
      </c>
      <c r="M5" s="181">
        <f>'Indexed REC Activities'!O5*'Indexed REC Calculator'!M12</f>
        <v>6638541.6666666688</v>
      </c>
      <c r="N5" s="181">
        <f>'Indexed REC Activities'!P5*'Indexed REC Calculator'!N12</f>
        <v>8344866.071428569</v>
      </c>
      <c r="O5" s="181">
        <f>'Indexed REC Activities'!Q5*'Indexed REC Calculator'!O12</f>
        <v>5467509.9206349384</v>
      </c>
      <c r="P5" s="181">
        <f>'Indexed REC Activities'!R5*'Indexed REC Calculator'!P12</f>
        <v>-592063.49206348823</v>
      </c>
      <c r="Q5" s="181">
        <f>'Indexed REC Activities'!S5*'Indexed REC Calculator'!Q12</f>
        <v>-4584846.2301587388</v>
      </c>
      <c r="R5" s="181">
        <f>'Indexed REC Activities'!T5*'Indexed REC Calculator'!R12</f>
        <v>-7730282.7380952267</v>
      </c>
      <c r="S5" s="181">
        <f>'Indexed REC Activities'!U5*'Indexed REC Calculator'!S12</f>
        <v>-11027926.587301575</v>
      </c>
      <c r="T5" s="181">
        <f>'Indexed REC Activities'!V5*'Indexed REC Calculator'!T12</f>
        <v>-13766914.6825397</v>
      </c>
      <c r="U5" s="181">
        <f>'Indexed REC Activities'!W5*'Indexed REC Calculator'!U12</f>
        <v>-16293204.365079354</v>
      </c>
      <c r="V5" s="181">
        <f>'Indexed REC Activities'!X5*'Indexed REC Calculator'!V12</f>
        <v>-19573288.690476183</v>
      </c>
      <c r="W5" s="181">
        <f>'Indexed REC Activities'!Y5*'Indexed REC Calculator'!W12</f>
        <v>-22263541.666666668</v>
      </c>
      <c r="X5" s="181">
        <f>'Indexed REC Activities'!Z5*'Indexed REC Calculator'!X12</f>
        <v>-24895064.484126978</v>
      </c>
    </row>
    <row r="6" spans="1:24" ht="15.5" x14ac:dyDescent="0.35">
      <c r="A6" s="177" t="s">
        <v>86</v>
      </c>
      <c r="B6" s="11">
        <f t="shared" si="1"/>
        <v>2026</v>
      </c>
      <c r="C6" s="181">
        <f>'Indexed REC Activities'!E6*'Indexed REC Calculator'!C13</f>
        <v>0</v>
      </c>
      <c r="D6" s="181">
        <f>'Indexed REC Activities'!F6*'Indexed REC Calculator'!D13</f>
        <v>0</v>
      </c>
      <c r="E6" s="181">
        <f>'Indexed REC Activities'!G6*'Indexed REC Calculator'!E13</f>
        <v>0</v>
      </c>
      <c r="F6" s="181">
        <f>'Indexed REC Activities'!H6*'Indexed REC Calculator'!F13</f>
        <v>0</v>
      </c>
      <c r="G6" s="181">
        <f>'Indexed REC Activities'!I6*'Indexed REC Calculator'!G13</f>
        <v>0</v>
      </c>
      <c r="H6" s="181">
        <f>'Indexed REC Activities'!J6*'Indexed REC Calculator'!H13</f>
        <v>0</v>
      </c>
      <c r="I6" s="181">
        <f>'Indexed REC Activities'!K6*'Indexed REC Calculator'!I13</f>
        <v>0</v>
      </c>
      <c r="J6" s="181">
        <f>'Indexed REC Activities'!L6*'Indexed REC Calculator'!J13</f>
        <v>3103323.4126983802</v>
      </c>
      <c r="K6" s="181">
        <f>'Indexed REC Activities'!M6*'Indexed REC Calculator'!K13</f>
        <v>-4054712.3015873153</v>
      </c>
      <c r="L6" s="181">
        <f>'Indexed REC Activities'!N6*'Indexed REC Calculator'!L13</f>
        <v>-1195783.7301586948</v>
      </c>
      <c r="M6" s="181">
        <f>'Indexed REC Activities'!O6*'Indexed REC Calculator'!M13</f>
        <v>6638541.6666666688</v>
      </c>
      <c r="N6" s="181">
        <f>'Indexed REC Activities'!P6*'Indexed REC Calculator'!N13</f>
        <v>8344866.071428569</v>
      </c>
      <c r="O6" s="181">
        <f>'Indexed REC Activities'!Q6*'Indexed REC Calculator'!O13</f>
        <v>5467509.9206349384</v>
      </c>
      <c r="P6" s="181">
        <f>'Indexed REC Activities'!R6*'Indexed REC Calculator'!P13</f>
        <v>-592063.49206348823</v>
      </c>
      <c r="Q6" s="181">
        <f>'Indexed REC Activities'!S6*'Indexed REC Calculator'!Q13</f>
        <v>-4584846.2301587388</v>
      </c>
      <c r="R6" s="181">
        <f>'Indexed REC Activities'!T6*'Indexed REC Calculator'!R13</f>
        <v>-7730282.7380952267</v>
      </c>
      <c r="S6" s="181">
        <f>'Indexed REC Activities'!U6*'Indexed REC Calculator'!S13</f>
        <v>-11027926.587301575</v>
      </c>
      <c r="T6" s="181">
        <f>'Indexed REC Activities'!V6*'Indexed REC Calculator'!T13</f>
        <v>-13766914.6825397</v>
      </c>
      <c r="U6" s="181">
        <f>'Indexed REC Activities'!W6*'Indexed REC Calculator'!U13</f>
        <v>-16293204.365079354</v>
      </c>
      <c r="V6" s="181">
        <f>'Indexed REC Activities'!X6*'Indexed REC Calculator'!V13</f>
        <v>-19573288.690476183</v>
      </c>
      <c r="W6" s="181">
        <f>'Indexed REC Activities'!Y6*'Indexed REC Calculator'!W13</f>
        <v>-22263541.666666668</v>
      </c>
      <c r="X6" s="181">
        <f>'Indexed REC Activities'!Z6*'Indexed REC Calculator'!X13</f>
        <v>-24895064.484126978</v>
      </c>
    </row>
    <row r="7" spans="1:24" ht="15.5" x14ac:dyDescent="0.35">
      <c r="A7" s="177" t="s">
        <v>86</v>
      </c>
      <c r="B7" s="11">
        <f t="shared" si="1"/>
        <v>2027</v>
      </c>
      <c r="C7" s="181">
        <f>'Indexed REC Activities'!E7*'Indexed REC Calculator'!C14</f>
        <v>0</v>
      </c>
      <c r="D7" s="181">
        <f>'Indexed REC Activities'!F7*'Indexed REC Calculator'!D14</f>
        <v>0</v>
      </c>
      <c r="E7" s="181">
        <f>'Indexed REC Activities'!G7*'Indexed REC Calculator'!E14</f>
        <v>0</v>
      </c>
      <c r="F7" s="181">
        <f>'Indexed REC Activities'!H7*'Indexed REC Calculator'!F14</f>
        <v>0</v>
      </c>
      <c r="G7" s="181">
        <f>'Indexed REC Activities'!I7*'Indexed REC Calculator'!G14</f>
        <v>0</v>
      </c>
      <c r="H7" s="181">
        <f>'Indexed REC Activities'!J7*'Indexed REC Calculator'!H14</f>
        <v>0</v>
      </c>
      <c r="I7" s="181">
        <f>'Indexed REC Activities'!K7*'Indexed REC Calculator'!I14</f>
        <v>0</v>
      </c>
      <c r="J7" s="181">
        <f>'Indexed REC Activities'!L7*'Indexed REC Calculator'!J14</f>
        <v>0</v>
      </c>
      <c r="K7" s="181">
        <f>'Indexed REC Activities'!M7*'Indexed REC Calculator'!K14</f>
        <v>-4054712.3015873153</v>
      </c>
      <c r="L7" s="181">
        <f>'Indexed REC Activities'!N7*'Indexed REC Calculator'!L14</f>
        <v>-1195783.7301586948</v>
      </c>
      <c r="M7" s="181">
        <f>'Indexed REC Activities'!O7*'Indexed REC Calculator'!M14</f>
        <v>6638541.6666666688</v>
      </c>
      <c r="N7" s="181">
        <f>'Indexed REC Activities'!P7*'Indexed REC Calculator'!N14</f>
        <v>8344866.071428569</v>
      </c>
      <c r="O7" s="181">
        <f>'Indexed REC Activities'!Q7*'Indexed REC Calculator'!O14</f>
        <v>5467509.9206349384</v>
      </c>
      <c r="P7" s="181">
        <f>'Indexed REC Activities'!R7*'Indexed REC Calculator'!P14</f>
        <v>-592063.49206348823</v>
      </c>
      <c r="Q7" s="181">
        <f>'Indexed REC Activities'!S7*'Indexed REC Calculator'!Q14</f>
        <v>-4584846.2301587388</v>
      </c>
      <c r="R7" s="181">
        <f>'Indexed REC Activities'!T7*'Indexed REC Calculator'!R14</f>
        <v>-7730282.7380952267</v>
      </c>
      <c r="S7" s="181">
        <f>'Indexed REC Activities'!U7*'Indexed REC Calculator'!S14</f>
        <v>-11027926.587301575</v>
      </c>
      <c r="T7" s="181">
        <f>'Indexed REC Activities'!V7*'Indexed REC Calculator'!T14</f>
        <v>-13766914.6825397</v>
      </c>
      <c r="U7" s="181">
        <f>'Indexed REC Activities'!W7*'Indexed REC Calculator'!U14</f>
        <v>-16293204.365079354</v>
      </c>
      <c r="V7" s="181">
        <f>'Indexed REC Activities'!X7*'Indexed REC Calculator'!V14</f>
        <v>-19573288.690476183</v>
      </c>
      <c r="W7" s="181">
        <f>'Indexed REC Activities'!Y7*'Indexed REC Calculator'!W14</f>
        <v>-22263541.666666668</v>
      </c>
      <c r="X7" s="181">
        <f>'Indexed REC Activities'!Z7*'Indexed REC Calculator'!X14</f>
        <v>-24895064.484126978</v>
      </c>
    </row>
    <row r="8" spans="1:24" ht="15.5" x14ac:dyDescent="0.35">
      <c r="A8" s="177" t="s">
        <v>86</v>
      </c>
      <c r="B8" s="11">
        <f t="shared" si="1"/>
        <v>2028</v>
      </c>
      <c r="C8" s="181">
        <f>'Indexed REC Activities'!E8*'Indexed REC Calculator'!C15</f>
        <v>0</v>
      </c>
      <c r="D8" s="181">
        <f>'Indexed REC Activities'!F8*'Indexed REC Calculator'!D15</f>
        <v>0</v>
      </c>
      <c r="E8" s="181">
        <f>'Indexed REC Activities'!G8*'Indexed REC Calculator'!E15</f>
        <v>0</v>
      </c>
      <c r="F8" s="181">
        <f>'Indexed REC Activities'!H8*'Indexed REC Calculator'!F15</f>
        <v>0</v>
      </c>
      <c r="G8" s="181">
        <f>'Indexed REC Activities'!I8*'Indexed REC Calculator'!G15</f>
        <v>0</v>
      </c>
      <c r="H8" s="181">
        <f>'Indexed REC Activities'!J8*'Indexed REC Calculator'!H15</f>
        <v>0</v>
      </c>
      <c r="I8" s="181">
        <f>'Indexed REC Activities'!K8*'Indexed REC Calculator'!I15</f>
        <v>0</v>
      </c>
      <c r="J8" s="181">
        <f>'Indexed REC Activities'!L8*'Indexed REC Calculator'!J15</f>
        <v>0</v>
      </c>
      <c r="K8" s="181">
        <f>'Indexed REC Activities'!M8*'Indexed REC Calculator'!K15</f>
        <v>0</v>
      </c>
      <c r="L8" s="181">
        <f>'Indexed REC Activities'!N8*'Indexed REC Calculator'!L15</f>
        <v>-1195783.7301586948</v>
      </c>
      <c r="M8" s="181">
        <f>'Indexed REC Activities'!O8*'Indexed REC Calculator'!M15</f>
        <v>6638541.6666666688</v>
      </c>
      <c r="N8" s="181">
        <f>'Indexed REC Activities'!P8*'Indexed REC Calculator'!N15</f>
        <v>8344866.071428569</v>
      </c>
      <c r="O8" s="181">
        <f>'Indexed REC Activities'!Q8*'Indexed REC Calculator'!O15</f>
        <v>5467509.9206349384</v>
      </c>
      <c r="P8" s="181">
        <f>'Indexed REC Activities'!R8*'Indexed REC Calculator'!P15</f>
        <v>-592063.49206348823</v>
      </c>
      <c r="Q8" s="181">
        <f>'Indexed REC Activities'!S8*'Indexed REC Calculator'!Q15</f>
        <v>-4584846.2301587388</v>
      </c>
      <c r="R8" s="181">
        <f>'Indexed REC Activities'!T8*'Indexed REC Calculator'!R15</f>
        <v>-7730282.7380952267</v>
      </c>
      <c r="S8" s="181">
        <f>'Indexed REC Activities'!U8*'Indexed REC Calculator'!S15</f>
        <v>-11027926.587301575</v>
      </c>
      <c r="T8" s="181">
        <f>'Indexed REC Activities'!V8*'Indexed REC Calculator'!T15</f>
        <v>-13766914.6825397</v>
      </c>
      <c r="U8" s="181">
        <f>'Indexed REC Activities'!W8*'Indexed REC Calculator'!U15</f>
        <v>-16293204.365079354</v>
      </c>
      <c r="V8" s="181">
        <f>'Indexed REC Activities'!X8*'Indexed REC Calculator'!V15</f>
        <v>-19573288.690476183</v>
      </c>
      <c r="W8" s="181">
        <f>'Indexed REC Activities'!Y8*'Indexed REC Calculator'!W15</f>
        <v>-22263541.666666668</v>
      </c>
      <c r="X8" s="181">
        <f>'Indexed REC Activities'!Z8*'Indexed REC Calculator'!X15</f>
        <v>-24895064.484126978</v>
      </c>
    </row>
    <row r="9" spans="1:24" ht="15.5" x14ac:dyDescent="0.35">
      <c r="A9" s="177" t="s">
        <v>86</v>
      </c>
      <c r="B9" s="11">
        <f t="shared" si="1"/>
        <v>2029</v>
      </c>
      <c r="C9" s="181">
        <f>'Indexed REC Activities'!E9*'Indexed REC Calculator'!C16</f>
        <v>0</v>
      </c>
      <c r="D9" s="181">
        <f>'Indexed REC Activities'!F9*'Indexed REC Calculator'!D16</f>
        <v>0</v>
      </c>
      <c r="E9" s="181">
        <f>'Indexed REC Activities'!G9*'Indexed REC Calculator'!E16</f>
        <v>0</v>
      </c>
      <c r="F9" s="181">
        <f>'Indexed REC Activities'!H9*'Indexed REC Calculator'!F16</f>
        <v>0</v>
      </c>
      <c r="G9" s="181">
        <f>'Indexed REC Activities'!I9*'Indexed REC Calculator'!G16</f>
        <v>0</v>
      </c>
      <c r="H9" s="181">
        <f>'Indexed REC Activities'!J9*'Indexed REC Calculator'!H16</f>
        <v>0</v>
      </c>
      <c r="I9" s="181">
        <f>'Indexed REC Activities'!K9*'Indexed REC Calculator'!I16</f>
        <v>0</v>
      </c>
      <c r="J9" s="181">
        <f>'Indexed REC Activities'!L9*'Indexed REC Calculator'!J16</f>
        <v>0</v>
      </c>
      <c r="K9" s="181">
        <f>'Indexed REC Activities'!M9*'Indexed REC Calculator'!K16</f>
        <v>0</v>
      </c>
      <c r="L9" s="181">
        <f>'Indexed REC Activities'!N9*'Indexed REC Calculator'!L16</f>
        <v>0</v>
      </c>
      <c r="M9" s="181">
        <f>'Indexed REC Activities'!O9*'Indexed REC Calculator'!M16</f>
        <v>6638541.6666666688</v>
      </c>
      <c r="N9" s="181">
        <f>'Indexed REC Activities'!P9*'Indexed REC Calculator'!N16</f>
        <v>3337946.4285714277</v>
      </c>
      <c r="O9" s="181">
        <f>'Indexed REC Activities'!Q9*'Indexed REC Calculator'!O16</f>
        <v>2187003.9682539753</v>
      </c>
      <c r="P9" s="181">
        <f>'Indexed REC Activities'!R9*'Indexed REC Calculator'!P16</f>
        <v>-236825.39682539526</v>
      </c>
      <c r="Q9" s="181">
        <f>'Indexed REC Activities'!S9*'Indexed REC Calculator'!Q16</f>
        <v>-1833938.4920634956</v>
      </c>
      <c r="R9" s="181">
        <f>'Indexed REC Activities'!T9*'Indexed REC Calculator'!R16</f>
        <v>-3092113.0952380905</v>
      </c>
      <c r="S9" s="181">
        <f>'Indexed REC Activities'!U9*'Indexed REC Calculator'!S16</f>
        <v>-4411170.6349206297</v>
      </c>
      <c r="T9" s="181">
        <f>'Indexed REC Activities'!V9*'Indexed REC Calculator'!T16</f>
        <v>-5506765.8730158797</v>
      </c>
      <c r="U9" s="181">
        <f>'Indexed REC Activities'!W9*'Indexed REC Calculator'!U16</f>
        <v>-6517281.7460317416</v>
      </c>
      <c r="V9" s="181">
        <f>'Indexed REC Activities'!X9*'Indexed REC Calculator'!V16</f>
        <v>-7829315.476190473</v>
      </c>
      <c r="W9" s="181">
        <f>'Indexed REC Activities'!Y9*'Indexed REC Calculator'!W16</f>
        <v>-8905416.6666666679</v>
      </c>
      <c r="X9" s="181">
        <f>'Indexed REC Activities'!Z9*'Indexed REC Calculator'!X16</f>
        <v>-9958025.793650791</v>
      </c>
    </row>
    <row r="10" spans="1:24" ht="15.5" x14ac:dyDescent="0.35">
      <c r="A10" s="177" t="s">
        <v>86</v>
      </c>
      <c r="B10" s="11">
        <f t="shared" si="1"/>
        <v>2030</v>
      </c>
      <c r="C10" s="181">
        <f>'Indexed REC Activities'!E10*'Indexed REC Calculator'!C17</f>
        <v>0</v>
      </c>
      <c r="D10" s="181">
        <f>'Indexed REC Activities'!F10*'Indexed REC Calculator'!D17</f>
        <v>0</v>
      </c>
      <c r="E10" s="181">
        <f>'Indexed REC Activities'!G10*'Indexed REC Calculator'!E17</f>
        <v>0</v>
      </c>
      <c r="F10" s="181">
        <f>'Indexed REC Activities'!H10*'Indexed REC Calculator'!F17</f>
        <v>0</v>
      </c>
      <c r="G10" s="181">
        <f>'Indexed REC Activities'!I10*'Indexed REC Calculator'!G17</f>
        <v>0</v>
      </c>
      <c r="H10" s="181">
        <f>'Indexed REC Activities'!J10*'Indexed REC Calculator'!H17</f>
        <v>0</v>
      </c>
      <c r="I10" s="181">
        <f>'Indexed REC Activities'!K10*'Indexed REC Calculator'!I17</f>
        <v>0</v>
      </c>
      <c r="J10" s="181">
        <f>'Indexed REC Activities'!L10*'Indexed REC Calculator'!J17</f>
        <v>0</v>
      </c>
      <c r="K10" s="181">
        <f>'Indexed REC Activities'!M10*'Indexed REC Calculator'!K17</f>
        <v>0</v>
      </c>
      <c r="L10" s="181">
        <f>'Indexed REC Activities'!N10*'Indexed REC Calculator'!L17</f>
        <v>0</v>
      </c>
      <c r="M10" s="181">
        <f>'Indexed REC Activities'!O10*'Indexed REC Calculator'!M17</f>
        <v>0</v>
      </c>
      <c r="N10" s="181">
        <f>'Indexed REC Activities'!P10*'Indexed REC Calculator'!N17</f>
        <v>3337946.4285714277</v>
      </c>
      <c r="O10" s="181">
        <f>'Indexed REC Activities'!Q10*'Indexed REC Calculator'!O17</f>
        <v>2187003.9682539753</v>
      </c>
      <c r="P10" s="181">
        <f>'Indexed REC Activities'!R10*'Indexed REC Calculator'!P17</f>
        <v>-236825.39682539526</v>
      </c>
      <c r="Q10" s="181">
        <f>'Indexed REC Activities'!S10*'Indexed REC Calculator'!Q17</f>
        <v>-1833938.4920634956</v>
      </c>
      <c r="R10" s="181">
        <f>'Indexed REC Activities'!T10*'Indexed REC Calculator'!R17</f>
        <v>-3092113.0952380905</v>
      </c>
      <c r="S10" s="181">
        <f>'Indexed REC Activities'!U10*'Indexed REC Calculator'!S17</f>
        <v>-4411170.6349206297</v>
      </c>
      <c r="T10" s="181">
        <f>'Indexed REC Activities'!V10*'Indexed REC Calculator'!T17</f>
        <v>-5506765.8730158797</v>
      </c>
      <c r="U10" s="181">
        <f>'Indexed REC Activities'!W10*'Indexed REC Calculator'!U17</f>
        <v>-6517281.7460317416</v>
      </c>
      <c r="V10" s="181">
        <f>'Indexed REC Activities'!X10*'Indexed REC Calculator'!V17</f>
        <v>-7829315.476190473</v>
      </c>
      <c r="W10" s="181">
        <f>'Indexed REC Activities'!Y10*'Indexed REC Calculator'!W17</f>
        <v>-8905416.6666666679</v>
      </c>
      <c r="X10" s="181">
        <f>'Indexed REC Activities'!Z10*'Indexed REC Calculator'!X17</f>
        <v>-9958025.793650791</v>
      </c>
    </row>
    <row r="11" spans="1:24" ht="15.5" x14ac:dyDescent="0.35">
      <c r="A11" s="177" t="s">
        <v>86</v>
      </c>
      <c r="B11" s="11">
        <f t="shared" si="1"/>
        <v>2031</v>
      </c>
      <c r="C11" s="181">
        <f>'Indexed REC Activities'!E11*'Indexed REC Calculator'!C18</f>
        <v>0</v>
      </c>
      <c r="D11" s="181">
        <f>'Indexed REC Activities'!F11*'Indexed REC Calculator'!D18</f>
        <v>0</v>
      </c>
      <c r="E11" s="181">
        <f>'Indexed REC Activities'!G11*'Indexed REC Calculator'!E18</f>
        <v>0</v>
      </c>
      <c r="F11" s="181">
        <f>'Indexed REC Activities'!H11*'Indexed REC Calculator'!F18</f>
        <v>0</v>
      </c>
      <c r="G11" s="181">
        <f>'Indexed REC Activities'!I11*'Indexed REC Calculator'!G18</f>
        <v>0</v>
      </c>
      <c r="H11" s="181">
        <f>'Indexed REC Activities'!J11*'Indexed REC Calculator'!H18</f>
        <v>0</v>
      </c>
      <c r="I11" s="181">
        <f>'Indexed REC Activities'!K11*'Indexed REC Calculator'!I18</f>
        <v>0</v>
      </c>
      <c r="J11" s="181">
        <f>'Indexed REC Activities'!L11*'Indexed REC Calculator'!J18</f>
        <v>0</v>
      </c>
      <c r="K11" s="181">
        <f>'Indexed REC Activities'!M11*'Indexed REC Calculator'!K18</f>
        <v>0</v>
      </c>
      <c r="L11" s="181">
        <f>'Indexed REC Activities'!N11*'Indexed REC Calculator'!L18</f>
        <v>0</v>
      </c>
      <c r="M11" s="181">
        <f>'Indexed REC Activities'!O11*'Indexed REC Calculator'!M18</f>
        <v>0</v>
      </c>
      <c r="N11" s="181">
        <f>'Indexed REC Activities'!P11*'Indexed REC Calculator'!N18</f>
        <v>0</v>
      </c>
      <c r="O11" s="181">
        <f>'Indexed REC Activities'!Q11*'Indexed REC Calculator'!O18</f>
        <v>2187003.9682539753</v>
      </c>
      <c r="P11" s="181">
        <f>'Indexed REC Activities'!R11*'Indexed REC Calculator'!P18</f>
        <v>-592063.49206348823</v>
      </c>
      <c r="Q11" s="181">
        <f>'Indexed REC Activities'!S11*'Indexed REC Calculator'!Q18</f>
        <v>-1833938.4920634956</v>
      </c>
      <c r="R11" s="181">
        <f>'Indexed REC Activities'!T11*'Indexed REC Calculator'!R18</f>
        <v>-3092113.0952380905</v>
      </c>
      <c r="S11" s="181">
        <f>'Indexed REC Activities'!U11*'Indexed REC Calculator'!S18</f>
        <v>-4411170.6349206297</v>
      </c>
      <c r="T11" s="181">
        <f>'Indexed REC Activities'!V11*'Indexed REC Calculator'!T18</f>
        <v>-5506765.8730158797</v>
      </c>
      <c r="U11" s="181">
        <f>'Indexed REC Activities'!W11*'Indexed REC Calculator'!U18</f>
        <v>-6517281.7460317416</v>
      </c>
      <c r="V11" s="181">
        <f>'Indexed REC Activities'!X11*'Indexed REC Calculator'!V18</f>
        <v>-7829315.476190473</v>
      </c>
      <c r="W11" s="181">
        <f>'Indexed REC Activities'!Y11*'Indexed REC Calculator'!W18</f>
        <v>-8905416.6666666679</v>
      </c>
      <c r="X11" s="181">
        <f>'Indexed REC Activities'!Z11*'Indexed REC Calculator'!X18</f>
        <v>-9958025.793650791</v>
      </c>
    </row>
    <row r="12" spans="1:24" ht="15.5" x14ac:dyDescent="0.35">
      <c r="A12" s="177" t="s">
        <v>86</v>
      </c>
      <c r="B12" s="11">
        <f t="shared" si="1"/>
        <v>2032</v>
      </c>
      <c r="C12" s="181">
        <f>'Indexed REC Activities'!E12*'Indexed REC Calculator'!C19</f>
        <v>0</v>
      </c>
      <c r="D12" s="181">
        <f>'Indexed REC Activities'!F12*'Indexed REC Calculator'!D19</f>
        <v>0</v>
      </c>
      <c r="E12" s="181">
        <f>'Indexed REC Activities'!G12*'Indexed REC Calculator'!E19</f>
        <v>0</v>
      </c>
      <c r="F12" s="181">
        <f>'Indexed REC Activities'!H12*'Indexed REC Calculator'!F19</f>
        <v>0</v>
      </c>
      <c r="G12" s="181">
        <f>'Indexed REC Activities'!I12*'Indexed REC Calculator'!G19</f>
        <v>0</v>
      </c>
      <c r="H12" s="181">
        <f>'Indexed REC Activities'!J12*'Indexed REC Calculator'!H19</f>
        <v>0</v>
      </c>
      <c r="I12" s="181">
        <f>'Indexed REC Activities'!K12*'Indexed REC Calculator'!I19</f>
        <v>0</v>
      </c>
      <c r="J12" s="181">
        <f>'Indexed REC Activities'!L12*'Indexed REC Calculator'!J19</f>
        <v>0</v>
      </c>
      <c r="K12" s="181">
        <f>'Indexed REC Activities'!M12*'Indexed REC Calculator'!K19</f>
        <v>0</v>
      </c>
      <c r="L12" s="181">
        <f>'Indexed REC Activities'!N12*'Indexed REC Calculator'!L19</f>
        <v>0</v>
      </c>
      <c r="M12" s="181">
        <f>'Indexed REC Activities'!O12*'Indexed REC Calculator'!M19</f>
        <v>0</v>
      </c>
      <c r="N12" s="181">
        <f>'Indexed REC Activities'!P12*'Indexed REC Calculator'!N19</f>
        <v>0</v>
      </c>
      <c r="O12" s="181">
        <f>'Indexed REC Activities'!Q12*'Indexed REC Calculator'!O19</f>
        <v>0</v>
      </c>
      <c r="P12" s="181">
        <f>'Indexed REC Activities'!R12*'Indexed REC Calculator'!P19</f>
        <v>-236825.39682539526</v>
      </c>
      <c r="Q12" s="181">
        <f>'Indexed REC Activities'!S12*'Indexed REC Calculator'!Q19</f>
        <v>-1833938.4920634956</v>
      </c>
      <c r="R12" s="181">
        <f>'Indexed REC Activities'!T12*'Indexed REC Calculator'!R19</f>
        <v>-3092113.0952380905</v>
      </c>
      <c r="S12" s="181">
        <f>'Indexed REC Activities'!U12*'Indexed REC Calculator'!S19</f>
        <v>-4411170.6349206297</v>
      </c>
      <c r="T12" s="181">
        <f>'Indexed REC Activities'!V12*'Indexed REC Calculator'!T19</f>
        <v>-5506765.8730158797</v>
      </c>
      <c r="U12" s="181">
        <f>'Indexed REC Activities'!W12*'Indexed REC Calculator'!U19</f>
        <v>-6517281.7460317416</v>
      </c>
      <c r="V12" s="181">
        <f>'Indexed REC Activities'!X12*'Indexed REC Calculator'!V19</f>
        <v>-19573288.690476183</v>
      </c>
      <c r="W12" s="181">
        <f>'Indexed REC Activities'!Y12*'Indexed REC Calculator'!W19</f>
        <v>-8905416.6666666679</v>
      </c>
      <c r="X12" s="181">
        <f>'Indexed REC Activities'!Z12*'Indexed REC Calculator'!X19</f>
        <v>-9958025.793650791</v>
      </c>
    </row>
    <row r="13" spans="1:24" ht="15.5" x14ac:dyDescent="0.35">
      <c r="A13" s="177" t="s">
        <v>86</v>
      </c>
      <c r="B13" s="11">
        <f t="shared" si="1"/>
        <v>2033</v>
      </c>
      <c r="C13" s="181">
        <f>'Indexed REC Activities'!E13*'Indexed REC Calculator'!C20</f>
        <v>0</v>
      </c>
      <c r="D13" s="181">
        <f>'Indexed REC Activities'!F13*'Indexed REC Calculator'!D20</f>
        <v>0</v>
      </c>
      <c r="E13" s="181">
        <f>'Indexed REC Activities'!G13*'Indexed REC Calculator'!E20</f>
        <v>0</v>
      </c>
      <c r="F13" s="181">
        <f>'Indexed REC Activities'!H13*'Indexed REC Calculator'!F20</f>
        <v>0</v>
      </c>
      <c r="G13" s="181">
        <f>'Indexed REC Activities'!I13*'Indexed REC Calculator'!G20</f>
        <v>0</v>
      </c>
      <c r="H13" s="181">
        <f>'Indexed REC Activities'!J13*'Indexed REC Calculator'!H20</f>
        <v>0</v>
      </c>
      <c r="I13" s="181">
        <f>'Indexed REC Activities'!K13*'Indexed REC Calculator'!I20</f>
        <v>0</v>
      </c>
      <c r="J13" s="181">
        <f>'Indexed REC Activities'!L13*'Indexed REC Calculator'!J20</f>
        <v>0</v>
      </c>
      <c r="K13" s="181">
        <f>'Indexed REC Activities'!M13*'Indexed REC Calculator'!K20</f>
        <v>0</v>
      </c>
      <c r="L13" s="181">
        <f>'Indexed REC Activities'!N13*'Indexed REC Calculator'!L20</f>
        <v>0</v>
      </c>
      <c r="M13" s="181">
        <f>'Indexed REC Activities'!O13*'Indexed REC Calculator'!M20</f>
        <v>0</v>
      </c>
      <c r="N13" s="181">
        <f>'Indexed REC Activities'!P13*'Indexed REC Calculator'!N20</f>
        <v>0</v>
      </c>
      <c r="O13" s="181">
        <f>'Indexed REC Activities'!Q13*'Indexed REC Calculator'!O20</f>
        <v>0</v>
      </c>
      <c r="P13" s="181">
        <f>'Indexed REC Activities'!R13*'Indexed REC Calculator'!P20</f>
        <v>0</v>
      </c>
      <c r="Q13" s="181">
        <f>'Indexed REC Activities'!S13*'Indexed REC Calculator'!Q20</f>
        <v>-1833938.4920634956</v>
      </c>
      <c r="R13" s="181">
        <f>'Indexed REC Activities'!T13*'Indexed REC Calculator'!R20</f>
        <v>-3092113.0952380905</v>
      </c>
      <c r="S13" s="181">
        <f>'Indexed REC Activities'!U13*'Indexed REC Calculator'!S20</f>
        <v>-4411170.6349206297</v>
      </c>
      <c r="T13" s="181">
        <f>'Indexed REC Activities'!V13*'Indexed REC Calculator'!T20</f>
        <v>-5506765.8730158797</v>
      </c>
      <c r="U13" s="181">
        <f>'Indexed REC Activities'!W13*'Indexed REC Calculator'!U20</f>
        <v>-6517281.7460317416</v>
      </c>
      <c r="V13" s="181">
        <f>'Indexed REC Activities'!X13*'Indexed REC Calculator'!V20</f>
        <v>-7829315.476190473</v>
      </c>
      <c r="W13" s="181">
        <f>'Indexed REC Activities'!Y13*'Indexed REC Calculator'!W20</f>
        <v>-8905416.6666666679</v>
      </c>
      <c r="X13" s="181">
        <f>'Indexed REC Activities'!Z13*'Indexed REC Calculator'!X20</f>
        <v>-9958025.793650791</v>
      </c>
    </row>
    <row r="14" spans="1:24" ht="15.5" x14ac:dyDescent="0.35">
      <c r="A14" s="177" t="s">
        <v>86</v>
      </c>
      <c r="B14" s="11">
        <f t="shared" si="1"/>
        <v>2034</v>
      </c>
      <c r="C14" s="181">
        <f>'Indexed REC Activities'!E14*'Indexed REC Calculator'!C21</f>
        <v>0</v>
      </c>
      <c r="D14" s="181">
        <f>'Indexed REC Activities'!F14*'Indexed REC Calculator'!D21</f>
        <v>0</v>
      </c>
      <c r="E14" s="181">
        <f>'Indexed REC Activities'!G14*'Indexed REC Calculator'!E21</f>
        <v>0</v>
      </c>
      <c r="F14" s="181">
        <f>'Indexed REC Activities'!H14*'Indexed REC Calculator'!F21</f>
        <v>0</v>
      </c>
      <c r="G14" s="181">
        <f>'Indexed REC Activities'!I14*'Indexed REC Calculator'!G21</f>
        <v>0</v>
      </c>
      <c r="H14" s="181">
        <f>'Indexed REC Activities'!J14*'Indexed REC Calculator'!H21</f>
        <v>0</v>
      </c>
      <c r="I14" s="181">
        <f>'Indexed REC Activities'!K14*'Indexed REC Calculator'!I21</f>
        <v>0</v>
      </c>
      <c r="J14" s="181">
        <f>'Indexed REC Activities'!L14*'Indexed REC Calculator'!J21</f>
        <v>0</v>
      </c>
      <c r="K14" s="181">
        <f>'Indexed REC Activities'!M14*'Indexed REC Calculator'!K21</f>
        <v>0</v>
      </c>
      <c r="L14" s="181">
        <f>'Indexed REC Activities'!N14*'Indexed REC Calculator'!L21</f>
        <v>0</v>
      </c>
      <c r="M14" s="181">
        <f>'Indexed REC Activities'!O14*'Indexed REC Calculator'!M21</f>
        <v>0</v>
      </c>
      <c r="N14" s="181">
        <f>'Indexed REC Activities'!P14*'Indexed REC Calculator'!N21</f>
        <v>0</v>
      </c>
      <c r="O14" s="181">
        <f>'Indexed REC Activities'!Q14*'Indexed REC Calculator'!O21</f>
        <v>0</v>
      </c>
      <c r="P14" s="181">
        <f>'Indexed REC Activities'!R14*'Indexed REC Calculator'!P21</f>
        <v>0</v>
      </c>
      <c r="Q14" s="181">
        <f>'Indexed REC Activities'!S14*'Indexed REC Calculator'!Q21</f>
        <v>0</v>
      </c>
      <c r="R14" s="181">
        <f>'Indexed REC Activities'!T14*'Indexed REC Calculator'!R21</f>
        <v>-3092113.0952380905</v>
      </c>
      <c r="S14" s="181">
        <f>'Indexed REC Activities'!U14*'Indexed REC Calculator'!S21</f>
        <v>-4411170.6349206297</v>
      </c>
      <c r="T14" s="181">
        <f>'Indexed REC Activities'!V14*'Indexed REC Calculator'!T21</f>
        <v>-5506765.8730158797</v>
      </c>
      <c r="U14" s="181">
        <f>'Indexed REC Activities'!W14*'Indexed REC Calculator'!U21</f>
        <v>-6517281.7460317416</v>
      </c>
      <c r="V14" s="181">
        <f>'Indexed REC Activities'!X14*'Indexed REC Calculator'!V21</f>
        <v>-7829315.476190473</v>
      </c>
      <c r="W14" s="181">
        <f>'Indexed REC Activities'!Y14*'Indexed REC Calculator'!W21</f>
        <v>-8905416.6666666679</v>
      </c>
      <c r="X14" s="181">
        <f>'Indexed REC Activities'!Z14*'Indexed REC Calculator'!X21</f>
        <v>-9958025.793650791</v>
      </c>
    </row>
    <row r="15" spans="1:24" ht="15.5" x14ac:dyDescent="0.35">
      <c r="A15" s="177" t="s">
        <v>86</v>
      </c>
      <c r="B15" s="11">
        <f t="shared" si="1"/>
        <v>2035</v>
      </c>
      <c r="C15" s="181">
        <f>'Indexed REC Activities'!E15*'Indexed REC Calculator'!C22</f>
        <v>0</v>
      </c>
      <c r="D15" s="181">
        <f>'Indexed REC Activities'!F15*'Indexed REC Calculator'!D22</f>
        <v>0</v>
      </c>
      <c r="E15" s="181">
        <f>'Indexed REC Activities'!G15*'Indexed REC Calculator'!E22</f>
        <v>0</v>
      </c>
      <c r="F15" s="181">
        <f>'Indexed REC Activities'!H15*'Indexed REC Calculator'!F22</f>
        <v>0</v>
      </c>
      <c r="G15" s="181">
        <f>'Indexed REC Activities'!I15*'Indexed REC Calculator'!G22</f>
        <v>0</v>
      </c>
      <c r="H15" s="181">
        <f>'Indexed REC Activities'!J15*'Indexed REC Calculator'!H22</f>
        <v>0</v>
      </c>
      <c r="I15" s="181">
        <f>'Indexed REC Activities'!K15*'Indexed REC Calculator'!I22</f>
        <v>0</v>
      </c>
      <c r="J15" s="181">
        <f>'Indexed REC Activities'!L15*'Indexed REC Calculator'!J22</f>
        <v>0</v>
      </c>
      <c r="K15" s="181">
        <f>'Indexed REC Activities'!M15*'Indexed REC Calculator'!K22</f>
        <v>0</v>
      </c>
      <c r="L15" s="181">
        <f>'Indexed REC Activities'!N15*'Indexed REC Calculator'!L22</f>
        <v>0</v>
      </c>
      <c r="M15" s="181">
        <f>'Indexed REC Activities'!O15*'Indexed REC Calculator'!M22</f>
        <v>0</v>
      </c>
      <c r="N15" s="181">
        <f>'Indexed REC Activities'!P15*'Indexed REC Calculator'!N22</f>
        <v>0</v>
      </c>
      <c r="O15" s="181">
        <f>'Indexed REC Activities'!Q15*'Indexed REC Calculator'!O22</f>
        <v>0</v>
      </c>
      <c r="P15" s="181">
        <f>'Indexed REC Activities'!R15*'Indexed REC Calculator'!P22</f>
        <v>0</v>
      </c>
      <c r="Q15" s="181">
        <f>'Indexed REC Activities'!S15*'Indexed REC Calculator'!Q22</f>
        <v>0</v>
      </c>
      <c r="R15" s="181">
        <f>'Indexed REC Activities'!T15*'Indexed REC Calculator'!R22</f>
        <v>0</v>
      </c>
      <c r="S15" s="181">
        <f>'Indexed REC Activities'!U15*'Indexed REC Calculator'!S22</f>
        <v>-4411170.6349206297</v>
      </c>
      <c r="T15" s="181">
        <f>'Indexed REC Activities'!V15*'Indexed REC Calculator'!T22</f>
        <v>-5506765.8730158797</v>
      </c>
      <c r="U15" s="181">
        <f>'Indexed REC Activities'!W15*'Indexed REC Calculator'!U22</f>
        <v>-6517281.7460317416</v>
      </c>
      <c r="V15" s="181">
        <f>'Indexed REC Activities'!X15*'Indexed REC Calculator'!V22</f>
        <v>-7829315.476190473</v>
      </c>
      <c r="W15" s="181">
        <f>'Indexed REC Activities'!Y15*'Indexed REC Calculator'!W22</f>
        <v>-8905416.6666666679</v>
      </c>
      <c r="X15" s="181">
        <f>'Indexed REC Activities'!Z15*'Indexed REC Calculator'!X22</f>
        <v>-9958025.793650791</v>
      </c>
    </row>
    <row r="16" spans="1:24" ht="15.5" x14ac:dyDescent="0.35">
      <c r="A16" s="177" t="s">
        <v>86</v>
      </c>
      <c r="B16" s="11">
        <f t="shared" si="1"/>
        <v>2036</v>
      </c>
      <c r="C16" s="181">
        <f>'Indexed REC Activities'!E16*'Indexed REC Calculator'!C23</f>
        <v>0</v>
      </c>
      <c r="D16" s="181">
        <f>'Indexed REC Activities'!F16*'Indexed REC Calculator'!D23</f>
        <v>0</v>
      </c>
      <c r="E16" s="181">
        <f>'Indexed REC Activities'!G16*'Indexed REC Calculator'!E23</f>
        <v>0</v>
      </c>
      <c r="F16" s="181">
        <f>'Indexed REC Activities'!H16*'Indexed REC Calculator'!F23</f>
        <v>0</v>
      </c>
      <c r="G16" s="181">
        <f>'Indexed REC Activities'!I16*'Indexed REC Calculator'!G23</f>
        <v>0</v>
      </c>
      <c r="H16" s="181">
        <f>'Indexed REC Activities'!J16*'Indexed REC Calculator'!H23</f>
        <v>0</v>
      </c>
      <c r="I16" s="181">
        <f>'Indexed REC Activities'!K16*'Indexed REC Calculator'!I23</f>
        <v>0</v>
      </c>
      <c r="J16" s="181">
        <f>'Indexed REC Activities'!L16*'Indexed REC Calculator'!J23</f>
        <v>0</v>
      </c>
      <c r="K16" s="181">
        <f>'Indexed REC Activities'!M16*'Indexed REC Calculator'!K23</f>
        <v>0</v>
      </c>
      <c r="L16" s="181">
        <f>'Indexed REC Activities'!N16*'Indexed REC Calculator'!L23</f>
        <v>0</v>
      </c>
      <c r="M16" s="181">
        <f>'Indexed REC Activities'!O16*'Indexed REC Calculator'!M23</f>
        <v>0</v>
      </c>
      <c r="N16" s="181">
        <f>'Indexed REC Activities'!P16*'Indexed REC Calculator'!N23</f>
        <v>0</v>
      </c>
      <c r="O16" s="181">
        <f>'Indexed REC Activities'!Q16*'Indexed REC Calculator'!O23</f>
        <v>0</v>
      </c>
      <c r="P16" s="181">
        <f>'Indexed REC Activities'!R16*'Indexed REC Calculator'!P23</f>
        <v>0</v>
      </c>
      <c r="Q16" s="181">
        <f>'Indexed REC Activities'!S16*'Indexed REC Calculator'!Q23</f>
        <v>0</v>
      </c>
      <c r="R16" s="181">
        <f>'Indexed REC Activities'!T16*'Indexed REC Calculator'!R23</f>
        <v>0</v>
      </c>
      <c r="S16" s="181">
        <f>'Indexed REC Activities'!U16*'Indexed REC Calculator'!S23</f>
        <v>0</v>
      </c>
      <c r="T16" s="181">
        <f>'Indexed REC Activities'!V16*'Indexed REC Calculator'!T23</f>
        <v>-5506765.8730158797</v>
      </c>
      <c r="U16" s="181">
        <f>'Indexed REC Activities'!W16*'Indexed REC Calculator'!U23</f>
        <v>-6517281.7460317416</v>
      </c>
      <c r="V16" s="181">
        <f>'Indexed REC Activities'!X16*'Indexed REC Calculator'!V23</f>
        <v>-7829315.476190473</v>
      </c>
      <c r="W16" s="181">
        <f>'Indexed REC Activities'!Y16*'Indexed REC Calculator'!W23</f>
        <v>-8905416.6666666679</v>
      </c>
      <c r="X16" s="181">
        <f>'Indexed REC Activities'!Z16*'Indexed REC Calculator'!X23</f>
        <v>-9958025.793650791</v>
      </c>
    </row>
    <row r="17" spans="1:24" ht="15.5" x14ac:dyDescent="0.35">
      <c r="A17" s="177" t="s">
        <v>86</v>
      </c>
      <c r="B17" s="11">
        <f t="shared" si="1"/>
        <v>2037</v>
      </c>
      <c r="C17" s="181">
        <f>'Indexed REC Activities'!E17*'Indexed REC Calculator'!C24</f>
        <v>0</v>
      </c>
      <c r="D17" s="181">
        <f>'Indexed REC Activities'!F17*'Indexed REC Calculator'!D24</f>
        <v>0</v>
      </c>
      <c r="E17" s="181">
        <f>'Indexed REC Activities'!G17*'Indexed REC Calculator'!E24</f>
        <v>0</v>
      </c>
      <c r="F17" s="181">
        <f>'Indexed REC Activities'!H17*'Indexed REC Calculator'!F24</f>
        <v>0</v>
      </c>
      <c r="G17" s="181">
        <f>'Indexed REC Activities'!I17*'Indexed REC Calculator'!G24</f>
        <v>0</v>
      </c>
      <c r="H17" s="181">
        <f>'Indexed REC Activities'!J17*'Indexed REC Calculator'!H24</f>
        <v>0</v>
      </c>
      <c r="I17" s="181">
        <f>'Indexed REC Activities'!K17*'Indexed REC Calculator'!I24</f>
        <v>0</v>
      </c>
      <c r="J17" s="181">
        <f>'Indexed REC Activities'!L17*'Indexed REC Calculator'!J24</f>
        <v>0</v>
      </c>
      <c r="K17" s="181">
        <f>'Indexed REC Activities'!M17*'Indexed REC Calculator'!K24</f>
        <v>0</v>
      </c>
      <c r="L17" s="181">
        <f>'Indexed REC Activities'!N17*'Indexed REC Calculator'!L24</f>
        <v>0</v>
      </c>
      <c r="M17" s="181">
        <f>'Indexed REC Activities'!O17*'Indexed REC Calculator'!M24</f>
        <v>0</v>
      </c>
      <c r="N17" s="181">
        <f>'Indexed REC Activities'!P17*'Indexed REC Calculator'!N24</f>
        <v>0</v>
      </c>
      <c r="O17" s="181">
        <f>'Indexed REC Activities'!Q17*'Indexed REC Calculator'!O24</f>
        <v>0</v>
      </c>
      <c r="P17" s="181">
        <f>'Indexed REC Activities'!R17*'Indexed REC Calculator'!P24</f>
        <v>0</v>
      </c>
      <c r="Q17" s="181">
        <f>'Indexed REC Activities'!S17*'Indexed REC Calculator'!Q24</f>
        <v>0</v>
      </c>
      <c r="R17" s="181">
        <f>'Indexed REC Activities'!T17*'Indexed REC Calculator'!R24</f>
        <v>0</v>
      </c>
      <c r="S17" s="181">
        <f>'Indexed REC Activities'!U17*'Indexed REC Calculator'!S24</f>
        <v>0</v>
      </c>
      <c r="T17" s="181">
        <f>'Indexed REC Activities'!V17*'Indexed REC Calculator'!T24</f>
        <v>0</v>
      </c>
      <c r="U17" s="181">
        <f>'Indexed REC Activities'!W17*'Indexed REC Calculator'!U24</f>
        <v>-6517281.7460317416</v>
      </c>
      <c r="V17" s="181">
        <f>'Indexed REC Activities'!X17*'Indexed REC Calculator'!V24</f>
        <v>-7829315.476190473</v>
      </c>
      <c r="W17" s="181">
        <f>'Indexed REC Activities'!Y17*'Indexed REC Calculator'!W24</f>
        <v>-8905416.6666666679</v>
      </c>
      <c r="X17" s="181">
        <f>'Indexed REC Activities'!Z17*'Indexed REC Calculator'!X24</f>
        <v>-9958025.793650791</v>
      </c>
    </row>
    <row r="18" spans="1:24" ht="15.5" x14ac:dyDescent="0.35">
      <c r="A18" s="177" t="s">
        <v>86</v>
      </c>
      <c r="B18" s="11">
        <f t="shared" si="1"/>
        <v>2038</v>
      </c>
      <c r="C18" s="181">
        <f>'Indexed REC Activities'!E18*'Indexed REC Calculator'!C25</f>
        <v>0</v>
      </c>
      <c r="D18" s="181">
        <f>'Indexed REC Activities'!F18*'Indexed REC Calculator'!D25</f>
        <v>0</v>
      </c>
      <c r="E18" s="181">
        <f>'Indexed REC Activities'!G18*'Indexed REC Calculator'!E25</f>
        <v>0</v>
      </c>
      <c r="F18" s="181">
        <f>'Indexed REC Activities'!H18*'Indexed REC Calculator'!F25</f>
        <v>0</v>
      </c>
      <c r="G18" s="181">
        <f>'Indexed REC Activities'!I18*'Indexed REC Calculator'!G25</f>
        <v>0</v>
      </c>
      <c r="H18" s="181">
        <f>'Indexed REC Activities'!J18*'Indexed REC Calculator'!H25</f>
        <v>0</v>
      </c>
      <c r="I18" s="181">
        <f>'Indexed REC Activities'!K18*'Indexed REC Calculator'!I25</f>
        <v>0</v>
      </c>
      <c r="J18" s="181">
        <f>'Indexed REC Activities'!L18*'Indexed REC Calculator'!J25</f>
        <v>0</v>
      </c>
      <c r="K18" s="181">
        <f>'Indexed REC Activities'!M18*'Indexed REC Calculator'!K25</f>
        <v>0</v>
      </c>
      <c r="L18" s="181">
        <f>'Indexed REC Activities'!N18*'Indexed REC Calculator'!L25</f>
        <v>0</v>
      </c>
      <c r="M18" s="181">
        <f>'Indexed REC Activities'!O18*'Indexed REC Calculator'!M25</f>
        <v>0</v>
      </c>
      <c r="N18" s="181">
        <f>'Indexed REC Activities'!P18*'Indexed REC Calculator'!N25</f>
        <v>0</v>
      </c>
      <c r="O18" s="181">
        <f>'Indexed REC Activities'!Q18*'Indexed REC Calculator'!O25</f>
        <v>0</v>
      </c>
      <c r="P18" s="181">
        <f>'Indexed REC Activities'!R18*'Indexed REC Calculator'!P25</f>
        <v>0</v>
      </c>
      <c r="Q18" s="181">
        <f>'Indexed REC Activities'!S18*'Indexed REC Calculator'!Q25</f>
        <v>0</v>
      </c>
      <c r="R18" s="181">
        <f>'Indexed REC Activities'!T18*'Indexed REC Calculator'!R25</f>
        <v>0</v>
      </c>
      <c r="S18" s="181">
        <f>'Indexed REC Activities'!U18*'Indexed REC Calculator'!S25</f>
        <v>0</v>
      </c>
      <c r="T18" s="181">
        <f>'Indexed REC Activities'!V18*'Indexed REC Calculator'!T25</f>
        <v>0</v>
      </c>
      <c r="U18" s="181">
        <f>'Indexed REC Activities'!W18*'Indexed REC Calculator'!U25</f>
        <v>0</v>
      </c>
      <c r="V18" s="181">
        <f>'Indexed REC Activities'!X18*'Indexed REC Calculator'!V25</f>
        <v>-7829315.476190473</v>
      </c>
      <c r="W18" s="181">
        <f>'Indexed REC Activities'!Y18*'Indexed REC Calculator'!W25</f>
        <v>-8905416.6666666679</v>
      </c>
      <c r="X18" s="181">
        <f>'Indexed REC Activities'!Z18*'Indexed REC Calculator'!X25</f>
        <v>-9958025.793650791</v>
      </c>
    </row>
    <row r="19" spans="1:24" ht="15.5" x14ac:dyDescent="0.35">
      <c r="A19" s="177" t="s">
        <v>86</v>
      </c>
      <c r="B19" s="11">
        <f t="shared" si="1"/>
        <v>2039</v>
      </c>
      <c r="C19" s="181">
        <f>'Indexed REC Activities'!E19*'Indexed REC Calculator'!C26</f>
        <v>0</v>
      </c>
      <c r="D19" s="181">
        <f>'Indexed REC Activities'!F19*'Indexed REC Calculator'!D26</f>
        <v>0</v>
      </c>
      <c r="E19" s="181">
        <f>'Indexed REC Activities'!G19*'Indexed REC Calculator'!E26</f>
        <v>0</v>
      </c>
      <c r="F19" s="181">
        <f>'Indexed REC Activities'!H19*'Indexed REC Calculator'!F26</f>
        <v>0</v>
      </c>
      <c r="G19" s="181">
        <f>'Indexed REC Activities'!I19*'Indexed REC Calculator'!G26</f>
        <v>0</v>
      </c>
      <c r="H19" s="181">
        <f>'Indexed REC Activities'!J19*'Indexed REC Calculator'!H26</f>
        <v>0</v>
      </c>
      <c r="I19" s="181">
        <f>'Indexed REC Activities'!K19*'Indexed REC Calculator'!I26</f>
        <v>0</v>
      </c>
      <c r="J19" s="181">
        <f>'Indexed REC Activities'!L19*'Indexed REC Calculator'!J26</f>
        <v>0</v>
      </c>
      <c r="K19" s="181">
        <f>'Indexed REC Activities'!M19*'Indexed REC Calculator'!K26</f>
        <v>0</v>
      </c>
      <c r="L19" s="181">
        <f>'Indexed REC Activities'!N19*'Indexed REC Calculator'!L26</f>
        <v>0</v>
      </c>
      <c r="M19" s="181">
        <f>'Indexed REC Activities'!O19*'Indexed REC Calculator'!M26</f>
        <v>0</v>
      </c>
      <c r="N19" s="181">
        <f>'Indexed REC Activities'!P19*'Indexed REC Calculator'!N26</f>
        <v>0</v>
      </c>
      <c r="O19" s="181">
        <f>'Indexed REC Activities'!Q19*'Indexed REC Calculator'!O26</f>
        <v>0</v>
      </c>
      <c r="P19" s="181">
        <f>'Indexed REC Activities'!R19*'Indexed REC Calculator'!P26</f>
        <v>0</v>
      </c>
      <c r="Q19" s="181">
        <f>'Indexed REC Activities'!S19*'Indexed REC Calculator'!Q26</f>
        <v>0</v>
      </c>
      <c r="R19" s="181">
        <f>'Indexed REC Activities'!T19*'Indexed REC Calculator'!R26</f>
        <v>0</v>
      </c>
      <c r="S19" s="181">
        <f>'Indexed REC Activities'!U19*'Indexed REC Calculator'!S26</f>
        <v>0</v>
      </c>
      <c r="T19" s="181">
        <f>'Indexed REC Activities'!V19*'Indexed REC Calculator'!T26</f>
        <v>0</v>
      </c>
      <c r="U19" s="181">
        <f>'Indexed REC Activities'!W19*'Indexed REC Calculator'!U26</f>
        <v>0</v>
      </c>
      <c r="V19" s="181">
        <f>'Indexed REC Activities'!X19*'Indexed REC Calculator'!V26</f>
        <v>0</v>
      </c>
      <c r="W19" s="181">
        <f>'Indexed REC Activities'!Y19*'Indexed REC Calculator'!W26</f>
        <v>-8905416.6666666679</v>
      </c>
      <c r="X19" s="181">
        <f>'Indexed REC Activities'!Z19*'Indexed REC Calculator'!X26</f>
        <v>-9958025.793650791</v>
      </c>
    </row>
    <row r="20" spans="1:24" ht="15.5" x14ac:dyDescent="0.35">
      <c r="A20" s="177" t="s">
        <v>86</v>
      </c>
      <c r="B20" s="11">
        <f t="shared" si="1"/>
        <v>2040</v>
      </c>
      <c r="C20" s="181">
        <f>'Indexed REC Activities'!E20*'Indexed REC Calculator'!C27</f>
        <v>0</v>
      </c>
      <c r="D20" s="181">
        <f>'Indexed REC Activities'!F20*'Indexed REC Calculator'!D27</f>
        <v>0</v>
      </c>
      <c r="E20" s="181">
        <f>'Indexed REC Activities'!G20*'Indexed REC Calculator'!E27</f>
        <v>0</v>
      </c>
      <c r="F20" s="181">
        <f>'Indexed REC Activities'!H20*'Indexed REC Calculator'!F27</f>
        <v>0</v>
      </c>
      <c r="G20" s="181">
        <f>'Indexed REC Activities'!I20*'Indexed REC Calculator'!G27</f>
        <v>0</v>
      </c>
      <c r="H20" s="181">
        <f>'Indexed REC Activities'!J20*'Indexed REC Calculator'!H27</f>
        <v>0</v>
      </c>
      <c r="I20" s="181">
        <f>'Indexed REC Activities'!K20*'Indexed REC Calculator'!I27</f>
        <v>0</v>
      </c>
      <c r="J20" s="181">
        <f>'Indexed REC Activities'!L20*'Indexed REC Calculator'!J27</f>
        <v>0</v>
      </c>
      <c r="K20" s="181">
        <f>'Indexed REC Activities'!M20*'Indexed REC Calculator'!K27</f>
        <v>0</v>
      </c>
      <c r="L20" s="181">
        <f>'Indexed REC Activities'!N20*'Indexed REC Calculator'!L27</f>
        <v>0</v>
      </c>
      <c r="M20" s="181">
        <f>'Indexed REC Activities'!O20*'Indexed REC Calculator'!M27</f>
        <v>0</v>
      </c>
      <c r="N20" s="181">
        <f>'Indexed REC Activities'!P20*'Indexed REC Calculator'!N27</f>
        <v>0</v>
      </c>
      <c r="O20" s="181">
        <f>'Indexed REC Activities'!Q20*'Indexed REC Calculator'!O27</f>
        <v>0</v>
      </c>
      <c r="P20" s="181">
        <f>'Indexed REC Activities'!R20*'Indexed REC Calculator'!P27</f>
        <v>0</v>
      </c>
      <c r="Q20" s="181">
        <f>'Indexed REC Activities'!S20*'Indexed REC Calculator'!Q27</f>
        <v>0</v>
      </c>
      <c r="R20" s="181">
        <f>'Indexed REC Activities'!T20*'Indexed REC Calculator'!R27</f>
        <v>0</v>
      </c>
      <c r="S20" s="181">
        <f>'Indexed REC Activities'!U20*'Indexed REC Calculator'!S27</f>
        <v>0</v>
      </c>
      <c r="T20" s="181">
        <f>'Indexed REC Activities'!V20*'Indexed REC Calculator'!T27</f>
        <v>0</v>
      </c>
      <c r="U20" s="181">
        <f>'Indexed REC Activities'!W20*'Indexed REC Calculator'!U27</f>
        <v>0</v>
      </c>
      <c r="V20" s="181">
        <f>'Indexed REC Activities'!X20*'Indexed REC Calculator'!V27</f>
        <v>0</v>
      </c>
      <c r="W20" s="181">
        <f>'Indexed REC Activities'!Y20*'Indexed REC Calculator'!W27</f>
        <v>0</v>
      </c>
      <c r="X20" s="181">
        <f>'Indexed REC Activities'!Z20*'Indexed REC Calculator'!X27</f>
        <v>-9958025.793650791</v>
      </c>
    </row>
    <row r="21" spans="1:24" ht="15.5" x14ac:dyDescent="0.35">
      <c r="A21" s="177" t="s">
        <v>86</v>
      </c>
      <c r="B21" s="11">
        <f t="shared" si="1"/>
        <v>2041</v>
      </c>
      <c r="C21" s="181">
        <f>'Indexed REC Activities'!E21*'Indexed REC Calculator'!C28</f>
        <v>0</v>
      </c>
      <c r="D21" s="181">
        <f>'Indexed REC Activities'!F21*'Indexed REC Calculator'!D28</f>
        <v>0</v>
      </c>
      <c r="E21" s="181">
        <f>'Indexed REC Activities'!G21*'Indexed REC Calculator'!E28</f>
        <v>0</v>
      </c>
      <c r="F21" s="181">
        <f>'Indexed REC Activities'!H21*'Indexed REC Calculator'!F28</f>
        <v>0</v>
      </c>
      <c r="G21" s="181">
        <f>'Indexed REC Activities'!I21*'Indexed REC Calculator'!G28</f>
        <v>0</v>
      </c>
      <c r="H21" s="181">
        <f>'Indexed REC Activities'!J21*'Indexed REC Calculator'!H28</f>
        <v>0</v>
      </c>
      <c r="I21" s="181">
        <f>'Indexed REC Activities'!K21*'Indexed REC Calculator'!I28</f>
        <v>0</v>
      </c>
      <c r="J21" s="181">
        <f>'Indexed REC Activities'!L21*'Indexed REC Calculator'!J28</f>
        <v>0</v>
      </c>
      <c r="K21" s="181">
        <f>'Indexed REC Activities'!M21*'Indexed REC Calculator'!K28</f>
        <v>0</v>
      </c>
      <c r="L21" s="181">
        <f>'Indexed REC Activities'!N21*'Indexed REC Calculator'!L28</f>
        <v>0</v>
      </c>
      <c r="M21" s="181">
        <f>'Indexed REC Activities'!O21*'Indexed REC Calculator'!M28</f>
        <v>0</v>
      </c>
      <c r="N21" s="181">
        <f>'Indexed REC Activities'!P21*'Indexed REC Calculator'!N28</f>
        <v>0</v>
      </c>
      <c r="O21" s="181">
        <f>'Indexed REC Activities'!Q21*'Indexed REC Calculator'!O28</f>
        <v>0</v>
      </c>
      <c r="P21" s="181">
        <f>'Indexed REC Activities'!R21*'Indexed REC Calculator'!P28</f>
        <v>0</v>
      </c>
      <c r="Q21" s="181">
        <f>'Indexed REC Activities'!S21*'Indexed REC Calculator'!Q28</f>
        <v>0</v>
      </c>
      <c r="R21" s="181">
        <f>'Indexed REC Activities'!T21*'Indexed REC Calculator'!R28</f>
        <v>0</v>
      </c>
      <c r="S21" s="181">
        <f>'Indexed REC Activities'!U21*'Indexed REC Calculator'!S28</f>
        <v>0</v>
      </c>
      <c r="T21" s="181">
        <f>'Indexed REC Activities'!V21*'Indexed REC Calculator'!T28</f>
        <v>0</v>
      </c>
      <c r="U21" s="181">
        <f>'Indexed REC Activities'!W21*'Indexed REC Calculator'!U28</f>
        <v>0</v>
      </c>
      <c r="V21" s="181">
        <f>'Indexed REC Activities'!X21*'Indexed REC Calculator'!V28</f>
        <v>0</v>
      </c>
      <c r="W21" s="181">
        <f>'Indexed REC Activities'!Y21*'Indexed REC Calculator'!W28</f>
        <v>0</v>
      </c>
      <c r="X21" s="181">
        <f>'Indexed REC Activities'!Z21*'Indexed REC Calculator'!X28</f>
        <v>0</v>
      </c>
    </row>
    <row r="22" spans="1:24" ht="15.5" x14ac:dyDescent="0.35">
      <c r="A22" s="177" t="s">
        <v>86</v>
      </c>
      <c r="B22" s="11">
        <f t="shared" si="1"/>
        <v>2042</v>
      </c>
      <c r="C22" s="181">
        <f>'Indexed REC Activities'!E22*'Indexed REC Calculator'!C29</f>
        <v>0</v>
      </c>
      <c r="D22" s="181">
        <f>'Indexed REC Activities'!F22*'Indexed REC Calculator'!D29</f>
        <v>0</v>
      </c>
      <c r="E22" s="181">
        <f>'Indexed REC Activities'!G22*'Indexed REC Calculator'!E29</f>
        <v>0</v>
      </c>
      <c r="F22" s="181">
        <f>'Indexed REC Activities'!H22*'Indexed REC Calculator'!F29</f>
        <v>0</v>
      </c>
      <c r="G22" s="181">
        <f>'Indexed REC Activities'!I22*'Indexed REC Calculator'!G29</f>
        <v>0</v>
      </c>
      <c r="H22" s="181">
        <f>'Indexed REC Activities'!J22*'Indexed REC Calculator'!H29</f>
        <v>0</v>
      </c>
      <c r="I22" s="181">
        <f>'Indexed REC Activities'!K22*'Indexed REC Calculator'!I29</f>
        <v>0</v>
      </c>
      <c r="J22" s="181">
        <f>'Indexed REC Activities'!L22*'Indexed REC Calculator'!J29</f>
        <v>0</v>
      </c>
      <c r="K22" s="181">
        <f>'Indexed REC Activities'!M22*'Indexed REC Calculator'!K29</f>
        <v>0</v>
      </c>
      <c r="L22" s="181">
        <f>'Indexed REC Activities'!N22*'Indexed REC Calculator'!L29</f>
        <v>0</v>
      </c>
      <c r="M22" s="181">
        <f>'Indexed REC Activities'!O22*'Indexed REC Calculator'!M29</f>
        <v>0</v>
      </c>
      <c r="N22" s="181">
        <f>'Indexed REC Activities'!P22*'Indexed REC Calculator'!N29</f>
        <v>0</v>
      </c>
      <c r="O22" s="181">
        <f>'Indexed REC Activities'!Q22*'Indexed REC Calculator'!O29</f>
        <v>0</v>
      </c>
      <c r="P22" s="181">
        <f>'Indexed REC Activities'!R22*'Indexed REC Calculator'!P29</f>
        <v>0</v>
      </c>
      <c r="Q22" s="181">
        <f>'Indexed REC Activities'!S22*'Indexed REC Calculator'!Q29</f>
        <v>0</v>
      </c>
      <c r="R22" s="181">
        <f>'Indexed REC Activities'!T22*'Indexed REC Calculator'!R29</f>
        <v>0</v>
      </c>
      <c r="S22" s="181">
        <f>'Indexed REC Activities'!U22*'Indexed REC Calculator'!S29</f>
        <v>0</v>
      </c>
      <c r="T22" s="181">
        <f>'Indexed REC Activities'!V22*'Indexed REC Calculator'!T29</f>
        <v>0</v>
      </c>
      <c r="U22" s="181">
        <f>'Indexed REC Activities'!W22*'Indexed REC Calculator'!U29</f>
        <v>0</v>
      </c>
      <c r="V22" s="181">
        <f>'Indexed REC Activities'!X22*'Indexed REC Calculator'!V29</f>
        <v>0</v>
      </c>
      <c r="W22" s="181">
        <f>'Indexed REC Activities'!Y22*'Indexed REC Calculator'!W29</f>
        <v>0</v>
      </c>
      <c r="X22" s="181">
        <f>'Indexed REC Activities'!Z22*'Indexed REC Calculator'!X29</f>
        <v>0</v>
      </c>
    </row>
    <row r="23" spans="1:24" ht="15.5" x14ac:dyDescent="0.35">
      <c r="A23" s="12" t="s">
        <v>87</v>
      </c>
      <c r="B23" s="11">
        <v>2022</v>
      </c>
      <c r="C23" s="181">
        <f>'Indexed REC Activities'!E23*'Indexed REC Calculator'!C30</f>
        <v>0</v>
      </c>
      <c r="D23" s="181">
        <f>'Indexed REC Activities'!F23*'Indexed REC Calculator'!D30</f>
        <v>0</v>
      </c>
      <c r="E23" s="181">
        <f>'Indexed REC Activities'!G23*'Indexed REC Calculator'!E30</f>
        <v>0</v>
      </c>
      <c r="F23" s="181">
        <f>'Indexed REC Activities'!H23*'Indexed REC Calculator'!F36</f>
        <v>32476195.839196421</v>
      </c>
      <c r="G23" s="181">
        <f>'Indexed REC Activities'!I23*'Indexed REC Calculator'!G36</f>
        <v>25438775.445417866</v>
      </c>
      <c r="H23" s="181">
        <f>'Indexed REC Activities'!J23*'Indexed REC Calculator'!H36</f>
        <v>23426852.850277707</v>
      </c>
      <c r="I23" s="181">
        <f>'Indexed REC Activities'!K23*'Indexed REC Calculator'!I36</f>
        <v>21004470.478448097</v>
      </c>
      <c r="J23" s="181">
        <f>'Indexed REC Activities'!L23*'Indexed REC Calculator'!J36</f>
        <v>20525949.742186304</v>
      </c>
      <c r="K23" s="181">
        <f>'Indexed REC Activities'!M23*'Indexed REC Calculator'!K36</f>
        <v>15141538.58866269</v>
      </c>
      <c r="L23" s="181">
        <f>'Indexed REC Activities'!N23*'Indexed REC Calculator'!L36</f>
        <v>17164833.357727543</v>
      </c>
      <c r="M23" s="181">
        <f>'Indexed REC Activities'!O23*'Indexed REC Calculator'!M36</f>
        <v>22802148.662888996</v>
      </c>
      <c r="N23" s="181">
        <f>'Indexed REC Activities'!P23*'Indexed REC Calculator'!N36</f>
        <v>23928411.254917212</v>
      </c>
      <c r="O23" s="181">
        <f>'Indexed REC Activities'!Q23*'Indexed REC Calculator'!O36</f>
        <v>21727767.157264411</v>
      </c>
      <c r="P23" s="181">
        <f>'Indexed REC Activities'!R23*'Indexed REC Calculator'!P36</f>
        <v>17258550.742287077</v>
      </c>
      <c r="Q23" s="181">
        <f>'Indexed REC Activities'!S23*'Indexed REC Calculator'!Q36</f>
        <v>14313346.393316517</v>
      </c>
      <c r="R23" s="181">
        <f>'Indexed REC Activities'!T23*'Indexed REC Calculator'!R36</f>
        <v>12000845.739551837</v>
      </c>
      <c r="S23" s="181">
        <f>'Indexed REC Activities'!U23*'Indexed REC Calculator'!S36</f>
        <v>9603215.8950375281</v>
      </c>
      <c r="T23" s="181">
        <f>'Indexed REC Activities'!V23*'Indexed REC Calculator'!T36</f>
        <v>7623300.7444378929</v>
      </c>
      <c r="U23" s="181">
        <f>'Indexed REC Activities'!W23*'Indexed REC Calculator'!U36</f>
        <v>5812217.7878578641</v>
      </c>
      <c r="V23" s="181">
        <f>'Indexed REC Activities'!X23*'Indexed REC Calculator'!V36</f>
        <v>3492682.2081630141</v>
      </c>
      <c r="W23" s="181">
        <f>'Indexed REC Activities'!Y23*'Indexed REC Calculator'!W36</f>
        <v>1606015.0119958625</v>
      </c>
      <c r="X23" s="181">
        <f>'Indexed REC Activities'!Z23*'Indexed REC Calculator'!X36</f>
        <v>-17297248.982211743</v>
      </c>
    </row>
    <row r="24" spans="1:24" ht="15.5" x14ac:dyDescent="0.35">
      <c r="A24" s="12" t="s">
        <v>87</v>
      </c>
      <c r="B24" s="11">
        <f t="shared" ref="B24:B43" si="2">B23+1</f>
        <v>2023</v>
      </c>
      <c r="C24" s="181">
        <f>'Indexed REC Activities'!E24*'Indexed REC Calculator'!C37</f>
        <v>0</v>
      </c>
      <c r="D24" s="181">
        <f>'Indexed REC Activities'!F24*'Indexed REC Calculator'!D37</f>
        <v>0</v>
      </c>
      <c r="E24" s="181">
        <f>'Indexed REC Activities'!G24*'Indexed REC Calculator'!E37</f>
        <v>0</v>
      </c>
      <c r="F24" s="181">
        <f>'Indexed REC Activities'!H24*'Indexed REC Calculator'!F37</f>
        <v>0</v>
      </c>
      <c r="G24" s="181">
        <f>'Indexed REC Activities'!I24*'Indexed REC Calculator'!G37</f>
        <v>53712266.605714299</v>
      </c>
      <c r="H24" s="181">
        <f>'Indexed REC Activities'!J24*'Indexed REC Calculator'!H37</f>
        <v>51189509.461257137</v>
      </c>
      <c r="I24" s="181">
        <f>'Indexed REC Activities'!K24*'Indexed REC Calculator'!I37</f>
        <v>48176411.46624054</v>
      </c>
      <c r="J24" s="181">
        <f>'Indexed REC Activities'!L24*'Indexed REC Calculator'!J37</f>
        <v>47488813.399070874</v>
      </c>
      <c r="K24" s="181">
        <f>'Indexed REC Activities'!M24*'Indexed REC Calculator'!K37</f>
        <v>40934189.885267042</v>
      </c>
      <c r="L24" s="181">
        <f>'Indexed REC Activities'!N24*'Indexed REC Calculator'!L37</f>
        <v>43239992.996678643</v>
      </c>
      <c r="M24" s="181">
        <f>'Indexed REC Activities'!O24*'Indexed REC Calculator'!M37</f>
        <v>49868850.839365654</v>
      </c>
      <c r="N24" s="181">
        <f>'Indexed REC Activities'!P24*'Indexed REC Calculator'!N37</f>
        <v>51102913.152375884</v>
      </c>
      <c r="O24" s="181">
        <f>'Indexed REC Activities'!Q24*'Indexed REC Calculator'!O37</f>
        <v>48358453.60441871</v>
      </c>
      <c r="P24" s="181">
        <f>'Indexed REC Activities'!R24*'Indexed REC Calculator'!P37</f>
        <v>42901271.120819099</v>
      </c>
      <c r="Q24" s="181">
        <f>'Indexed REC Activities'!S24*'Indexed REC Calculator'!Q37</f>
        <v>39267415.082670942</v>
      </c>
      <c r="R24" s="181">
        <f>'Indexed REC Activities'!T24*'Indexed REC Calculator'!R37</f>
        <v>36390849.382206999</v>
      </c>
      <c r="S24" s="181">
        <f>'Indexed REC Activities'!U24*'Indexed REC Calculator'!S37</f>
        <v>33413020.152451415</v>
      </c>
      <c r="T24" s="181">
        <f>'Indexed REC Activities'!V24*'Indexed REC Calculator'!T37</f>
        <v>30935341.989532609</v>
      </c>
      <c r="U24" s="181">
        <f>'Indexed REC Activities'!W24*'Indexed REC Calculator'!U37</f>
        <v>28660140.710796647</v>
      </c>
      <c r="V24" s="181">
        <f>'Indexed REC Activities'!X24*'Indexed REC Calculator'!V37</f>
        <v>25777359.277643383</v>
      </c>
      <c r="W24" s="181">
        <f>'Indexed REC Activities'!Y24*'Indexed REC Calculator'!W37</f>
        <v>23412844.985854212</v>
      </c>
      <c r="X24" s="181">
        <f>'Indexed REC Activities'!Z24*'Indexed REC Calculator'!X37</f>
        <v>-20584610.702897135</v>
      </c>
    </row>
    <row r="25" spans="1:24" ht="15.5" x14ac:dyDescent="0.35">
      <c r="A25" s="12" t="s">
        <v>87</v>
      </c>
      <c r="B25" s="11">
        <f t="shared" si="2"/>
        <v>2024</v>
      </c>
      <c r="C25" s="181">
        <f>'Indexed REC Activities'!E25*'Indexed REC Calculator'!C38</f>
        <v>0</v>
      </c>
      <c r="D25" s="181">
        <f>'Indexed REC Activities'!F25*'Indexed REC Calculator'!D38</f>
        <v>0</v>
      </c>
      <c r="E25" s="181">
        <f>'Indexed REC Activities'!G25*'Indexed REC Calculator'!E38</f>
        <v>0</v>
      </c>
      <c r="F25" s="181">
        <f>'Indexed REC Activities'!H25*'Indexed REC Calculator'!F38</f>
        <v>0</v>
      </c>
      <c r="G25" s="181">
        <f>'Indexed REC Activities'!I25*'Indexed REC Calculator'!G38</f>
        <v>0</v>
      </c>
      <c r="H25" s="181">
        <f>'Indexed REC Activities'!J25*'Indexed REC Calculator'!H38</f>
        <v>16679956.865</v>
      </c>
      <c r="I25" s="181">
        <f>'Indexed REC Activities'!K25*'Indexed REC Calculator'!I38</f>
        <v>14955216.724662483</v>
      </c>
      <c r="J25" s="181">
        <f>'Indexed REC Activities'!L25*'Indexed REC Calculator'!J38</f>
        <v>14614509.191693105</v>
      </c>
      <c r="K25" s="181">
        <f>'Indexed REC Activities'!M25*'Indexed REC Calculator'!K38</f>
        <v>10780799.800244303</v>
      </c>
      <c r="L25" s="181">
        <f>'Indexed REC Activities'!N25*'Indexed REC Calculator'!L38</f>
        <v>12221388.926272891</v>
      </c>
      <c r="M25" s="181">
        <f>'Indexed REC Activities'!O25*'Indexed REC Calculator'!M38</f>
        <v>16235166.479982272</v>
      </c>
      <c r="N25" s="181">
        <f>'Indexed REC Activities'!P25*'Indexed REC Calculator'!N38</f>
        <v>17037067.254864678</v>
      </c>
      <c r="O25" s="181">
        <f>'Indexed REC Activities'!Q25*'Indexed REC Calculator'!O38</f>
        <v>15470205.121967027</v>
      </c>
      <c r="P25" s="181">
        <f>'Indexed REC Activities'!R25*'Indexed REC Calculator'!P38</f>
        <v>12288115.854637714</v>
      </c>
      <c r="Q25" s="181">
        <f>'Indexed REC Activities'!S25*'Indexed REC Calculator'!Q38</f>
        <v>10191125.62665423</v>
      </c>
      <c r="R25" s="181">
        <f>'Indexed REC Activities'!T25*'Indexed REC Calculator'!R38</f>
        <v>8544621.4461056292</v>
      </c>
      <c r="S25" s="181">
        <f>'Indexed REC Activities'!U25*'Indexed REC Calculator'!S38</f>
        <v>6837505.1449819272</v>
      </c>
      <c r="T25" s="181">
        <f>'Indexed REC Activities'!V25*'Indexed REC Calculator'!T38</f>
        <v>5427802.3769906042</v>
      </c>
      <c r="U25" s="181">
        <f>'Indexed REC Activities'!W25*'Indexed REC Calculator'!U38</f>
        <v>4138308.4023727784</v>
      </c>
      <c r="V25" s="181">
        <f>'Indexed REC Activities'!X25*'Indexed REC Calculator'!V38</f>
        <v>2486795.3432601783</v>
      </c>
      <c r="W25" s="181">
        <f>'Indexed REC Activities'!Y25*'Indexed REC Calculator'!W38</f>
        <v>1143485.268629068</v>
      </c>
      <c r="X25" s="181">
        <f>'Indexed REC Activities'!Z25*'Indexed REC Calculator'!X38</f>
        <v>-12254083.663635498</v>
      </c>
    </row>
    <row r="26" spans="1:24" ht="15.5" x14ac:dyDescent="0.35">
      <c r="A26" s="12" t="s">
        <v>87</v>
      </c>
      <c r="B26" s="11">
        <f t="shared" si="2"/>
        <v>2025</v>
      </c>
      <c r="C26" s="181">
        <f>'Indexed REC Activities'!E26*'Indexed REC Calculator'!C39</f>
        <v>0</v>
      </c>
      <c r="D26" s="181">
        <f>'Indexed REC Activities'!F26*'Indexed REC Calculator'!D39</f>
        <v>0</v>
      </c>
      <c r="E26" s="181">
        <f>'Indexed REC Activities'!G26*'Indexed REC Calculator'!E39</f>
        <v>0</v>
      </c>
      <c r="F26" s="181">
        <f>'Indexed REC Activities'!H26*'Indexed REC Calculator'!F39</f>
        <v>0</v>
      </c>
      <c r="G26" s="181">
        <f>'Indexed REC Activities'!I26*'Indexed REC Calculator'!G39</f>
        <v>0</v>
      </c>
      <c r="H26" s="181">
        <f>'Indexed REC Activities'!J26*'Indexed REC Calculator'!H39</f>
        <v>0</v>
      </c>
      <c r="I26" s="181">
        <f>'Indexed REC Activities'!K26*'Indexed REC Calculator'!I39</f>
        <v>16909181.547619026</v>
      </c>
      <c r="J26" s="181">
        <f>'Indexed REC Activities'!L26*'Indexed REC Calculator'!J39</f>
        <v>16523959.077380931</v>
      </c>
      <c r="K26" s="181">
        <f>'Indexed REC Activities'!M26*'Indexed REC Calculator'!K39</f>
        <v>12189358.697172608</v>
      </c>
      <c r="L26" s="181">
        <f>'Indexed REC Activities'!N26*'Indexed REC Calculator'!L39</f>
        <v>13818167.126767131</v>
      </c>
      <c r="M26" s="181">
        <f>'Indexed REC Activities'!O26*'Indexed REC Calculator'!M39</f>
        <v>18356362.366392579</v>
      </c>
      <c r="N26" s="181">
        <f>'Indexed REC Activities'!P26*'Indexed REC Calculator'!N39</f>
        <v>19263035.003459897</v>
      </c>
      <c r="O26" s="181">
        <f>'Indexed REC Activities'!Q26*'Indexed REC Calculator'!O39</f>
        <v>17491455.443428218</v>
      </c>
      <c r="P26" s="181">
        <f>'Indexed REC Activities'!R26*'Indexed REC Calculator'!P39</f>
        <v>13893612.221720191</v>
      </c>
      <c r="Q26" s="181">
        <f>'Indexed REC Activities'!S26*'Indexed REC Calculator'!Q39</f>
        <v>11522641.000013875</v>
      </c>
      <c r="R26" s="181">
        <f>'Indexed REC Activities'!T26*'Indexed REC Calculator'!R39</f>
        <v>9661013.8086206745</v>
      </c>
      <c r="S26" s="181">
        <f>'Indexed REC Activities'!U26*'Indexed REC Calculator'!S39</f>
        <v>7730855.2565885913</v>
      </c>
      <c r="T26" s="181">
        <f>'Indexed REC Activities'!V26*'Indexed REC Calculator'!T39</f>
        <v>6136968.6235157894</v>
      </c>
      <c r="U26" s="181">
        <f>'Indexed REC Activities'!W26*'Indexed REC Calculator'!U39</f>
        <v>4678996.5912271198</v>
      </c>
      <c r="V26" s="181">
        <f>'Indexed REC Activities'!X26*'Indexed REC Calculator'!V39</f>
        <v>2811706.0892615677</v>
      </c>
      <c r="W26" s="181">
        <f>'Indexed REC Activities'!Y26*'Indexed REC Calculator'!W39</f>
        <v>1292886.6468642363</v>
      </c>
      <c r="X26" s="181">
        <f>'Indexed REC Activities'!Z26*'Indexed REC Calculator'!X39</f>
        <v>-13855133.575324465</v>
      </c>
    </row>
    <row r="27" spans="1:24" ht="15.5" x14ac:dyDescent="0.35">
      <c r="A27" s="12" t="s">
        <v>87</v>
      </c>
      <c r="B27" s="11">
        <f t="shared" si="2"/>
        <v>2026</v>
      </c>
      <c r="C27" s="181">
        <f>'Indexed REC Activities'!E27*'Indexed REC Calculator'!C40</f>
        <v>0</v>
      </c>
      <c r="D27" s="181">
        <f>'Indexed REC Activities'!F27*'Indexed REC Calculator'!D40</f>
        <v>0</v>
      </c>
      <c r="E27" s="181">
        <f>'Indexed REC Activities'!G27*'Indexed REC Calculator'!E40</f>
        <v>0</v>
      </c>
      <c r="F27" s="181">
        <f>'Indexed REC Activities'!H27*'Indexed REC Calculator'!F40</f>
        <v>0</v>
      </c>
      <c r="G27" s="181">
        <f>'Indexed REC Activities'!I27*'Indexed REC Calculator'!G40</f>
        <v>0</v>
      </c>
      <c r="H27" s="181">
        <f>'Indexed REC Activities'!J27*'Indexed REC Calculator'!H40</f>
        <v>0</v>
      </c>
      <c r="I27" s="181">
        <f>'Indexed REC Activities'!K27*'Indexed REC Calculator'!I40</f>
        <v>0</v>
      </c>
      <c r="J27" s="181">
        <f>'Indexed REC Activities'!L27*'Indexed REC Calculator'!J40</f>
        <v>16606994.047619026</v>
      </c>
      <c r="K27" s="181">
        <f>'Indexed REC Activities'!M27*'Indexed REC Calculator'!K40</f>
        <v>12250611.755952369</v>
      </c>
      <c r="L27" s="181">
        <f>'Indexed REC Activities'!N27*'Indexed REC Calculator'!L40</f>
        <v>13887605.15252978</v>
      </c>
      <c r="M27" s="181">
        <f>'Indexed REC Activities'!O27*'Indexed REC Calculator'!M40</f>
        <v>18448605.393359374</v>
      </c>
      <c r="N27" s="181">
        <f>'Indexed REC Activities'!P27*'Indexed REC Calculator'!N40</f>
        <v>19359834.174331553</v>
      </c>
      <c r="O27" s="181">
        <f>'Indexed REC Activities'!Q27*'Indexed REC Calculator'!O40</f>
        <v>17579352.204450469</v>
      </c>
      <c r="P27" s="181">
        <f>'Indexed REC Activities'!R27*'Indexed REC Calculator'!P40</f>
        <v>13963429.368563008</v>
      </c>
      <c r="Q27" s="181">
        <f>'Indexed REC Activities'!S27*'Indexed REC Calculator'!Q40</f>
        <v>11580543.71860691</v>
      </c>
      <c r="R27" s="181">
        <f>'Indexed REC Activities'!T27*'Indexed REC Calculator'!R40</f>
        <v>9709561.6167041957</v>
      </c>
      <c r="S27" s="181">
        <f>'Indexed REC Activities'!U27*'Indexed REC Calculator'!S40</f>
        <v>7769703.7754659206</v>
      </c>
      <c r="T27" s="181">
        <f>'Indexed REC Activities'!V27*'Indexed REC Calculator'!T40</f>
        <v>6167807.6618249146</v>
      </c>
      <c r="U27" s="181">
        <f>'Indexed REC Activities'!W27*'Indexed REC Calculator'!U40</f>
        <v>4702509.1369116781</v>
      </c>
      <c r="V27" s="181">
        <f>'Indexed REC Activities'!X27*'Indexed REC Calculator'!V40</f>
        <v>2825835.2655895152</v>
      </c>
      <c r="W27" s="181">
        <f>'Indexed REC Activities'!Y27*'Indexed REC Calculator'!W40</f>
        <v>1299383.5646876749</v>
      </c>
      <c r="X27" s="181">
        <f>'Indexed REC Activities'!Z27*'Indexed REC Calculator'!X40</f>
        <v>-13924757.36213514</v>
      </c>
    </row>
    <row r="28" spans="1:24" ht="15.5" x14ac:dyDescent="0.35">
      <c r="A28" s="12" t="s">
        <v>87</v>
      </c>
      <c r="B28" s="11">
        <f t="shared" si="2"/>
        <v>2027</v>
      </c>
      <c r="C28" s="181">
        <f>'Indexed REC Activities'!E28*'Indexed REC Calculator'!C41</f>
        <v>0</v>
      </c>
      <c r="D28" s="181">
        <f>'Indexed REC Activities'!F28*'Indexed REC Calculator'!D41</f>
        <v>0</v>
      </c>
      <c r="E28" s="181">
        <f>'Indexed REC Activities'!G28*'Indexed REC Calculator'!E41</f>
        <v>0</v>
      </c>
      <c r="F28" s="181">
        <f>'Indexed REC Activities'!H28*'Indexed REC Calculator'!F41</f>
        <v>0</v>
      </c>
      <c r="G28" s="181">
        <f>'Indexed REC Activities'!I28*'Indexed REC Calculator'!G41</f>
        <v>0</v>
      </c>
      <c r="H28" s="181">
        <f>'Indexed REC Activities'!J28*'Indexed REC Calculator'!H41</f>
        <v>0</v>
      </c>
      <c r="I28" s="181">
        <f>'Indexed REC Activities'!K28*'Indexed REC Calculator'!I41</f>
        <v>0</v>
      </c>
      <c r="J28" s="181">
        <f>'Indexed REC Activities'!L28*'Indexed REC Calculator'!J41</f>
        <v>0</v>
      </c>
      <c r="K28" s="181">
        <f>'Indexed REC Activities'!M28*'Indexed REC Calculator'!K41</f>
        <v>12312172.619047608</v>
      </c>
      <c r="L28" s="181">
        <f>'Indexed REC Activities'!N28*'Indexed REC Calculator'!L41</f>
        <v>13957392.113095257</v>
      </c>
      <c r="M28" s="181">
        <f>'Indexed REC Activities'!O28*'Indexed REC Calculator'!M41</f>
        <v>18541311.953125</v>
      </c>
      <c r="N28" s="181">
        <f>'Indexed REC Activities'!P28*'Indexed REC Calculator'!N41</f>
        <v>19457119.773197539</v>
      </c>
      <c r="O28" s="181">
        <f>'Indexed REC Activities'!Q28*'Indexed REC Calculator'!O41</f>
        <v>17667690.657739162</v>
      </c>
      <c r="P28" s="181">
        <f>'Indexed REC Activities'!R28*'Indexed REC Calculator'!P41</f>
        <v>14033597.355339706</v>
      </c>
      <c r="Q28" s="181">
        <f>'Indexed REC Activities'!S28*'Indexed REC Calculator'!Q41</f>
        <v>11638737.405635085</v>
      </c>
      <c r="R28" s="181">
        <f>'Indexed REC Activities'!T28*'Indexed REC Calculator'!R41</f>
        <v>9758353.3836223073</v>
      </c>
      <c r="S28" s="181">
        <f>'Indexed REC Activities'!U28*'Indexed REC Calculator'!S41</f>
        <v>7808747.5130310766</v>
      </c>
      <c r="T28" s="181">
        <f>'Indexed REC Activities'!V28*'Indexed REC Calculator'!T41</f>
        <v>6198801.6701757936</v>
      </c>
      <c r="U28" s="181">
        <f>'Indexed REC Activities'!W28*'Indexed REC Calculator'!U41</f>
        <v>4726139.8360921396</v>
      </c>
      <c r="V28" s="181">
        <f>'Indexed REC Activities'!X28*'Indexed REC Calculator'!V41</f>
        <v>2840035.4428035328</v>
      </c>
      <c r="W28" s="181">
        <f>'Indexed REC Activities'!Y28*'Indexed REC Calculator'!W41</f>
        <v>1305913.1303393717</v>
      </c>
      <c r="X28" s="181">
        <f>'Indexed REC Activities'!Z28*'Indexed REC Calculator'!X41</f>
        <v>-13994731.017221248</v>
      </c>
    </row>
    <row r="29" spans="1:24" ht="15.5" x14ac:dyDescent="0.35">
      <c r="A29" s="12" t="s">
        <v>87</v>
      </c>
      <c r="B29" s="11">
        <f t="shared" si="2"/>
        <v>2028</v>
      </c>
      <c r="C29" s="181">
        <f>'Indexed REC Activities'!E29*'Indexed REC Calculator'!C42</f>
        <v>0</v>
      </c>
      <c r="D29" s="181">
        <f>'Indexed REC Activities'!F29*'Indexed REC Calculator'!D42</f>
        <v>0</v>
      </c>
      <c r="E29" s="181">
        <f>'Indexed REC Activities'!G29*'Indexed REC Calculator'!E42</f>
        <v>0</v>
      </c>
      <c r="F29" s="181">
        <f>'Indexed REC Activities'!H29*'Indexed REC Calculator'!F42</f>
        <v>0</v>
      </c>
      <c r="G29" s="181">
        <f>'Indexed REC Activities'!I29*'Indexed REC Calculator'!G42</f>
        <v>0</v>
      </c>
      <c r="H29" s="181">
        <f>'Indexed REC Activities'!J29*'Indexed REC Calculator'!H42</f>
        <v>0</v>
      </c>
      <c r="I29" s="181">
        <f>'Indexed REC Activities'!K29*'Indexed REC Calculator'!I42</f>
        <v>0</v>
      </c>
      <c r="J29" s="181">
        <f>'Indexed REC Activities'!L29*'Indexed REC Calculator'!J42</f>
        <v>0</v>
      </c>
      <c r="K29" s="181">
        <f>'Indexed REC Activities'!M29*'Indexed REC Calculator'!K42</f>
        <v>0</v>
      </c>
      <c r="L29" s="181">
        <f>'Indexed REC Activities'!N29*'Indexed REC Calculator'!L42</f>
        <v>9351686.5079365205</v>
      </c>
      <c r="M29" s="181">
        <f>'Indexed REC Activities'!O29*'Indexed REC Calculator'!M42</f>
        <v>12422989.583333332</v>
      </c>
      <c r="N29" s="181">
        <f>'Indexed REC Activities'!P29*'Indexed REC Calculator'!N42</f>
        <v>13036596.162946425</v>
      </c>
      <c r="O29" s="181">
        <f>'Indexed REC Activities'!Q29*'Indexed REC Calculator'!O42</f>
        <v>11837648.681902288</v>
      </c>
      <c r="P29" s="181">
        <f>'Indexed REC Activities'!R29*'Indexed REC Calculator'!P42</f>
        <v>9402745.2967100199</v>
      </c>
      <c r="Q29" s="181">
        <f>'Indexed REC Activities'!S29*'Indexed REC Calculator'!Q42</f>
        <v>7798149.0155008938</v>
      </c>
      <c r="R29" s="181">
        <f>'Indexed REC Activities'!T29*'Indexed REC Calculator'!R42</f>
        <v>6538260.2235325342</v>
      </c>
      <c r="S29" s="181">
        <f>'Indexed REC Activities'!U29*'Indexed REC Calculator'!S42</f>
        <v>5231991.6335216593</v>
      </c>
      <c r="T29" s="181">
        <f>'Indexed REC Activities'!V29*'Indexed REC Calculator'!T42</f>
        <v>4153300.95154157</v>
      </c>
      <c r="U29" s="181">
        <f>'Indexed REC Activities'!W29*'Indexed REC Calculator'!U42</f>
        <v>3166592.8550031083</v>
      </c>
      <c r="V29" s="181">
        <f>'Indexed REC Activities'!X29*'Indexed REC Calculator'!V42</f>
        <v>1902871.3184613283</v>
      </c>
      <c r="W29" s="181">
        <f>'Indexed REC Activities'!Y29*'Indexed REC Calculator'!W42</f>
        <v>874983.67191917682</v>
      </c>
      <c r="X29" s="181">
        <f>'Indexed REC Activities'!Z29*'Indexed REC Calculator'!X42</f>
        <v>-9376704.1991432123</v>
      </c>
    </row>
    <row r="30" spans="1:24" ht="15.5" x14ac:dyDescent="0.35">
      <c r="A30" s="12" t="s">
        <v>87</v>
      </c>
      <c r="B30" s="11">
        <f t="shared" si="2"/>
        <v>2029</v>
      </c>
      <c r="C30" s="181">
        <f>'Indexed REC Activities'!E30*'Indexed REC Calculator'!C43</f>
        <v>0</v>
      </c>
      <c r="D30" s="181">
        <f>'Indexed REC Activities'!F30*'Indexed REC Calculator'!D43</f>
        <v>0</v>
      </c>
      <c r="E30" s="181">
        <f>'Indexed REC Activities'!G30*'Indexed REC Calculator'!E43</f>
        <v>0</v>
      </c>
      <c r="F30" s="181">
        <f>'Indexed REC Activities'!H30*'Indexed REC Calculator'!F43</f>
        <v>0</v>
      </c>
      <c r="G30" s="181">
        <f>'Indexed REC Activities'!I30*'Indexed REC Calculator'!G43</f>
        <v>0</v>
      </c>
      <c r="H30" s="181">
        <f>'Indexed REC Activities'!J30*'Indexed REC Calculator'!H43</f>
        <v>0</v>
      </c>
      <c r="I30" s="181">
        <f>'Indexed REC Activities'!K30*'Indexed REC Calculator'!I43</f>
        <v>0</v>
      </c>
      <c r="J30" s="181">
        <f>'Indexed REC Activities'!L30*'Indexed REC Calculator'!J43</f>
        <v>0</v>
      </c>
      <c r="K30" s="181">
        <f>'Indexed REC Activities'!M30*'Indexed REC Calculator'!K43</f>
        <v>0</v>
      </c>
      <c r="L30" s="181">
        <f>'Indexed REC Activities'!N30*'Indexed REC Calculator'!L43</f>
        <v>0</v>
      </c>
      <c r="M30" s="181">
        <f>'Indexed REC Activities'!O30*'Indexed REC Calculator'!M43</f>
        <v>12485416.666666666</v>
      </c>
      <c r="N30" s="181">
        <f>'Indexed REC Activities'!P30*'Indexed REC Calculator'!N43</f>
        <v>13102106.696428569</v>
      </c>
      <c r="O30" s="181">
        <f>'Indexed REC Activities'!Q30*'Indexed REC Calculator'!O43</f>
        <v>11897134.35367064</v>
      </c>
      <c r="P30" s="181">
        <f>'Indexed REC Activities'!R30*'Indexed REC Calculator'!P43</f>
        <v>9449995.2730753962</v>
      </c>
      <c r="Q30" s="181">
        <f>'Indexed REC Activities'!S30*'Indexed REC Calculator'!Q43</f>
        <v>7837335.6939707473</v>
      </c>
      <c r="R30" s="181">
        <f>'Indexed REC Activities'!T30*'Indexed REC Calculator'!R43</f>
        <v>6571115.8025452597</v>
      </c>
      <c r="S30" s="181">
        <f>'Indexed REC Activities'!U30*'Indexed REC Calculator'!S43</f>
        <v>5258283.0487654861</v>
      </c>
      <c r="T30" s="181">
        <f>'Indexed REC Activities'!V30*'Indexed REC Calculator'!T43</f>
        <v>4174171.8105945424</v>
      </c>
      <c r="U30" s="181">
        <f>'Indexed REC Activities'!W30*'Indexed REC Calculator'!U43</f>
        <v>3182505.3819126715</v>
      </c>
      <c r="V30" s="181">
        <f>'Indexed REC Activities'!X30*'Indexed REC Calculator'!V43</f>
        <v>1912433.4858907822</v>
      </c>
      <c r="W30" s="181">
        <f>'Indexed REC Activities'!Y30*'Indexed REC Calculator'!W43</f>
        <v>879380.57479314262</v>
      </c>
      <c r="X30" s="181">
        <f>'Indexed REC Activities'!Z30*'Indexed REC Calculator'!X43</f>
        <v>-9423823.315721821</v>
      </c>
    </row>
    <row r="31" spans="1:24" ht="15.5" x14ac:dyDescent="0.35">
      <c r="A31" s="12" t="s">
        <v>87</v>
      </c>
      <c r="B31" s="11">
        <f t="shared" si="2"/>
        <v>2030</v>
      </c>
      <c r="C31" s="181">
        <f>'Indexed REC Activities'!E31*'Indexed REC Calculator'!C44</f>
        <v>0</v>
      </c>
      <c r="D31" s="181">
        <f>'Indexed REC Activities'!F31*'Indexed REC Calculator'!D44</f>
        <v>0</v>
      </c>
      <c r="E31" s="181">
        <f>'Indexed REC Activities'!G31*'Indexed REC Calculator'!E44</f>
        <v>0</v>
      </c>
      <c r="F31" s="181">
        <f>'Indexed REC Activities'!H31*'Indexed REC Calculator'!F44</f>
        <v>0</v>
      </c>
      <c r="G31" s="181">
        <f>'Indexed REC Activities'!I31*'Indexed REC Calculator'!G44</f>
        <v>0</v>
      </c>
      <c r="H31" s="181">
        <f>'Indexed REC Activities'!J31*'Indexed REC Calculator'!H44</f>
        <v>0</v>
      </c>
      <c r="I31" s="181">
        <f>'Indexed REC Activities'!K31*'Indexed REC Calculator'!I44</f>
        <v>0</v>
      </c>
      <c r="J31" s="181">
        <f>'Indexed REC Activities'!L31*'Indexed REC Calculator'!J44</f>
        <v>0</v>
      </c>
      <c r="K31" s="181">
        <f>'Indexed REC Activities'!M31*'Indexed REC Calculator'!K44</f>
        <v>0</v>
      </c>
      <c r="L31" s="181">
        <f>'Indexed REC Activities'!N31*'Indexed REC Calculator'!L44</f>
        <v>0</v>
      </c>
      <c r="M31" s="181">
        <f>'Indexed REC Activities'!O31*'Indexed REC Calculator'!M44</f>
        <v>0</v>
      </c>
      <c r="N31" s="181">
        <f>'Indexed REC Activities'!P31*'Indexed REC Calculator'!N44</f>
        <v>9875959.821428569</v>
      </c>
      <c r="O31" s="181">
        <f>'Indexed REC Activities'!Q31*'Indexed REC Calculator'!O44</f>
        <v>8967689.211309528</v>
      </c>
      <c r="P31" s="181">
        <f>'Indexed REC Activities'!R31*'Indexed REC Calculator'!P44</f>
        <v>7123112.0148809524</v>
      </c>
      <c r="Q31" s="181">
        <f>'Indexed REC Activities'!S31*'Indexed REC Calculator'!Q44</f>
        <v>5907539.4678171463</v>
      </c>
      <c r="R31" s="181">
        <f>'Indexed REC Activities'!T31*'Indexed REC Calculator'!R44</f>
        <v>4953102.3637275835</v>
      </c>
      <c r="S31" s="181">
        <f>'Indexed REC Activities'!U31*'Indexed REC Calculator'!S44</f>
        <v>3963529.9362553917</v>
      </c>
      <c r="T31" s="181">
        <f>'Indexed REC Activities'!V31*'Indexed REC Calculator'!T44</f>
        <v>3146360.661252168</v>
      </c>
      <c r="U31" s="181">
        <f>'Indexed REC Activities'!W31*'Indexed REC Calculator'!U44</f>
        <v>2398873.4034517626</v>
      </c>
      <c r="V31" s="181">
        <f>'Indexed REC Activities'!X31*'Indexed REC Calculator'!V44</f>
        <v>1441532.7783096349</v>
      </c>
      <c r="W31" s="181">
        <f>'Indexed REC Activities'!Y31*'Indexed REC Calculator'!W44</f>
        <v>662849.67949231865</v>
      </c>
      <c r="X31" s="181">
        <f>'Indexed REC Activities'!Z31*'Indexed REC Calculator'!X44</f>
        <v>-7103384.4088355443</v>
      </c>
    </row>
    <row r="32" spans="1:24" ht="15.5" x14ac:dyDescent="0.35">
      <c r="A32" s="12" t="s">
        <v>87</v>
      </c>
      <c r="B32" s="11">
        <f t="shared" si="2"/>
        <v>2031</v>
      </c>
      <c r="C32" s="181">
        <f>'Indexed REC Activities'!E32*'Indexed REC Calculator'!C45</f>
        <v>0</v>
      </c>
      <c r="D32" s="181">
        <f>'Indexed REC Activities'!F32*'Indexed REC Calculator'!D45</f>
        <v>0</v>
      </c>
      <c r="E32" s="181">
        <f>'Indexed REC Activities'!G32*'Indexed REC Calculator'!E45</f>
        <v>0</v>
      </c>
      <c r="F32" s="181">
        <f>'Indexed REC Activities'!H32*'Indexed REC Calculator'!F45</f>
        <v>0</v>
      </c>
      <c r="G32" s="181">
        <f>'Indexed REC Activities'!I32*'Indexed REC Calculator'!G45</f>
        <v>0</v>
      </c>
      <c r="H32" s="181">
        <f>'Indexed REC Activities'!J32*'Indexed REC Calculator'!H45</f>
        <v>0</v>
      </c>
      <c r="I32" s="181">
        <f>'Indexed REC Activities'!K32*'Indexed REC Calculator'!I45</f>
        <v>0</v>
      </c>
      <c r="J32" s="181">
        <f>'Indexed REC Activities'!L32*'Indexed REC Calculator'!J45</f>
        <v>0</v>
      </c>
      <c r="K32" s="181">
        <f>'Indexed REC Activities'!M32*'Indexed REC Calculator'!K45</f>
        <v>0</v>
      </c>
      <c r="L32" s="181">
        <f>'Indexed REC Activities'!N32*'Indexed REC Calculator'!L45</f>
        <v>0</v>
      </c>
      <c r="M32" s="181">
        <f>'Indexed REC Activities'!O32*'Indexed REC Calculator'!M45</f>
        <v>0</v>
      </c>
      <c r="N32" s="181">
        <f>'Indexed REC Activities'!P32*'Indexed REC Calculator'!N45</f>
        <v>0</v>
      </c>
      <c r="O32" s="181">
        <f>'Indexed REC Activities'!Q32*'Indexed REC Calculator'!O45</f>
        <v>9012752.9761904795</v>
      </c>
      <c r="P32" s="181">
        <f>'Indexed REC Activities'!R32*'Indexed REC Calculator'!P45</f>
        <v>7158906.5476190476</v>
      </c>
      <c r="Q32" s="181">
        <f>'Indexed REC Activities'!S32*'Indexed REC Calculator'!Q45</f>
        <v>5937225.5957961269</v>
      </c>
      <c r="R32" s="181">
        <f>'Indexed REC Activities'!T32*'Indexed REC Calculator'!R45</f>
        <v>4977992.3253543545</v>
      </c>
      <c r="S32" s="181">
        <f>'Indexed REC Activities'!U32*'Indexed REC Calculator'!S45</f>
        <v>3983447.1721159713</v>
      </c>
      <c r="T32" s="181">
        <f>'Indexed REC Activities'!V32*'Indexed REC Calculator'!T45</f>
        <v>3162171.5188463996</v>
      </c>
      <c r="U32" s="181">
        <f>'Indexed REC Activities'!W32*'Indexed REC Calculator'!U45</f>
        <v>2410928.0436701132</v>
      </c>
      <c r="V32" s="181">
        <f>'Indexed REC Activities'!X32*'Indexed REC Calculator'!V45</f>
        <v>1448776.6616177235</v>
      </c>
      <c r="W32" s="181">
        <f>'Indexed REC Activities'!Y32*'Indexed REC Calculator'!W45</f>
        <v>666180.58240434027</v>
      </c>
      <c r="X32" s="181">
        <f>'Indexed REC Activities'!Z32*'Indexed REC Calculator'!X45</f>
        <v>-7139079.8078749189</v>
      </c>
    </row>
    <row r="33" spans="1:24" ht="15.5" x14ac:dyDescent="0.35">
      <c r="A33" s="12" t="s">
        <v>87</v>
      </c>
      <c r="B33" s="11">
        <f t="shared" si="2"/>
        <v>2032</v>
      </c>
      <c r="C33" s="181">
        <f>'Indexed REC Activities'!E33*'Indexed REC Calculator'!C46</f>
        <v>0</v>
      </c>
      <c r="D33" s="181">
        <f>'Indexed REC Activities'!F33*'Indexed REC Calculator'!D46</f>
        <v>0</v>
      </c>
      <c r="E33" s="181">
        <f>'Indexed REC Activities'!G33*'Indexed REC Calculator'!E46</f>
        <v>0</v>
      </c>
      <c r="F33" s="181">
        <f>'Indexed REC Activities'!H33*'Indexed REC Calculator'!F46</f>
        <v>0</v>
      </c>
      <c r="G33" s="181">
        <f>'Indexed REC Activities'!I33*'Indexed REC Calculator'!G46</f>
        <v>0</v>
      </c>
      <c r="H33" s="181">
        <f>'Indexed REC Activities'!J33*'Indexed REC Calculator'!H46</f>
        <v>0</v>
      </c>
      <c r="I33" s="181">
        <f>'Indexed REC Activities'!K33*'Indexed REC Calculator'!I46</f>
        <v>0</v>
      </c>
      <c r="J33" s="181">
        <f>'Indexed REC Activities'!L33*'Indexed REC Calculator'!J46</f>
        <v>0</v>
      </c>
      <c r="K33" s="181">
        <f>'Indexed REC Activities'!M33*'Indexed REC Calculator'!K46</f>
        <v>0</v>
      </c>
      <c r="L33" s="181">
        <f>'Indexed REC Activities'!N33*'Indexed REC Calculator'!L46</f>
        <v>0</v>
      </c>
      <c r="M33" s="181">
        <f>'Indexed REC Activities'!O33*'Indexed REC Calculator'!M46</f>
        <v>0</v>
      </c>
      <c r="N33" s="181">
        <f>'Indexed REC Activities'!P33*'Indexed REC Calculator'!N46</f>
        <v>0</v>
      </c>
      <c r="O33" s="181">
        <f>'Indexed REC Activities'!Q33*'Indexed REC Calculator'!O46</f>
        <v>0</v>
      </c>
      <c r="P33" s="181">
        <f>'Indexed REC Activities'!R33*'Indexed REC Calculator'!P46</f>
        <v>7194880.9523809524</v>
      </c>
      <c r="Q33" s="181">
        <f>'Indexed REC Activities'!S33*'Indexed REC Calculator'!Q46</f>
        <v>5967060.9002976147</v>
      </c>
      <c r="R33" s="181">
        <f>'Indexed REC Activities'!T33*'Indexed REC Calculator'!R46</f>
        <v>5003007.362165181</v>
      </c>
      <c r="S33" s="181">
        <f>'Indexed REC Activities'!U33*'Indexed REC Calculator'!S46</f>
        <v>4003464.4945889162</v>
      </c>
      <c r="T33" s="181">
        <f>'Indexed REC Activities'!V33*'Indexed REC Calculator'!T46</f>
        <v>3178061.8279863312</v>
      </c>
      <c r="U33" s="181">
        <f>'Indexed REC Activities'!W33*'Indexed REC Calculator'!U46</f>
        <v>2423043.2599699628</v>
      </c>
      <c r="V33" s="181">
        <f>'Indexed REC Activities'!X33*'Indexed REC Calculator'!V46</f>
        <v>1456056.9463494709</v>
      </c>
      <c r="W33" s="181">
        <f>'Indexed REC Activities'!Y33*'Indexed REC Calculator'!W46</f>
        <v>669528.22352195007</v>
      </c>
      <c r="X33" s="181">
        <f>'Indexed REC Activities'!Z33*'Indexed REC Calculator'!X46</f>
        <v>-7174954.580778813</v>
      </c>
    </row>
    <row r="34" spans="1:24" ht="15.5" x14ac:dyDescent="0.35">
      <c r="A34" s="12" t="s">
        <v>87</v>
      </c>
      <c r="B34" s="11">
        <f t="shared" si="2"/>
        <v>2033</v>
      </c>
      <c r="C34" s="181">
        <f>'Indexed REC Activities'!E34*'Indexed REC Calculator'!C47</f>
        <v>0</v>
      </c>
      <c r="D34" s="181">
        <f>'Indexed REC Activities'!F34*'Indexed REC Calculator'!D47</f>
        <v>0</v>
      </c>
      <c r="E34" s="181">
        <f>'Indexed REC Activities'!G34*'Indexed REC Calculator'!E47</f>
        <v>0</v>
      </c>
      <c r="F34" s="181">
        <f>'Indexed REC Activities'!H34*'Indexed REC Calculator'!F47</f>
        <v>0</v>
      </c>
      <c r="G34" s="181">
        <f>'Indexed REC Activities'!I34*'Indexed REC Calculator'!G47</f>
        <v>0</v>
      </c>
      <c r="H34" s="181">
        <f>'Indexed REC Activities'!J34*'Indexed REC Calculator'!H47</f>
        <v>0</v>
      </c>
      <c r="I34" s="181">
        <f>'Indexed REC Activities'!K34*'Indexed REC Calculator'!I47</f>
        <v>0</v>
      </c>
      <c r="J34" s="181">
        <f>'Indexed REC Activities'!L34*'Indexed REC Calculator'!J47</f>
        <v>0</v>
      </c>
      <c r="K34" s="181">
        <f>'Indexed REC Activities'!M34*'Indexed REC Calculator'!K47</f>
        <v>0</v>
      </c>
      <c r="L34" s="181">
        <f>'Indexed REC Activities'!N34*'Indexed REC Calculator'!L47</f>
        <v>0</v>
      </c>
      <c r="M34" s="181">
        <f>'Indexed REC Activities'!O34*'Indexed REC Calculator'!M47</f>
        <v>0</v>
      </c>
      <c r="N34" s="181">
        <f>'Indexed REC Activities'!P34*'Indexed REC Calculator'!N47</f>
        <v>0</v>
      </c>
      <c r="O34" s="181">
        <f>'Indexed REC Activities'!Q34*'Indexed REC Calculator'!O47</f>
        <v>0</v>
      </c>
      <c r="P34" s="181">
        <f>'Indexed REC Activities'!R34*'Indexed REC Calculator'!P47</f>
        <v>0</v>
      </c>
      <c r="Q34" s="181">
        <f>'Indexed REC Activities'!S34*'Indexed REC Calculator'!Q47</f>
        <v>5997046.1309523769</v>
      </c>
      <c r="R34" s="181">
        <f>'Indexed REC Activities'!T34*'Indexed REC Calculator'!R47</f>
        <v>5028148.1026785737</v>
      </c>
      <c r="S34" s="181">
        <f>'Indexed REC Activities'!U34*'Indexed REC Calculator'!S47</f>
        <v>4023582.4066220261</v>
      </c>
      <c r="T34" s="181">
        <f>'Indexed REC Activities'!V34*'Indexed REC Calculator'!T47</f>
        <v>3194031.9879259611</v>
      </c>
      <c r="U34" s="181">
        <f>'Indexed REC Activities'!W34*'Indexed REC Calculator'!U47</f>
        <v>2435219.3567537316</v>
      </c>
      <c r="V34" s="181">
        <f>'Indexed REC Activities'!X34*'Indexed REC Calculator'!V47</f>
        <v>1463373.8154266039</v>
      </c>
      <c r="W34" s="181">
        <f>'Indexed REC Activities'!Y34*'Indexed REC Calculator'!W47</f>
        <v>672892.6869567337</v>
      </c>
      <c r="X34" s="181">
        <f>'Indexed REC Activities'!Z34*'Indexed REC Calculator'!X47</f>
        <v>-7211009.6289234301</v>
      </c>
    </row>
    <row r="35" spans="1:24" ht="15.5" x14ac:dyDescent="0.35">
      <c r="A35" s="12" t="s">
        <v>87</v>
      </c>
      <c r="B35" s="11">
        <f t="shared" si="2"/>
        <v>2034</v>
      </c>
      <c r="C35" s="181">
        <f>'Indexed REC Activities'!E35*'Indexed REC Calculator'!C48</f>
        <v>0</v>
      </c>
      <c r="D35" s="181">
        <f>'Indexed REC Activities'!F35*'Indexed REC Calculator'!D48</f>
        <v>0</v>
      </c>
      <c r="E35" s="181">
        <f>'Indexed REC Activities'!G35*'Indexed REC Calculator'!E48</f>
        <v>0</v>
      </c>
      <c r="F35" s="181">
        <f>'Indexed REC Activities'!H35*'Indexed REC Calculator'!F48</f>
        <v>0</v>
      </c>
      <c r="G35" s="181">
        <f>'Indexed REC Activities'!I35*'Indexed REC Calculator'!G48</f>
        <v>0</v>
      </c>
      <c r="H35" s="181">
        <f>'Indexed REC Activities'!J35*'Indexed REC Calculator'!H48</f>
        <v>0</v>
      </c>
      <c r="I35" s="181">
        <f>'Indexed REC Activities'!K35*'Indexed REC Calculator'!I48</f>
        <v>0</v>
      </c>
      <c r="J35" s="181">
        <f>'Indexed REC Activities'!L35*'Indexed REC Calculator'!J48</f>
        <v>0</v>
      </c>
      <c r="K35" s="181">
        <f>'Indexed REC Activities'!M35*'Indexed REC Calculator'!K48</f>
        <v>0</v>
      </c>
      <c r="L35" s="181">
        <f>'Indexed REC Activities'!N35*'Indexed REC Calculator'!L48</f>
        <v>0</v>
      </c>
      <c r="M35" s="181">
        <f>'Indexed REC Activities'!O35*'Indexed REC Calculator'!M48</f>
        <v>0</v>
      </c>
      <c r="N35" s="181">
        <f>'Indexed REC Activities'!P35*'Indexed REC Calculator'!N48</f>
        <v>0</v>
      </c>
      <c r="O35" s="181">
        <f>'Indexed REC Activities'!Q35*'Indexed REC Calculator'!O48</f>
        <v>0</v>
      </c>
      <c r="P35" s="181">
        <f>'Indexed REC Activities'!R35*'Indexed REC Calculator'!P48</f>
        <v>0</v>
      </c>
      <c r="Q35" s="181">
        <f>'Indexed REC Activities'!S35*'Indexed REC Calculator'!Q48</f>
        <v>0</v>
      </c>
      <c r="R35" s="181">
        <f>'Indexed REC Activities'!T35*'Indexed REC Calculator'!R48</f>
        <v>5053415.178571431</v>
      </c>
      <c r="S35" s="181">
        <f>'Indexed REC Activities'!U35*'Indexed REC Calculator'!S48</f>
        <v>4043801.4136904785</v>
      </c>
      <c r="T35" s="181">
        <f>'Indexed REC Activities'!V35*'Indexed REC Calculator'!T48</f>
        <v>3210082.3999255891</v>
      </c>
      <c r="U35" s="181">
        <f>'Indexed REC Activities'!W35*'Indexed REC Calculator'!U48</f>
        <v>2447456.6399534987</v>
      </c>
      <c r="V35" s="181">
        <f>'Indexed REC Activities'!X35*'Indexed REC Calculator'!V48</f>
        <v>1470727.4526900542</v>
      </c>
      <c r="W35" s="181">
        <f>'Indexed REC Activities'!Y35*'Indexed REC Calculator'!W48</f>
        <v>676274.05724294845</v>
      </c>
      <c r="X35" s="181">
        <f>'Indexed REC Activities'!Z35*'Indexed REC Calculator'!X48</f>
        <v>-7247245.8582145032</v>
      </c>
    </row>
    <row r="36" spans="1:24" ht="15.5" x14ac:dyDescent="0.35">
      <c r="A36" s="12" t="s">
        <v>87</v>
      </c>
      <c r="B36" s="11">
        <f t="shared" si="2"/>
        <v>2035</v>
      </c>
      <c r="C36" s="181">
        <f>'Indexed REC Activities'!E36*'Indexed REC Calculator'!C49</f>
        <v>0</v>
      </c>
      <c r="D36" s="181">
        <f>'Indexed REC Activities'!F36*'Indexed REC Calculator'!D49</f>
        <v>0</v>
      </c>
      <c r="E36" s="181">
        <f>'Indexed REC Activities'!G36*'Indexed REC Calculator'!E49</f>
        <v>0</v>
      </c>
      <c r="F36" s="181">
        <f>'Indexed REC Activities'!H36*'Indexed REC Calculator'!F49</f>
        <v>0</v>
      </c>
      <c r="G36" s="181">
        <f>'Indexed REC Activities'!I36*'Indexed REC Calculator'!G49</f>
        <v>0</v>
      </c>
      <c r="H36" s="181">
        <f>'Indexed REC Activities'!J36*'Indexed REC Calculator'!H49</f>
        <v>0</v>
      </c>
      <c r="I36" s="181">
        <f>'Indexed REC Activities'!K36*'Indexed REC Calculator'!I49</f>
        <v>0</v>
      </c>
      <c r="J36" s="181">
        <f>'Indexed REC Activities'!L36*'Indexed REC Calculator'!J49</f>
        <v>0</v>
      </c>
      <c r="K36" s="181">
        <f>'Indexed REC Activities'!M36*'Indexed REC Calculator'!K49</f>
        <v>0</v>
      </c>
      <c r="L36" s="181">
        <f>'Indexed REC Activities'!N36*'Indexed REC Calculator'!L49</f>
        <v>0</v>
      </c>
      <c r="M36" s="181">
        <f>'Indexed REC Activities'!O36*'Indexed REC Calculator'!M49</f>
        <v>0</v>
      </c>
      <c r="N36" s="181">
        <f>'Indexed REC Activities'!P36*'Indexed REC Calculator'!N49</f>
        <v>0</v>
      </c>
      <c r="O36" s="181">
        <f>'Indexed REC Activities'!Q36*'Indexed REC Calculator'!O49</f>
        <v>0</v>
      </c>
      <c r="P36" s="181">
        <f>'Indexed REC Activities'!R36*'Indexed REC Calculator'!P49</f>
        <v>0</v>
      </c>
      <c r="Q36" s="181">
        <f>'Indexed REC Activities'!S36*'Indexed REC Calculator'!Q49</f>
        <v>0</v>
      </c>
      <c r="R36" s="181">
        <f>'Indexed REC Activities'!T36*'Indexed REC Calculator'!R49</f>
        <v>0</v>
      </c>
      <c r="S36" s="181">
        <f>'Indexed REC Activities'!U36*'Indexed REC Calculator'!S49</f>
        <v>4064122.0238095261</v>
      </c>
      <c r="T36" s="181">
        <f>'Indexed REC Activities'!V36*'Indexed REC Calculator'!T49</f>
        <v>3226213.4672618983</v>
      </c>
      <c r="U36" s="181">
        <f>'Indexed REC Activities'!W36*'Indexed REC Calculator'!U49</f>
        <v>2459755.4170386922</v>
      </c>
      <c r="V36" s="181">
        <f>'Indexed REC Activities'!X36*'Indexed REC Calculator'!V49</f>
        <v>1478118.042904577</v>
      </c>
      <c r="W36" s="181">
        <f>'Indexed REC Activities'!Y36*'Indexed REC Calculator'!W49</f>
        <v>679672.4193396467</v>
      </c>
      <c r="X36" s="181">
        <f>'Indexed REC Activities'!Z36*'Indexed REC Calculator'!X49</f>
        <v>-7283664.179110053</v>
      </c>
    </row>
    <row r="37" spans="1:24" ht="15.5" x14ac:dyDescent="0.35">
      <c r="A37" s="12" t="s">
        <v>87</v>
      </c>
      <c r="B37" s="11">
        <f t="shared" si="2"/>
        <v>2036</v>
      </c>
      <c r="C37" s="181">
        <f>'Indexed REC Activities'!E37*'Indexed REC Calculator'!C50</f>
        <v>0</v>
      </c>
      <c r="D37" s="181">
        <f>'Indexed REC Activities'!F37*'Indexed REC Calculator'!D50</f>
        <v>0</v>
      </c>
      <c r="E37" s="181">
        <f>'Indexed REC Activities'!G37*'Indexed REC Calculator'!E50</f>
        <v>0</v>
      </c>
      <c r="F37" s="181">
        <f>'Indexed REC Activities'!H37*'Indexed REC Calculator'!F50</f>
        <v>0</v>
      </c>
      <c r="G37" s="181">
        <f>'Indexed REC Activities'!I37*'Indexed REC Calculator'!G50</f>
        <v>0</v>
      </c>
      <c r="H37" s="181">
        <f>'Indexed REC Activities'!J37*'Indexed REC Calculator'!H50</f>
        <v>0</v>
      </c>
      <c r="I37" s="181">
        <f>'Indexed REC Activities'!K37*'Indexed REC Calculator'!I50</f>
        <v>0</v>
      </c>
      <c r="J37" s="181">
        <f>'Indexed REC Activities'!L37*'Indexed REC Calculator'!J50</f>
        <v>0</v>
      </c>
      <c r="K37" s="181">
        <f>'Indexed REC Activities'!M37*'Indexed REC Calculator'!K50</f>
        <v>0</v>
      </c>
      <c r="L37" s="181">
        <f>'Indexed REC Activities'!N37*'Indexed REC Calculator'!L50</f>
        <v>0</v>
      </c>
      <c r="M37" s="181">
        <f>'Indexed REC Activities'!O37*'Indexed REC Calculator'!M50</f>
        <v>0</v>
      </c>
      <c r="N37" s="181">
        <f>'Indexed REC Activities'!P37*'Indexed REC Calculator'!N50</f>
        <v>0</v>
      </c>
      <c r="O37" s="181">
        <f>'Indexed REC Activities'!Q37*'Indexed REC Calculator'!O50</f>
        <v>0</v>
      </c>
      <c r="P37" s="181">
        <f>'Indexed REC Activities'!R37*'Indexed REC Calculator'!P50</f>
        <v>0</v>
      </c>
      <c r="Q37" s="181">
        <f>'Indexed REC Activities'!S37*'Indexed REC Calculator'!Q50</f>
        <v>0</v>
      </c>
      <c r="R37" s="181">
        <f>'Indexed REC Activities'!T37*'Indexed REC Calculator'!R50</f>
        <v>0</v>
      </c>
      <c r="S37" s="181">
        <f>'Indexed REC Activities'!U37*'Indexed REC Calculator'!S50</f>
        <v>0</v>
      </c>
      <c r="T37" s="181">
        <f>'Indexed REC Activities'!V37*'Indexed REC Calculator'!T50</f>
        <v>3242425.5952380891</v>
      </c>
      <c r="U37" s="181">
        <f>'Indexed REC Activities'!W37*'Indexed REC Calculator'!U50</f>
        <v>2472115.9970238116</v>
      </c>
      <c r="V37" s="181">
        <f>'Indexed REC Activities'!X37*'Indexed REC Calculator'!V50</f>
        <v>1485545.7717633939</v>
      </c>
      <c r="W37" s="181">
        <f>'Indexed REC Activities'!Y37*'Indexed REC Calculator'!W50</f>
        <v>683087.85863281065</v>
      </c>
      <c r="X37" s="181">
        <f>'Indexed REC Activities'!Z37*'Indexed REC Calculator'!X50</f>
        <v>-7320265.5066432692</v>
      </c>
    </row>
    <row r="38" spans="1:24" ht="15.5" x14ac:dyDescent="0.35">
      <c r="A38" s="12" t="s">
        <v>87</v>
      </c>
      <c r="B38" s="11">
        <f t="shared" si="2"/>
        <v>2037</v>
      </c>
      <c r="C38" s="181">
        <f>'Indexed REC Activities'!E38*'Indexed REC Calculator'!C51</f>
        <v>0</v>
      </c>
      <c r="D38" s="181">
        <f>'Indexed REC Activities'!F38*'Indexed REC Calculator'!D51</f>
        <v>0</v>
      </c>
      <c r="E38" s="181">
        <f>'Indexed REC Activities'!G38*'Indexed REC Calculator'!E51</f>
        <v>0</v>
      </c>
      <c r="F38" s="181">
        <f>'Indexed REC Activities'!H38*'Indexed REC Calculator'!F51</f>
        <v>0</v>
      </c>
      <c r="G38" s="181">
        <f>'Indexed REC Activities'!I38*'Indexed REC Calculator'!G51</f>
        <v>0</v>
      </c>
      <c r="H38" s="181">
        <f>'Indexed REC Activities'!J38*'Indexed REC Calculator'!H51</f>
        <v>0</v>
      </c>
      <c r="I38" s="181">
        <f>'Indexed REC Activities'!K38*'Indexed REC Calculator'!I51</f>
        <v>0</v>
      </c>
      <c r="J38" s="181">
        <f>'Indexed REC Activities'!L38*'Indexed REC Calculator'!J51</f>
        <v>0</v>
      </c>
      <c r="K38" s="181">
        <f>'Indexed REC Activities'!M38*'Indexed REC Calculator'!K51</f>
        <v>0</v>
      </c>
      <c r="L38" s="181">
        <f>'Indexed REC Activities'!N38*'Indexed REC Calculator'!L51</f>
        <v>0</v>
      </c>
      <c r="M38" s="181">
        <f>'Indexed REC Activities'!O38*'Indexed REC Calculator'!M51</f>
        <v>0</v>
      </c>
      <c r="N38" s="181">
        <f>'Indexed REC Activities'!P38*'Indexed REC Calculator'!N51</f>
        <v>0</v>
      </c>
      <c r="O38" s="181">
        <f>'Indexed REC Activities'!Q38*'Indexed REC Calculator'!O51</f>
        <v>0</v>
      </c>
      <c r="P38" s="181">
        <f>'Indexed REC Activities'!R38*'Indexed REC Calculator'!P51</f>
        <v>0</v>
      </c>
      <c r="Q38" s="181">
        <f>'Indexed REC Activities'!S38*'Indexed REC Calculator'!Q51</f>
        <v>0</v>
      </c>
      <c r="R38" s="181">
        <f>'Indexed REC Activities'!T38*'Indexed REC Calculator'!R51</f>
        <v>0</v>
      </c>
      <c r="S38" s="181">
        <f>'Indexed REC Activities'!U38*'Indexed REC Calculator'!S51</f>
        <v>0</v>
      </c>
      <c r="T38" s="181">
        <f>'Indexed REC Activities'!V38*'Indexed REC Calculator'!T51</f>
        <v>0</v>
      </c>
      <c r="U38" s="181">
        <f>'Indexed REC Activities'!W38*'Indexed REC Calculator'!U51</f>
        <v>2484538.6904761922</v>
      </c>
      <c r="V38" s="181">
        <f>'Indexed REC Activities'!X38*'Indexed REC Calculator'!V51</f>
        <v>1493010.8258928582</v>
      </c>
      <c r="W38" s="181">
        <f>'Indexed REC Activities'!Y38*'Indexed REC Calculator'!W51</f>
        <v>686520.46093749814</v>
      </c>
      <c r="X38" s="181">
        <f>'Indexed REC Activities'!Z38*'Indexed REC Calculator'!X51</f>
        <v>-7357050.7604454961</v>
      </c>
    </row>
    <row r="39" spans="1:24" ht="15.5" x14ac:dyDescent="0.35">
      <c r="A39" s="12" t="s">
        <v>87</v>
      </c>
      <c r="B39" s="11">
        <f t="shared" si="2"/>
        <v>2038</v>
      </c>
      <c r="C39" s="181">
        <f>'Indexed REC Activities'!E39*'Indexed REC Calculator'!C52</f>
        <v>0</v>
      </c>
      <c r="D39" s="181">
        <f>'Indexed REC Activities'!F39*'Indexed REC Calculator'!D52</f>
        <v>0</v>
      </c>
      <c r="E39" s="181">
        <f>'Indexed REC Activities'!G39*'Indexed REC Calculator'!E52</f>
        <v>0</v>
      </c>
      <c r="F39" s="181">
        <f>'Indexed REC Activities'!H39*'Indexed REC Calculator'!F52</f>
        <v>0</v>
      </c>
      <c r="G39" s="181">
        <f>'Indexed REC Activities'!I39*'Indexed REC Calculator'!G52</f>
        <v>0</v>
      </c>
      <c r="H39" s="181">
        <f>'Indexed REC Activities'!J39*'Indexed REC Calculator'!H52</f>
        <v>0</v>
      </c>
      <c r="I39" s="181">
        <f>'Indexed REC Activities'!K39*'Indexed REC Calculator'!I52</f>
        <v>0</v>
      </c>
      <c r="J39" s="181">
        <f>'Indexed REC Activities'!L39*'Indexed REC Calculator'!J52</f>
        <v>0</v>
      </c>
      <c r="K39" s="181">
        <f>'Indexed REC Activities'!M39*'Indexed REC Calculator'!K52</f>
        <v>0</v>
      </c>
      <c r="L39" s="181">
        <f>'Indexed REC Activities'!N39*'Indexed REC Calculator'!L52</f>
        <v>0</v>
      </c>
      <c r="M39" s="181">
        <f>'Indexed REC Activities'!O39*'Indexed REC Calculator'!M52</f>
        <v>0</v>
      </c>
      <c r="N39" s="181">
        <f>'Indexed REC Activities'!P39*'Indexed REC Calculator'!N52</f>
        <v>0</v>
      </c>
      <c r="O39" s="181">
        <f>'Indexed REC Activities'!Q39*'Indexed REC Calculator'!O52</f>
        <v>0</v>
      </c>
      <c r="P39" s="181">
        <f>'Indexed REC Activities'!R39*'Indexed REC Calculator'!P52</f>
        <v>0</v>
      </c>
      <c r="Q39" s="181">
        <f>'Indexed REC Activities'!S39*'Indexed REC Calculator'!Q52</f>
        <v>0</v>
      </c>
      <c r="R39" s="181">
        <f>'Indexed REC Activities'!T39*'Indexed REC Calculator'!R52</f>
        <v>0</v>
      </c>
      <c r="S39" s="181">
        <f>'Indexed REC Activities'!U39*'Indexed REC Calculator'!S52</f>
        <v>0</v>
      </c>
      <c r="T39" s="181">
        <f>'Indexed REC Activities'!V39*'Indexed REC Calculator'!T52</f>
        <v>0</v>
      </c>
      <c r="U39" s="181">
        <f>'Indexed REC Activities'!W39*'Indexed REC Calculator'!U52</f>
        <v>0</v>
      </c>
      <c r="V39" s="181">
        <f>'Indexed REC Activities'!X39*'Indexed REC Calculator'!V52</f>
        <v>1500513.3928571439</v>
      </c>
      <c r="W39" s="181">
        <f>'Indexed REC Activities'!Y39*'Indexed REC Calculator'!W52</f>
        <v>689970.31249999814</v>
      </c>
      <c r="X39" s="181">
        <f>'Indexed REC Activities'!Z39*'Indexed REC Calculator'!X52</f>
        <v>-7394020.8647693433</v>
      </c>
    </row>
    <row r="40" spans="1:24" ht="15.5" x14ac:dyDescent="0.35">
      <c r="A40" s="12" t="s">
        <v>87</v>
      </c>
      <c r="B40" s="11">
        <f t="shared" si="2"/>
        <v>2039</v>
      </c>
      <c r="C40" s="181">
        <f>'Indexed REC Activities'!E40*'Indexed REC Calculator'!C53</f>
        <v>0</v>
      </c>
      <c r="D40" s="181">
        <f>'Indexed REC Activities'!F40*'Indexed REC Calculator'!D53</f>
        <v>0</v>
      </c>
      <c r="E40" s="181">
        <f>'Indexed REC Activities'!G40*'Indexed REC Calculator'!E53</f>
        <v>0</v>
      </c>
      <c r="F40" s="181">
        <f>'Indexed REC Activities'!H40*'Indexed REC Calculator'!F53</f>
        <v>0</v>
      </c>
      <c r="G40" s="181">
        <f>'Indexed REC Activities'!I40*'Indexed REC Calculator'!G53</f>
        <v>0</v>
      </c>
      <c r="H40" s="181">
        <f>'Indexed REC Activities'!J40*'Indexed REC Calculator'!H53</f>
        <v>0</v>
      </c>
      <c r="I40" s="181">
        <f>'Indexed REC Activities'!K40*'Indexed REC Calculator'!I53</f>
        <v>0</v>
      </c>
      <c r="J40" s="181">
        <f>'Indexed REC Activities'!L40*'Indexed REC Calculator'!J53</f>
        <v>0</v>
      </c>
      <c r="K40" s="181">
        <f>'Indexed REC Activities'!M40*'Indexed REC Calculator'!K53</f>
        <v>0</v>
      </c>
      <c r="L40" s="181">
        <f>'Indexed REC Activities'!N40*'Indexed REC Calculator'!L53</f>
        <v>0</v>
      </c>
      <c r="M40" s="181">
        <f>'Indexed REC Activities'!O40*'Indexed REC Calculator'!M53</f>
        <v>0</v>
      </c>
      <c r="N40" s="181">
        <f>'Indexed REC Activities'!P40*'Indexed REC Calculator'!N53</f>
        <v>0</v>
      </c>
      <c r="O40" s="181">
        <f>'Indexed REC Activities'!Q40*'Indexed REC Calculator'!O53</f>
        <v>0</v>
      </c>
      <c r="P40" s="181">
        <f>'Indexed REC Activities'!R40*'Indexed REC Calculator'!P53</f>
        <v>0</v>
      </c>
      <c r="Q40" s="181">
        <f>'Indexed REC Activities'!S40*'Indexed REC Calculator'!Q53</f>
        <v>0</v>
      </c>
      <c r="R40" s="181">
        <f>'Indexed REC Activities'!T40*'Indexed REC Calculator'!R53</f>
        <v>0</v>
      </c>
      <c r="S40" s="181">
        <f>'Indexed REC Activities'!U40*'Indexed REC Calculator'!S53</f>
        <v>0</v>
      </c>
      <c r="T40" s="181">
        <f>'Indexed REC Activities'!V40*'Indexed REC Calculator'!T53</f>
        <v>0</v>
      </c>
      <c r="U40" s="181">
        <f>'Indexed REC Activities'!W40*'Indexed REC Calculator'!U53</f>
        <v>0</v>
      </c>
      <c r="V40" s="181">
        <f>'Indexed REC Activities'!X40*'Indexed REC Calculator'!V53</f>
        <v>0</v>
      </c>
      <c r="W40" s="181">
        <f>'Indexed REC Activities'!Y40*'Indexed REC Calculator'!W53</f>
        <v>693437.49999999814</v>
      </c>
      <c r="X40" s="181">
        <f>'Indexed REC Activities'!Z40*'Indexed REC Calculator'!X53</f>
        <v>-7468529.3032638868</v>
      </c>
    </row>
    <row r="41" spans="1:24" ht="15.5" x14ac:dyDescent="0.35">
      <c r="A41" s="12" t="s">
        <v>87</v>
      </c>
      <c r="B41" s="11">
        <f t="shared" si="2"/>
        <v>2040</v>
      </c>
      <c r="C41" s="181">
        <f>'Indexed REC Activities'!E41*'Indexed REC Calculator'!C54</f>
        <v>0</v>
      </c>
      <c r="D41" s="181">
        <f>'Indexed REC Activities'!F41*'Indexed REC Calculator'!D54</f>
        <v>0</v>
      </c>
      <c r="E41" s="181">
        <f>'Indexed REC Activities'!G41*'Indexed REC Calculator'!E54</f>
        <v>0</v>
      </c>
      <c r="F41" s="181">
        <f>'Indexed REC Activities'!H41*'Indexed REC Calculator'!F54</f>
        <v>0</v>
      </c>
      <c r="G41" s="181">
        <f>'Indexed REC Activities'!I41*'Indexed REC Calculator'!G54</f>
        <v>0</v>
      </c>
      <c r="H41" s="181">
        <f>'Indexed REC Activities'!J41*'Indexed REC Calculator'!H54</f>
        <v>0</v>
      </c>
      <c r="I41" s="181">
        <f>'Indexed REC Activities'!K41*'Indexed REC Calculator'!I54</f>
        <v>0</v>
      </c>
      <c r="J41" s="181">
        <f>'Indexed REC Activities'!L41*'Indexed REC Calculator'!J54</f>
        <v>0</v>
      </c>
      <c r="K41" s="181">
        <f>'Indexed REC Activities'!M41*'Indexed REC Calculator'!K54</f>
        <v>0</v>
      </c>
      <c r="L41" s="181">
        <f>'Indexed REC Activities'!N41*'Indexed REC Calculator'!L54</f>
        <v>0</v>
      </c>
      <c r="M41" s="181">
        <f>'Indexed REC Activities'!O41*'Indexed REC Calculator'!M54</f>
        <v>0</v>
      </c>
      <c r="N41" s="181">
        <f>'Indexed REC Activities'!P41*'Indexed REC Calculator'!N54</f>
        <v>0</v>
      </c>
      <c r="O41" s="181">
        <f>'Indexed REC Activities'!Q41*'Indexed REC Calculator'!O54</f>
        <v>0</v>
      </c>
      <c r="P41" s="181">
        <f>'Indexed REC Activities'!R41*'Indexed REC Calculator'!P54</f>
        <v>0</v>
      </c>
      <c r="Q41" s="181">
        <f>'Indexed REC Activities'!S41*'Indexed REC Calculator'!Q54</f>
        <v>0</v>
      </c>
      <c r="R41" s="181">
        <f>'Indexed REC Activities'!T41*'Indexed REC Calculator'!R54</f>
        <v>0</v>
      </c>
      <c r="S41" s="181">
        <f>'Indexed REC Activities'!U41*'Indexed REC Calculator'!S54</f>
        <v>0</v>
      </c>
      <c r="T41" s="181">
        <f>'Indexed REC Activities'!V41*'Indexed REC Calculator'!T54</f>
        <v>0</v>
      </c>
      <c r="U41" s="181">
        <f>'Indexed REC Activities'!W41*'Indexed REC Calculator'!U54</f>
        <v>0</v>
      </c>
      <c r="V41" s="181">
        <f>'Indexed REC Activities'!X41*'Indexed REC Calculator'!V54</f>
        <v>0</v>
      </c>
      <c r="W41" s="181">
        <f>'Indexed REC Activities'!Y41*'Indexed REC Calculator'!W54</f>
        <v>0</v>
      </c>
      <c r="X41" s="181">
        <f>'Indexed REC Activities'!Z41*'Indexed REC Calculator'!X54</f>
        <v>-7468519.3452380933</v>
      </c>
    </row>
    <row r="42" spans="1:24" ht="15.5" x14ac:dyDescent="0.35">
      <c r="A42" s="12" t="s">
        <v>87</v>
      </c>
      <c r="B42" s="11">
        <f t="shared" si="2"/>
        <v>2041</v>
      </c>
      <c r="C42" s="181">
        <f>'Indexed REC Activities'!E42*'Indexed REC Calculator'!C55</f>
        <v>0</v>
      </c>
      <c r="D42" s="181">
        <f>'Indexed REC Activities'!F42*'Indexed REC Calculator'!D55</f>
        <v>0</v>
      </c>
      <c r="E42" s="181">
        <f>'Indexed REC Activities'!G42*'Indexed REC Calculator'!E55</f>
        <v>0</v>
      </c>
      <c r="F42" s="181">
        <f>'Indexed REC Activities'!H42*'Indexed REC Calculator'!F55</f>
        <v>0</v>
      </c>
      <c r="G42" s="181">
        <f>'Indexed REC Activities'!I42*'Indexed REC Calculator'!G55</f>
        <v>0</v>
      </c>
      <c r="H42" s="181">
        <f>'Indexed REC Activities'!J42*'Indexed REC Calculator'!H55</f>
        <v>0</v>
      </c>
      <c r="I42" s="181">
        <f>'Indexed REC Activities'!K42*'Indexed REC Calculator'!I55</f>
        <v>0</v>
      </c>
      <c r="J42" s="181">
        <f>'Indexed REC Activities'!L42*'Indexed REC Calculator'!J55</f>
        <v>0</v>
      </c>
      <c r="K42" s="181">
        <f>'Indexed REC Activities'!M42*'Indexed REC Calculator'!K55</f>
        <v>0</v>
      </c>
      <c r="L42" s="181">
        <f>'Indexed REC Activities'!N42*'Indexed REC Calculator'!L55</f>
        <v>0</v>
      </c>
      <c r="M42" s="181">
        <f>'Indexed REC Activities'!O42*'Indexed REC Calculator'!M55</f>
        <v>0</v>
      </c>
      <c r="N42" s="181">
        <f>'Indexed REC Activities'!P42*'Indexed REC Calculator'!N55</f>
        <v>0</v>
      </c>
      <c r="O42" s="181">
        <f>'Indexed REC Activities'!Q42*'Indexed REC Calculator'!O55</f>
        <v>0</v>
      </c>
      <c r="P42" s="181">
        <f>'Indexed REC Activities'!R42*'Indexed REC Calculator'!P55</f>
        <v>0</v>
      </c>
      <c r="Q42" s="181">
        <f>'Indexed REC Activities'!S42*'Indexed REC Calculator'!Q55</f>
        <v>0</v>
      </c>
      <c r="R42" s="181">
        <f>'Indexed REC Activities'!T42*'Indexed REC Calculator'!R55</f>
        <v>0</v>
      </c>
      <c r="S42" s="181">
        <f>'Indexed REC Activities'!U42*'Indexed REC Calculator'!S55</f>
        <v>0</v>
      </c>
      <c r="T42" s="181">
        <f>'Indexed REC Activities'!V42*'Indexed REC Calculator'!T55</f>
        <v>0</v>
      </c>
      <c r="U42" s="181">
        <f>'Indexed REC Activities'!W42*'Indexed REC Calculator'!U55</f>
        <v>0</v>
      </c>
      <c r="V42" s="181">
        <f>'Indexed REC Activities'!X42*'Indexed REC Calculator'!V55</f>
        <v>0</v>
      </c>
      <c r="W42" s="181">
        <f>'Indexed REC Activities'!Y42*'Indexed REC Calculator'!W55</f>
        <v>0</v>
      </c>
      <c r="X42" s="181">
        <f>'Indexed REC Activities'!Z42*'Indexed REC Calculator'!X55</f>
        <v>0</v>
      </c>
    </row>
    <row r="43" spans="1:24" ht="15.5" x14ac:dyDescent="0.35">
      <c r="A43" s="12" t="s">
        <v>87</v>
      </c>
      <c r="B43" s="11">
        <f t="shared" si="2"/>
        <v>2042</v>
      </c>
      <c r="C43" s="181">
        <f>'Indexed REC Activities'!E43*'Indexed REC Calculator'!C56</f>
        <v>0</v>
      </c>
      <c r="D43" s="181">
        <f>'Indexed REC Activities'!F43*'Indexed REC Calculator'!D56</f>
        <v>0</v>
      </c>
      <c r="E43" s="181">
        <f>'Indexed REC Activities'!G43*'Indexed REC Calculator'!E56</f>
        <v>0</v>
      </c>
      <c r="F43" s="181">
        <f>'Indexed REC Activities'!H43*'Indexed REC Calculator'!F56</f>
        <v>0</v>
      </c>
      <c r="G43" s="181">
        <f>'Indexed REC Activities'!I43*'Indexed REC Calculator'!G56</f>
        <v>0</v>
      </c>
      <c r="H43" s="181">
        <f>'Indexed REC Activities'!J43*'Indexed REC Calculator'!H56</f>
        <v>0</v>
      </c>
      <c r="I43" s="181">
        <f>'Indexed REC Activities'!K43*'Indexed REC Calculator'!I56</f>
        <v>0</v>
      </c>
      <c r="J43" s="181">
        <f>'Indexed REC Activities'!L43*'Indexed REC Calculator'!J56</f>
        <v>0</v>
      </c>
      <c r="K43" s="181">
        <f>'Indexed REC Activities'!M43*'Indexed REC Calculator'!K56</f>
        <v>0</v>
      </c>
      <c r="L43" s="181">
        <f>'Indexed REC Activities'!N43*'Indexed REC Calculator'!L56</f>
        <v>0</v>
      </c>
      <c r="M43" s="181">
        <f>'Indexed REC Activities'!O43*'Indexed REC Calculator'!M56</f>
        <v>0</v>
      </c>
      <c r="N43" s="181">
        <f>'Indexed REC Activities'!P43*'Indexed REC Calculator'!N56</f>
        <v>0</v>
      </c>
      <c r="O43" s="181">
        <f>'Indexed REC Activities'!Q43*'Indexed REC Calculator'!O56</f>
        <v>0</v>
      </c>
      <c r="P43" s="181">
        <f>'Indexed REC Activities'!R43*'Indexed REC Calculator'!P56</f>
        <v>0</v>
      </c>
      <c r="Q43" s="181">
        <f>'Indexed REC Activities'!S43*'Indexed REC Calculator'!Q56</f>
        <v>0</v>
      </c>
      <c r="R43" s="181">
        <f>'Indexed REC Activities'!T43*'Indexed REC Calculator'!R56</f>
        <v>0</v>
      </c>
      <c r="S43" s="181">
        <f>'Indexed REC Activities'!U43*'Indexed REC Calculator'!S56</f>
        <v>0</v>
      </c>
      <c r="T43" s="181">
        <f>'Indexed REC Activities'!V43*'Indexed REC Calculator'!T56</f>
        <v>0</v>
      </c>
      <c r="U43" s="181">
        <f>'Indexed REC Activities'!W43*'Indexed REC Calculator'!U56</f>
        <v>0</v>
      </c>
      <c r="V43" s="181">
        <f>'Indexed REC Activities'!X43*'Indexed REC Calculator'!V56</f>
        <v>0</v>
      </c>
      <c r="W43" s="181">
        <f>'Indexed REC Activities'!Y43*'Indexed REC Calculator'!W56</f>
        <v>0</v>
      </c>
      <c r="X43" s="181">
        <f>'Indexed REC Activities'!Z43*'Indexed REC Calculator'!X56</f>
        <v>0</v>
      </c>
    </row>
    <row r="44" spans="1:24" ht="15.5" x14ac:dyDescent="0.35">
      <c r="A44" s="12" t="s">
        <v>82</v>
      </c>
      <c r="B44" s="11">
        <v>2022</v>
      </c>
      <c r="C44" s="181">
        <f>'Indexed REC Activities'!E44*'Indexed REC Calculator'!C57</f>
        <v>0</v>
      </c>
      <c r="D44" s="181">
        <f>'Indexed REC Activities'!F44*'Indexed REC Calculator'!D57</f>
        <v>0</v>
      </c>
      <c r="E44" s="181">
        <f>'Indexed REC Activities'!G44*'Indexed REC Calculator'!E57</f>
        <v>0</v>
      </c>
      <c r="F44" s="181">
        <f>'Indexed REC Activities'!H44*'Indexed REC Calculator'!F63</f>
        <v>2756889.4830357139</v>
      </c>
      <c r="G44" s="181">
        <f>'Indexed REC Activities'!I44*'Indexed REC Calculator'!G63</f>
        <v>2532767.1483214283</v>
      </c>
      <c r="H44" s="181">
        <f>'Indexed REC Activities'!J44*'Indexed REC Calculator'!H63</f>
        <v>2462441.1185541516</v>
      </c>
      <c r="I44" s="181">
        <f>'Indexed REC Activities'!K44*'Indexed REC Calculator'!I63</f>
        <v>2379601.1694229525</v>
      </c>
      <c r="J44" s="181">
        <f>'Indexed REC Activities'!L44*'Indexed REC Calculator'!J63</f>
        <v>2356276.1947636856</v>
      </c>
      <c r="K44" s="181">
        <f>'Indexed REC Activities'!M44*'Indexed REC Calculator'!K63</f>
        <v>2182901.7413912471</v>
      </c>
      <c r="L44" s="181">
        <f>'Indexed REC Activities'!N44*'Indexed REC Calculator'!L63</f>
        <v>2236205.0090010287</v>
      </c>
      <c r="M44" s="181">
        <f>'Indexed REC Activities'!O44*'Indexed REC Calculator'!M63</f>
        <v>2400120.153251396</v>
      </c>
      <c r="N44" s="181">
        <f>'Indexed REC Activities'!P44*'Indexed REC Calculator'!N63</f>
        <v>2426065.0037469966</v>
      </c>
      <c r="O44" s="181">
        <f>'Indexed REC Activities'!Q44*'Indexed REC Calculator'!O63</f>
        <v>2350267.6149554788</v>
      </c>
      <c r="P44" s="181">
        <f>'Indexed REC Activities'!R44*'Indexed REC Calculator'!P63</f>
        <v>2205106.9071154259</v>
      </c>
      <c r="Q44" s="181">
        <f>'Indexed REC Activities'!S44*'Indexed REC Calculator'!Q63</f>
        <v>2106614.6122226305</v>
      </c>
      <c r="R44" s="181">
        <f>'Indexed REC Activities'!T44*'Indexed REC Calculator'!R63</f>
        <v>2027521.4512457841</v>
      </c>
      <c r="S44" s="181">
        <f>'Indexed REC Activities'!U44*'Indexed REC Calculator'!S63</f>
        <v>1945865.5291586316</v>
      </c>
      <c r="T44" s="181">
        <f>'Indexed REC Activities'!V44*'Indexed REC Calculator'!T63</f>
        <v>1877030.8575880434</v>
      </c>
      <c r="U44" s="181">
        <f>'Indexed REC Activities'!W44*'Indexed REC Calculator'!U63</f>
        <v>1813402.8116658668</v>
      </c>
      <c r="V44" s="181">
        <f>'Indexed REC Activities'!X44*'Indexed REC Calculator'!V63</f>
        <v>1734260.0444015064</v>
      </c>
      <c r="W44" s="181">
        <f>'Indexed REC Activities'!Y44*'Indexed REC Calculator'!W63</f>
        <v>1668401.5265671853</v>
      </c>
      <c r="X44" s="181">
        <f>'Indexed REC Activities'!Z44*'Indexed REC Calculator'!X63</f>
        <v>-529209.06410478451</v>
      </c>
    </row>
    <row r="45" spans="1:24" ht="15.5" x14ac:dyDescent="0.35">
      <c r="A45" s="12" t="s">
        <v>82</v>
      </c>
      <c r="B45" s="11">
        <f t="shared" ref="B45:B64" si="3">B44+1</f>
        <v>2023</v>
      </c>
      <c r="C45" s="181">
        <f>'Indexed REC Activities'!E45*'Indexed REC Calculator'!C64</f>
        <v>0</v>
      </c>
      <c r="D45" s="181">
        <f>'Indexed REC Activities'!F45*'Indexed REC Calculator'!D64</f>
        <v>0</v>
      </c>
      <c r="E45" s="181">
        <f>'Indexed REC Activities'!G45*'Indexed REC Calculator'!E64</f>
        <v>0</v>
      </c>
      <c r="F45" s="181">
        <f>'Indexed REC Activities'!H45*'Indexed REC Calculator'!F64</f>
        <v>0</v>
      </c>
      <c r="G45" s="181">
        <f>'Indexed REC Activities'!I45*'Indexed REC Calculator'!G64</f>
        <v>5102299.0628571436</v>
      </c>
      <c r="H45" s="181">
        <f>'Indexed REC Activities'!J45*'Indexed REC Calculator'!H64</f>
        <v>4970893.8159952378</v>
      </c>
      <c r="I45" s="181">
        <f>'Indexed REC Activities'!K45*'Indexed REC Calculator'!I64</f>
        <v>4816518.6535447007</v>
      </c>
      <c r="J45" s="181">
        <f>'Indexed REC Activities'!L45*'Indexed REC Calculator'!J64</f>
        <v>4771451.0003641034</v>
      </c>
      <c r="K45" s="181">
        <f>'Indexed REC Activities'!M45*'Indexed REC Calculator'!K64</f>
        <v>4450836.1045972053</v>
      </c>
      <c r="L45" s="181">
        <f>'Indexed REC Activities'!N45*'Indexed REC Calculator'!L64</f>
        <v>4546514.6764630368</v>
      </c>
      <c r="M45" s="181">
        <f>'Indexed REC Activities'!O45*'Indexed REC Calculator'!M64</f>
        <v>4845337.5097315637</v>
      </c>
      <c r="N45" s="181">
        <f>'Indexed REC Activities'!P45*'Indexed REC Calculator'!N64</f>
        <v>4890795.7562403344</v>
      </c>
      <c r="O45" s="181">
        <f>'Indexed REC Activities'!Q45*'Indexed REC Calculator'!O64</f>
        <v>4749420.3812680664</v>
      </c>
      <c r="P45" s="181">
        <f>'Indexed REC Activities'!R45*'Indexed REC Calculator'!P64</f>
        <v>4480673.6067901365</v>
      </c>
      <c r="Q45" s="181">
        <f>'Indexed REC Activities'!S45*'Indexed REC Calculator'!Q64</f>
        <v>4297641.883445614</v>
      </c>
      <c r="R45" s="181">
        <f>'Indexed REC Activities'!T45*'Indexed REC Calculator'!R64</f>
        <v>4150246.4823492137</v>
      </c>
      <c r="S45" s="181">
        <f>'Indexed REC Activities'!U45*'Indexed REC Calculator'!S64</f>
        <v>3998155.4216534658</v>
      </c>
      <c r="T45" s="181">
        <f>'Indexed REC Activities'!V45*'Indexed REC Calculator'!T64</f>
        <v>3869620.6199816782</v>
      </c>
      <c r="U45" s="181">
        <f>'Indexed REC Activities'!W45*'Indexed REC Calculator'!U64</f>
        <v>3750658.1441199002</v>
      </c>
      <c r="V45" s="181">
        <f>'Indexed REC Activities'!X45*'Indexed REC Calculator'!V64</f>
        <v>3603214.2177948309</v>
      </c>
      <c r="W45" s="181">
        <f>'Indexed REC Activities'!Y45*'Indexed REC Calculator'!W64</f>
        <v>3480176.6657188153</v>
      </c>
      <c r="X45" s="181">
        <f>'Indexed REC Activities'!Z45*'Indexed REC Calculator'!X64</f>
        <v>-966988.5998482256</v>
      </c>
    </row>
    <row r="46" spans="1:24" ht="15.5" x14ac:dyDescent="0.35">
      <c r="A46" s="12" t="s">
        <v>82</v>
      </c>
      <c r="B46" s="11">
        <f t="shared" si="3"/>
        <v>2024</v>
      </c>
      <c r="C46" s="181">
        <f>'Indexed REC Activities'!E46*'Indexed REC Calculator'!C65</f>
        <v>0</v>
      </c>
      <c r="D46" s="181">
        <f>'Indexed REC Activities'!F46*'Indexed REC Calculator'!D65</f>
        <v>0</v>
      </c>
      <c r="E46" s="181">
        <f>'Indexed REC Activities'!G46*'Indexed REC Calculator'!E65</f>
        <v>0</v>
      </c>
      <c r="F46" s="181">
        <f>'Indexed REC Activities'!H46*'Indexed REC Calculator'!F65</f>
        <v>0</v>
      </c>
      <c r="G46" s="181">
        <f>'Indexed REC Activities'!I46*'Indexed REC Calculator'!G65</f>
        <v>0</v>
      </c>
      <c r="H46" s="181">
        <f>'Indexed REC Activities'!J46*'Indexed REC Calculator'!H65</f>
        <v>3724902.9604365076</v>
      </c>
      <c r="I46" s="181">
        <f>'Indexed REC Activities'!K46*'Indexed REC Calculator'!I65</f>
        <v>3599592.0364772803</v>
      </c>
      <c r="J46" s="181">
        <f>'Indexed REC Activities'!L46*'Indexed REC Calculator'!J65</f>
        <v>3564308.6477676961</v>
      </c>
      <c r="K46" s="181">
        <f>'Indexed REC Activities'!M46*'Indexed REC Calculator'!K65</f>
        <v>3302047.3454506495</v>
      </c>
      <c r="L46" s="181">
        <f>'Indexed REC Activities'!N46*'Indexed REC Calculator'!L65</f>
        <v>3382678.5117451744</v>
      </c>
      <c r="M46" s="181">
        <f>'Indexed REC Activities'!O46*'Indexed REC Calculator'!M65</f>
        <v>3630630.8390020677</v>
      </c>
      <c r="N46" s="181">
        <f>'Indexed REC Activities'!P46*'Indexed REC Calculator'!N65</f>
        <v>3669877.2801417001</v>
      </c>
      <c r="O46" s="181">
        <f>'Indexed REC Activities'!Q46*'Indexed REC Calculator'!O65</f>
        <v>3555219.5464905258</v>
      </c>
      <c r="P46" s="181">
        <f>'Indexed REC Activities'!R46*'Indexed REC Calculator'!P65</f>
        <v>3335636.8136087926</v>
      </c>
      <c r="Q46" s="181">
        <f>'Indexed REC Activities'!S46*'Indexed REC Calculator'!Q65</f>
        <v>3186648.7878395622</v>
      </c>
      <c r="R46" s="181">
        <f>'Indexed REC Activities'!T46*'Indexed REC Calculator'!R65</f>
        <v>3067005.5820576819</v>
      </c>
      <c r="S46" s="181">
        <f>'Indexed REC Activities'!U46*'Indexed REC Calculator'!S65</f>
        <v>2943485.7205561004</v>
      </c>
      <c r="T46" s="181">
        <f>'Indexed REC Activities'!V46*'Indexed REC Calculator'!T65</f>
        <v>2839360.3995557316</v>
      </c>
      <c r="U46" s="181">
        <f>'Indexed REC Activities'!W46*'Indexed REC Calculator'!U65</f>
        <v>2743111.0741052739</v>
      </c>
      <c r="V46" s="181">
        <f>'Indexed REC Activities'!X46*'Indexed REC Calculator'!V65</f>
        <v>2623392.8295312691</v>
      </c>
      <c r="W46" s="181">
        <f>'Indexed REC Activities'!Y46*'Indexed REC Calculator'!W65</f>
        <v>2523769.4979508314</v>
      </c>
      <c r="X46" s="181">
        <f>'Indexed REC Activities'!Z46*'Indexed REC Calculator'!X65</f>
        <v>-796510.10760458268</v>
      </c>
    </row>
    <row r="47" spans="1:24" ht="15.5" x14ac:dyDescent="0.35">
      <c r="A47" s="12" t="s">
        <v>82</v>
      </c>
      <c r="B47" s="11">
        <f t="shared" si="3"/>
        <v>2025</v>
      </c>
      <c r="C47" s="181">
        <f>'Indexed REC Activities'!E47*'Indexed REC Calculator'!C66</f>
        <v>0</v>
      </c>
      <c r="D47" s="181">
        <f>'Indexed REC Activities'!F47*'Indexed REC Calculator'!D66</f>
        <v>0</v>
      </c>
      <c r="E47" s="181">
        <f>'Indexed REC Activities'!G47*'Indexed REC Calculator'!E66</f>
        <v>0</v>
      </c>
      <c r="F47" s="181">
        <f>'Indexed REC Activities'!H47*'Indexed REC Calculator'!F66</f>
        <v>0</v>
      </c>
      <c r="G47" s="181">
        <f>'Indexed REC Activities'!I47*'Indexed REC Calculator'!G66</f>
        <v>0</v>
      </c>
      <c r="H47" s="181">
        <f>'Indexed REC Activities'!J47*'Indexed REC Calculator'!H66</f>
        <v>0</v>
      </c>
      <c r="I47" s="181">
        <f>'Indexed REC Activities'!K47*'Indexed REC Calculator'!I66</f>
        <v>3548136.9543650784</v>
      </c>
      <c r="J47" s="181">
        <f>'Indexed REC Activities'!L47*'Indexed REC Calculator'!J66</f>
        <v>3513357.9310515858</v>
      </c>
      <c r="K47" s="181">
        <f>'Indexed REC Activities'!M47*'Indexed REC Calculator'!K66</f>
        <v>3254845.5749231144</v>
      </c>
      <c r="L47" s="181">
        <f>'Indexed REC Activities'!N47*'Indexed REC Calculator'!L66</f>
        <v>3334324.1430230541</v>
      </c>
      <c r="M47" s="181">
        <f>'Indexed REC Activities'!O47*'Indexed REC Calculator'!M66</f>
        <v>3578732.0665726312</v>
      </c>
      <c r="N47" s="181">
        <f>'Indexed REC Activities'!P47*'Indexed REC Calculator'!N66</f>
        <v>3617417.4916773941</v>
      </c>
      <c r="O47" s="181">
        <f>'Indexed REC Activities'!Q47*'Indexed REC Calculator'!O66</f>
        <v>3504398.7557348586</v>
      </c>
      <c r="P47" s="181">
        <f>'Indexed REC Activities'!R47*'Indexed REC Calculator'!P66</f>
        <v>3287954.8917683675</v>
      </c>
      <c r="Q47" s="181">
        <f>'Indexed REC Activities'!S47*'Indexed REC Calculator'!Q66</f>
        <v>3141096.6048756549</v>
      </c>
      <c r="R47" s="181">
        <f>'Indexed REC Activities'!T47*'Indexed REC Calculator'!R66</f>
        <v>3023163.662622333</v>
      </c>
      <c r="S47" s="181">
        <f>'Indexed REC Activities'!U47*'Indexed REC Calculator'!S66</f>
        <v>2901409.4802731788</v>
      </c>
      <c r="T47" s="181">
        <f>'Indexed REC Activities'!V47*'Indexed REC Calculator'!T66</f>
        <v>2798772.5993203875</v>
      </c>
      <c r="U47" s="181">
        <f>'Indexed REC Activities'!W47*'Indexed REC Calculator'!U66</f>
        <v>2703899.1289374237</v>
      </c>
      <c r="V47" s="181">
        <f>'Indexed REC Activities'!X47*'Indexed REC Calculator'!V66</f>
        <v>2585892.2205488696</v>
      </c>
      <c r="W47" s="181">
        <f>'Indexed REC Activities'!Y47*'Indexed REC Calculator'!W66</f>
        <v>2487692.9744355674</v>
      </c>
      <c r="X47" s="181">
        <f>'Indexed REC Activities'!Z47*'Indexed REC Calculator'!X66</f>
        <v>-785124.23593505286</v>
      </c>
    </row>
    <row r="48" spans="1:24" ht="15.5" x14ac:dyDescent="0.35">
      <c r="A48" s="12" t="s">
        <v>82</v>
      </c>
      <c r="B48" s="11">
        <f t="shared" si="3"/>
        <v>2026</v>
      </c>
      <c r="C48" s="181">
        <f>'Indexed REC Activities'!E48*'Indexed REC Calculator'!C67</f>
        <v>0</v>
      </c>
      <c r="D48" s="181">
        <f>'Indexed REC Activities'!F48*'Indexed REC Calculator'!D67</f>
        <v>0</v>
      </c>
      <c r="E48" s="181">
        <f>'Indexed REC Activities'!G48*'Indexed REC Calculator'!E67</f>
        <v>0</v>
      </c>
      <c r="F48" s="181">
        <f>'Indexed REC Activities'!H48*'Indexed REC Calculator'!F67</f>
        <v>0</v>
      </c>
      <c r="G48" s="181">
        <f>'Indexed REC Activities'!I48*'Indexed REC Calculator'!G67</f>
        <v>0</v>
      </c>
      <c r="H48" s="181">
        <f>'Indexed REC Activities'!J48*'Indexed REC Calculator'!H67</f>
        <v>0</v>
      </c>
      <c r="I48" s="181">
        <f>'Indexed REC Activities'!K48*'Indexed REC Calculator'!I67</f>
        <v>0</v>
      </c>
      <c r="J48" s="181">
        <f>'Indexed REC Activities'!L48*'Indexed REC Calculator'!J67</f>
        <v>3531012.9960317449</v>
      </c>
      <c r="K48" s="181">
        <f>'Indexed REC Activities'!M48*'Indexed REC Calculator'!K67</f>
        <v>3271201.5828373008</v>
      </c>
      <c r="L48" s="181">
        <f>'Indexed REC Activities'!N48*'Indexed REC Calculator'!L67</f>
        <v>3351079.5407266873</v>
      </c>
      <c r="M48" s="181">
        <f>'Indexed REC Activities'!O48*'Indexed REC Calculator'!M67</f>
        <v>3596715.6447966145</v>
      </c>
      <c r="N48" s="181">
        <f>'Indexed REC Activities'!P48*'Indexed REC Calculator'!N67</f>
        <v>3635595.4690225068</v>
      </c>
      <c r="O48" s="181">
        <f>'Indexed REC Activities'!Q48*'Indexed REC Calculator'!O67</f>
        <v>3522008.7997335265</v>
      </c>
      <c r="P48" s="181">
        <f>'Indexed REC Activities'!R48*'Indexed REC Calculator'!P67</f>
        <v>3304477.2781591634</v>
      </c>
      <c r="Q48" s="181">
        <f>'Indexed REC Activities'!S48*'Indexed REC Calculator'!Q67</f>
        <v>3156881.0099252816</v>
      </c>
      <c r="R48" s="181">
        <f>'Indexed REC Activities'!T48*'Indexed REC Calculator'!R67</f>
        <v>3038355.4398214398</v>
      </c>
      <c r="S48" s="181">
        <f>'Indexed REC Activities'!U48*'Indexed REC Calculator'!S67</f>
        <v>2915989.42741023</v>
      </c>
      <c r="T48" s="181">
        <f>'Indexed REC Activities'!V48*'Indexed REC Calculator'!T67</f>
        <v>2812836.7832365707</v>
      </c>
      <c r="U48" s="181">
        <f>'Indexed REC Activities'!W48*'Indexed REC Calculator'!U67</f>
        <v>2717486.5617461544</v>
      </c>
      <c r="V48" s="181">
        <f>'Indexed REC Activities'!X48*'Indexed REC Calculator'!V67</f>
        <v>2598886.6538179596</v>
      </c>
      <c r="W48" s="181">
        <f>'Indexed REC Activities'!Y48*'Indexed REC Calculator'!W67</f>
        <v>2500193.9441563492</v>
      </c>
      <c r="X48" s="181">
        <f>'Indexed REC Activities'!Z48*'Indexed REC Calculator'!X67</f>
        <v>-789069.58385432442</v>
      </c>
    </row>
    <row r="49" spans="1:24" ht="15.5" x14ac:dyDescent="0.35">
      <c r="A49" s="12" t="s">
        <v>82</v>
      </c>
      <c r="B49" s="11">
        <f t="shared" si="3"/>
        <v>2027</v>
      </c>
      <c r="C49" s="181">
        <f>'Indexed REC Activities'!E49*'Indexed REC Calculator'!C68</f>
        <v>0</v>
      </c>
      <c r="D49" s="181">
        <f>'Indexed REC Activities'!F49*'Indexed REC Calculator'!D68</f>
        <v>0</v>
      </c>
      <c r="E49" s="181">
        <f>'Indexed REC Activities'!G49*'Indexed REC Calculator'!E68</f>
        <v>0</v>
      </c>
      <c r="F49" s="181">
        <f>'Indexed REC Activities'!H49*'Indexed REC Calculator'!F68</f>
        <v>0</v>
      </c>
      <c r="G49" s="181">
        <f>'Indexed REC Activities'!I49*'Indexed REC Calculator'!G68</f>
        <v>0</v>
      </c>
      <c r="H49" s="181">
        <f>'Indexed REC Activities'!J49*'Indexed REC Calculator'!H68</f>
        <v>0</v>
      </c>
      <c r="I49" s="181">
        <f>'Indexed REC Activities'!K49*'Indexed REC Calculator'!I68</f>
        <v>0</v>
      </c>
      <c r="J49" s="181">
        <f>'Indexed REC Activities'!L49*'Indexed REC Calculator'!J68</f>
        <v>0</v>
      </c>
      <c r="K49" s="181">
        <f>'Indexed REC Activities'!M49*'Indexed REC Calculator'!K68</f>
        <v>3287639.7817460313</v>
      </c>
      <c r="L49" s="181">
        <f>'Indexed REC Activities'!N49*'Indexed REC Calculator'!L68</f>
        <v>3367919.1364087313</v>
      </c>
      <c r="M49" s="181">
        <f>'Indexed REC Activities'!O49*'Indexed REC Calculator'!M68</f>
        <v>3614789.5927604167</v>
      </c>
      <c r="N49" s="181">
        <f>'Indexed REC Activities'!P49*'Indexed REC Calculator'!N68</f>
        <v>3653864.792987444</v>
      </c>
      <c r="O49" s="181">
        <f>'Indexed REC Activities'!Q49*'Indexed REC Calculator'!O68</f>
        <v>3539707.3364156047</v>
      </c>
      <c r="P49" s="181">
        <f>'Indexed REC Activities'!R49*'Indexed REC Calculator'!P68</f>
        <v>3321082.69161725</v>
      </c>
      <c r="Q49" s="181">
        <f>'Indexed REC Activities'!S49*'Indexed REC Calculator'!Q68</f>
        <v>3172744.7335932478</v>
      </c>
      <c r="R49" s="181">
        <f>'Indexed REC Activities'!T49*'Indexed REC Calculator'!R68</f>
        <v>3053623.5576094878</v>
      </c>
      <c r="S49" s="181">
        <f>'Indexed REC Activities'!U49*'Indexed REC Calculator'!S68</f>
        <v>2930642.6406132965</v>
      </c>
      <c r="T49" s="181">
        <f>'Indexed REC Activities'!V49*'Indexed REC Calculator'!T68</f>
        <v>2826971.6414437895</v>
      </c>
      <c r="U49" s="181">
        <f>'Indexed REC Activities'!W49*'Indexed REC Calculator'!U68</f>
        <v>2731142.2731117136</v>
      </c>
      <c r="V49" s="181">
        <f>'Indexed REC Activities'!X49*'Indexed REC Calculator'!V68</f>
        <v>2611946.3857466932</v>
      </c>
      <c r="W49" s="181">
        <f>'Indexed REC Activities'!Y49*'Indexed REC Calculator'!W68</f>
        <v>2512757.7328204517</v>
      </c>
      <c r="X49" s="181">
        <f>'Indexed REC Activities'!Z49*'Indexed REC Calculator'!X68</f>
        <v>-793034.75764253701</v>
      </c>
    </row>
    <row r="50" spans="1:24" ht="15.5" x14ac:dyDescent="0.35">
      <c r="A50" s="12" t="s">
        <v>82</v>
      </c>
      <c r="B50" s="11">
        <f t="shared" si="3"/>
        <v>2028</v>
      </c>
      <c r="C50" s="181">
        <f>'Indexed REC Activities'!E50*'Indexed REC Calculator'!C69</f>
        <v>0</v>
      </c>
      <c r="D50" s="181">
        <f>'Indexed REC Activities'!F50*'Indexed REC Calculator'!D69</f>
        <v>0</v>
      </c>
      <c r="E50" s="181">
        <f>'Indexed REC Activities'!G50*'Indexed REC Calculator'!E69</f>
        <v>0</v>
      </c>
      <c r="F50" s="181">
        <f>'Indexed REC Activities'!H50*'Indexed REC Calculator'!F69</f>
        <v>0</v>
      </c>
      <c r="G50" s="181">
        <f>'Indexed REC Activities'!I50*'Indexed REC Calculator'!G69</f>
        <v>0</v>
      </c>
      <c r="H50" s="181">
        <f>'Indexed REC Activities'!J50*'Indexed REC Calculator'!H69</f>
        <v>0</v>
      </c>
      <c r="I50" s="181">
        <f>'Indexed REC Activities'!K50*'Indexed REC Calculator'!I69</f>
        <v>0</v>
      </c>
      <c r="J50" s="181">
        <f>'Indexed REC Activities'!L50*'Indexed REC Calculator'!J69</f>
        <v>0</v>
      </c>
      <c r="K50" s="181">
        <f>'Indexed REC Activities'!M50*'Indexed REC Calculator'!K69</f>
        <v>0</v>
      </c>
      <c r="L50" s="181">
        <f>'Indexed REC Activities'!N50*'Indexed REC Calculator'!L69</f>
        <v>3384843.353174604</v>
      </c>
      <c r="M50" s="181">
        <f>'Indexed REC Activities'!O50*'Indexed REC Calculator'!M69</f>
        <v>3632954.364583333</v>
      </c>
      <c r="N50" s="181">
        <f>'Indexed REC Activities'!P50*'Indexed REC Calculator'!N69</f>
        <v>3672225.9226004463</v>
      </c>
      <c r="O50" s="181">
        <f>'Indexed REC Activities'!Q50*'Indexed REC Calculator'!O69</f>
        <v>3557494.8104679445</v>
      </c>
      <c r="P50" s="181">
        <f>'Indexed REC Activities'!R50*'Indexed REC Calculator'!P69</f>
        <v>3337771.5493640704</v>
      </c>
      <c r="Q50" s="181">
        <f>'Indexed REC Activities'!S50*'Indexed REC Calculator'!Q69</f>
        <v>3188688.1744655757</v>
      </c>
      <c r="R50" s="181">
        <f>'Indexed REC Activities'!T50*'Indexed REC Calculator'!R69</f>
        <v>3068968.3996075252</v>
      </c>
      <c r="S50" s="181">
        <f>'Indexed REC Activities'!U50*'Indexed REC Calculator'!S69</f>
        <v>2945369.4880535644</v>
      </c>
      <c r="T50" s="181">
        <f>'Indexed REC Activities'!V50*'Indexed REC Calculator'!T69</f>
        <v>2841177.5290892357</v>
      </c>
      <c r="U50" s="181">
        <f>'Indexed REC Activities'!W50*'Indexed REC Calculator'!U69</f>
        <v>2744866.6061424254</v>
      </c>
      <c r="V50" s="181">
        <f>'Indexed REC Activities'!X50*'Indexed REC Calculator'!V69</f>
        <v>2625071.7444690382</v>
      </c>
      <c r="W50" s="181">
        <f>'Indexed REC Activities'!Y50*'Indexed REC Calculator'!W69</f>
        <v>2525384.6561009563</v>
      </c>
      <c r="X50" s="181">
        <f>'Indexed REC Activities'!Z50*'Indexed REC Calculator'!X69</f>
        <v>-797019.85692717298</v>
      </c>
    </row>
    <row r="51" spans="1:24" ht="15.5" x14ac:dyDescent="0.35">
      <c r="A51" s="12" t="s">
        <v>82</v>
      </c>
      <c r="B51" s="11">
        <f t="shared" si="3"/>
        <v>2029</v>
      </c>
      <c r="C51" s="181">
        <f>'Indexed REC Activities'!E51*'Indexed REC Calculator'!C70</f>
        <v>0</v>
      </c>
      <c r="D51" s="181">
        <f>'Indexed REC Activities'!F51*'Indexed REC Calculator'!D70</f>
        <v>0</v>
      </c>
      <c r="E51" s="181">
        <f>'Indexed REC Activities'!G51*'Indexed REC Calculator'!E70</f>
        <v>0</v>
      </c>
      <c r="F51" s="181">
        <f>'Indexed REC Activities'!H51*'Indexed REC Calculator'!F70</f>
        <v>0</v>
      </c>
      <c r="G51" s="181">
        <f>'Indexed REC Activities'!I51*'Indexed REC Calculator'!G70</f>
        <v>0</v>
      </c>
      <c r="H51" s="181">
        <f>'Indexed REC Activities'!J51*'Indexed REC Calculator'!H70</f>
        <v>0</v>
      </c>
      <c r="I51" s="181">
        <f>'Indexed REC Activities'!K51*'Indexed REC Calculator'!I70</f>
        <v>0</v>
      </c>
      <c r="J51" s="181">
        <f>'Indexed REC Activities'!L51*'Indexed REC Calculator'!J70</f>
        <v>0</v>
      </c>
      <c r="K51" s="181">
        <f>'Indexed REC Activities'!M51*'Indexed REC Calculator'!K70</f>
        <v>0</v>
      </c>
      <c r="L51" s="181">
        <f>'Indexed REC Activities'!N51*'Indexed REC Calculator'!L70</f>
        <v>0</v>
      </c>
      <c r="M51" s="181">
        <f>'Indexed REC Activities'!O51*'Indexed REC Calculator'!M70</f>
        <v>3651210.4166666665</v>
      </c>
      <c r="N51" s="181">
        <f>'Indexed REC Activities'!P51*'Indexed REC Calculator'!N70</f>
        <v>3690679.3191964282</v>
      </c>
      <c r="O51" s="181">
        <f>'Indexed REC Activities'!Q51*'Indexed REC Calculator'!O70</f>
        <v>3575371.6688120044</v>
      </c>
      <c r="P51" s="181">
        <f>'Indexed REC Activities'!R51*'Indexed REC Calculator'!P70</f>
        <v>3354544.270717659</v>
      </c>
      <c r="Q51" s="181">
        <f>'Indexed REC Activities'!S51*'Indexed REC Calculator'!Q70</f>
        <v>3204711.7331312322</v>
      </c>
      <c r="R51" s="181">
        <f>'Indexed REC Activities'!T51*'Indexed REC Calculator'!R70</f>
        <v>3084390.3513643472</v>
      </c>
      <c r="S51" s="181">
        <f>'Indexed REC Activities'!U51*'Indexed REC Calculator'!S70</f>
        <v>2960170.3397523263</v>
      </c>
      <c r="T51" s="181">
        <f>'Indexed REC Activities'!V51*'Indexed REC Calculator'!T70</f>
        <v>2855454.8031047597</v>
      </c>
      <c r="U51" s="181">
        <f>'Indexed REC Activities'!W51*'Indexed REC Calculator'!U70</f>
        <v>2758659.9056707793</v>
      </c>
      <c r="V51" s="181">
        <f>'Indexed REC Activities'!X51*'Indexed REC Calculator'!V70</f>
        <v>2638263.0597678777</v>
      </c>
      <c r="W51" s="181">
        <f>'Indexed REC Activities'!Y51*'Indexed REC Calculator'!W70</f>
        <v>2538075.0312572429</v>
      </c>
      <c r="X51" s="181">
        <f>'Indexed REC Activities'!Z51*'Indexed REC Calculator'!X70</f>
        <v>-801024.98183635471</v>
      </c>
    </row>
    <row r="52" spans="1:24" ht="15.5" x14ac:dyDescent="0.35">
      <c r="A52" s="12" t="s">
        <v>82</v>
      </c>
      <c r="B52" s="11">
        <f t="shared" si="3"/>
        <v>2030</v>
      </c>
      <c r="C52" s="181">
        <f>'Indexed REC Activities'!E52*'Indexed REC Calculator'!C71</f>
        <v>0</v>
      </c>
      <c r="D52" s="181">
        <f>'Indexed REC Activities'!F52*'Indexed REC Calculator'!D71</f>
        <v>0</v>
      </c>
      <c r="E52" s="181">
        <f>'Indexed REC Activities'!G52*'Indexed REC Calculator'!E71</f>
        <v>0</v>
      </c>
      <c r="F52" s="181">
        <f>'Indexed REC Activities'!H52*'Indexed REC Calculator'!F71</f>
        <v>0</v>
      </c>
      <c r="G52" s="181">
        <f>'Indexed REC Activities'!I52*'Indexed REC Calculator'!G71</f>
        <v>0</v>
      </c>
      <c r="H52" s="181">
        <f>'Indexed REC Activities'!J52*'Indexed REC Calculator'!H71</f>
        <v>0</v>
      </c>
      <c r="I52" s="181">
        <f>'Indexed REC Activities'!K52*'Indexed REC Calculator'!I71</f>
        <v>0</v>
      </c>
      <c r="J52" s="181">
        <f>'Indexed REC Activities'!L52*'Indexed REC Calculator'!J71</f>
        <v>0</v>
      </c>
      <c r="K52" s="181">
        <f>'Indexed REC Activities'!M52*'Indexed REC Calculator'!K71</f>
        <v>0</v>
      </c>
      <c r="L52" s="181">
        <f>'Indexed REC Activities'!N52*'Indexed REC Calculator'!L71</f>
        <v>0</v>
      </c>
      <c r="M52" s="181">
        <f>'Indexed REC Activities'!O52*'Indexed REC Calculator'!M71</f>
        <v>0</v>
      </c>
      <c r="N52" s="181">
        <f>'Indexed REC Activities'!P52*'Indexed REC Calculator'!N71</f>
        <v>2181897.3214285714</v>
      </c>
      <c r="O52" s="181">
        <f>'Indexed REC Activities'!Q52*'Indexed REC Calculator'!O71</f>
        <v>2113728.4474206353</v>
      </c>
      <c r="P52" s="181">
        <f>'Indexed REC Activities'!R52*'Indexed REC Calculator'!P71</f>
        <v>1983177.2218253969</v>
      </c>
      <c r="Q52" s="181">
        <f>'Indexed REC Activities'!S52*'Indexed REC Calculator'!Q71</f>
        <v>1894597.5365836432</v>
      </c>
      <c r="R52" s="181">
        <f>'Indexed REC Activities'!T52*'Indexed REC Calculator'!R71</f>
        <v>1823464.5884506931</v>
      </c>
      <c r="S52" s="181">
        <f>'Indexed REC Activities'!U52*'Indexed REC Calculator'!S71</f>
        <v>1750026.8044648694</v>
      </c>
      <c r="T52" s="181">
        <f>'Indexed REC Activities'!V52*'Indexed REC Calculator'!T71</f>
        <v>1688119.8954210819</v>
      </c>
      <c r="U52" s="181">
        <f>'Indexed REC Activities'!W52*'Indexed REC Calculator'!U71</f>
        <v>1630895.5989777001</v>
      </c>
      <c r="V52" s="181">
        <f>'Indexed REC Activities'!X52*'Indexed REC Calculator'!V71</f>
        <v>1559718.0371078204</v>
      </c>
      <c r="W52" s="181">
        <f>'Indexed REC Activities'!Y52*'Indexed REC Calculator'!W71</f>
        <v>1500487.7512605633</v>
      </c>
      <c r="X52" s="181">
        <f>'Indexed REC Activities'!Z52*'Indexed REC Calculator'!X71</f>
        <v>-473558.96058903623</v>
      </c>
    </row>
    <row r="53" spans="1:24" ht="15.5" x14ac:dyDescent="0.35">
      <c r="A53" s="12" t="s">
        <v>82</v>
      </c>
      <c r="B53" s="11">
        <f t="shared" si="3"/>
        <v>2031</v>
      </c>
      <c r="C53" s="181">
        <f>'Indexed REC Activities'!E53*'Indexed REC Calculator'!C72</f>
        <v>0</v>
      </c>
      <c r="D53" s="181">
        <f>'Indexed REC Activities'!F53*'Indexed REC Calculator'!D72</f>
        <v>0</v>
      </c>
      <c r="E53" s="181">
        <f>'Indexed REC Activities'!G53*'Indexed REC Calculator'!E72</f>
        <v>0</v>
      </c>
      <c r="F53" s="181">
        <f>'Indexed REC Activities'!H53*'Indexed REC Calculator'!F72</f>
        <v>0</v>
      </c>
      <c r="G53" s="181">
        <f>'Indexed REC Activities'!I53*'Indexed REC Calculator'!G72</f>
        <v>0</v>
      </c>
      <c r="H53" s="181">
        <f>'Indexed REC Activities'!J53*'Indexed REC Calculator'!H72</f>
        <v>0</v>
      </c>
      <c r="I53" s="181">
        <f>'Indexed REC Activities'!K53*'Indexed REC Calculator'!I72</f>
        <v>0</v>
      </c>
      <c r="J53" s="181">
        <f>'Indexed REC Activities'!L53*'Indexed REC Calculator'!J72</f>
        <v>0</v>
      </c>
      <c r="K53" s="181">
        <f>'Indexed REC Activities'!M53*'Indexed REC Calculator'!K72</f>
        <v>0</v>
      </c>
      <c r="L53" s="181">
        <f>'Indexed REC Activities'!N53*'Indexed REC Calculator'!L72</f>
        <v>0</v>
      </c>
      <c r="M53" s="181">
        <f>'Indexed REC Activities'!O53*'Indexed REC Calculator'!M72</f>
        <v>0</v>
      </c>
      <c r="N53" s="181">
        <f>'Indexed REC Activities'!P53*'Indexed REC Calculator'!N72</f>
        <v>0</v>
      </c>
      <c r="O53" s="181">
        <f>'Indexed REC Activities'!Q53*'Indexed REC Calculator'!O72</f>
        <v>2124350.1984126987</v>
      </c>
      <c r="P53" s="181">
        <f>'Indexed REC Activities'!R53*'Indexed REC Calculator'!P72</f>
        <v>1993142.9365079363</v>
      </c>
      <c r="Q53" s="181">
        <f>'Indexed REC Activities'!S53*'Indexed REC Calculator'!Q72</f>
        <v>1904118.1272197417</v>
      </c>
      <c r="R53" s="181">
        <f>'Indexed REC Activities'!T53*'Indexed REC Calculator'!R72</f>
        <v>1832627.7270861235</v>
      </c>
      <c r="S53" s="181">
        <f>'Indexed REC Activities'!U53*'Indexed REC Calculator'!S72</f>
        <v>1758820.909009919</v>
      </c>
      <c r="T53" s="181">
        <f>'Indexed REC Activities'!V53*'Indexed REC Calculator'!T72</f>
        <v>1696602.9099709366</v>
      </c>
      <c r="U53" s="181">
        <f>'Indexed REC Activities'!W53*'Indexed REC Calculator'!U72</f>
        <v>1639091.0542489449</v>
      </c>
      <c r="V53" s="181">
        <f>'Indexed REC Activities'!X53*'Indexed REC Calculator'!V72</f>
        <v>1567555.8161887643</v>
      </c>
      <c r="W53" s="181">
        <f>'Indexed REC Activities'!Y53*'Indexed REC Calculator'!W72</f>
        <v>1508027.8907141341</v>
      </c>
      <c r="X53" s="181">
        <f>'Indexed REC Activities'!Z53*'Indexed REC Calculator'!X72</f>
        <v>-475938.65385832789</v>
      </c>
    </row>
    <row r="54" spans="1:24" ht="15.5" x14ac:dyDescent="0.35">
      <c r="A54" s="12" t="s">
        <v>82</v>
      </c>
      <c r="B54" s="11">
        <f t="shared" si="3"/>
        <v>2032</v>
      </c>
      <c r="C54" s="181">
        <f>'Indexed REC Activities'!E54*'Indexed REC Calculator'!C73</f>
        <v>0</v>
      </c>
      <c r="D54" s="181">
        <f>'Indexed REC Activities'!F54*'Indexed REC Calculator'!D73</f>
        <v>0</v>
      </c>
      <c r="E54" s="181">
        <f>'Indexed REC Activities'!G54*'Indexed REC Calculator'!E73</f>
        <v>0</v>
      </c>
      <c r="F54" s="181">
        <f>'Indexed REC Activities'!H54*'Indexed REC Calculator'!F73</f>
        <v>0</v>
      </c>
      <c r="G54" s="181">
        <f>'Indexed REC Activities'!I54*'Indexed REC Calculator'!G73</f>
        <v>0</v>
      </c>
      <c r="H54" s="181">
        <f>'Indexed REC Activities'!J54*'Indexed REC Calculator'!H73</f>
        <v>0</v>
      </c>
      <c r="I54" s="181">
        <f>'Indexed REC Activities'!K54*'Indexed REC Calculator'!I73</f>
        <v>0</v>
      </c>
      <c r="J54" s="181">
        <f>'Indexed REC Activities'!L54*'Indexed REC Calculator'!J73</f>
        <v>0</v>
      </c>
      <c r="K54" s="181">
        <f>'Indexed REC Activities'!M54*'Indexed REC Calculator'!K73</f>
        <v>0</v>
      </c>
      <c r="L54" s="181">
        <f>'Indexed REC Activities'!N54*'Indexed REC Calculator'!L73</f>
        <v>0</v>
      </c>
      <c r="M54" s="181">
        <f>'Indexed REC Activities'!O54*'Indexed REC Calculator'!M73</f>
        <v>0</v>
      </c>
      <c r="N54" s="181">
        <f>'Indexed REC Activities'!P54*'Indexed REC Calculator'!N73</f>
        <v>0</v>
      </c>
      <c r="O54" s="181">
        <f>'Indexed REC Activities'!Q54*'Indexed REC Calculator'!O73</f>
        <v>0</v>
      </c>
      <c r="P54" s="181">
        <f>'Indexed REC Activities'!R54*'Indexed REC Calculator'!P73</f>
        <v>2003158.7301587302</v>
      </c>
      <c r="Q54" s="181">
        <f>'Indexed REC Activities'!S54*'Indexed REC Calculator'!Q73</f>
        <v>1913686.560019841</v>
      </c>
      <c r="R54" s="181">
        <f>'Indexed REC Activities'!T54*'Indexed REC Calculator'!R73</f>
        <v>1841836.9116443454</v>
      </c>
      <c r="S54" s="181">
        <f>'Indexed REC Activities'!U54*'Indexed REC Calculator'!S73</f>
        <v>1767659.2050350944</v>
      </c>
      <c r="T54" s="181">
        <f>'Indexed REC Activities'!V54*'Indexed REC Calculator'!T73</f>
        <v>1705128.5527346097</v>
      </c>
      <c r="U54" s="181">
        <f>'Indexed REC Activities'!W54*'Indexed REC Calculator'!U73</f>
        <v>1647327.6927125074</v>
      </c>
      <c r="V54" s="181">
        <f>'Indexed REC Activities'!X54*'Indexed REC Calculator'!V73</f>
        <v>1575432.9810942353</v>
      </c>
      <c r="W54" s="181">
        <f>'Indexed REC Activities'!Y54*'Indexed REC Calculator'!W73</f>
        <v>1515605.9203157127</v>
      </c>
      <c r="X54" s="181">
        <f>'Indexed REC Activities'!Z54*'Indexed REC Calculator'!X73</f>
        <v>-478330.30538525415</v>
      </c>
    </row>
    <row r="55" spans="1:24" ht="15.5" x14ac:dyDescent="0.35">
      <c r="A55" s="12" t="s">
        <v>82</v>
      </c>
      <c r="B55" s="11">
        <f t="shared" si="3"/>
        <v>2033</v>
      </c>
      <c r="C55" s="181">
        <f>'Indexed REC Activities'!E55*'Indexed REC Calculator'!C74</f>
        <v>0</v>
      </c>
      <c r="D55" s="181">
        <f>'Indexed REC Activities'!F55*'Indexed REC Calculator'!D74</f>
        <v>0</v>
      </c>
      <c r="E55" s="181">
        <f>'Indexed REC Activities'!G55*'Indexed REC Calculator'!E74</f>
        <v>0</v>
      </c>
      <c r="F55" s="181">
        <f>'Indexed REC Activities'!H55*'Indexed REC Calculator'!F74</f>
        <v>0</v>
      </c>
      <c r="G55" s="181">
        <f>'Indexed REC Activities'!I55*'Indexed REC Calculator'!G74</f>
        <v>0</v>
      </c>
      <c r="H55" s="181">
        <f>'Indexed REC Activities'!J55*'Indexed REC Calculator'!H74</f>
        <v>0</v>
      </c>
      <c r="I55" s="181">
        <f>'Indexed REC Activities'!K55*'Indexed REC Calculator'!I74</f>
        <v>0</v>
      </c>
      <c r="J55" s="181">
        <f>'Indexed REC Activities'!L55*'Indexed REC Calculator'!J74</f>
        <v>0</v>
      </c>
      <c r="K55" s="181">
        <f>'Indexed REC Activities'!M55*'Indexed REC Calculator'!K74</f>
        <v>0</v>
      </c>
      <c r="L55" s="181">
        <f>'Indexed REC Activities'!N55*'Indexed REC Calculator'!L74</f>
        <v>0</v>
      </c>
      <c r="M55" s="181">
        <f>'Indexed REC Activities'!O55*'Indexed REC Calculator'!M74</f>
        <v>0</v>
      </c>
      <c r="N55" s="181">
        <f>'Indexed REC Activities'!P55*'Indexed REC Calculator'!N74</f>
        <v>0</v>
      </c>
      <c r="O55" s="181">
        <f>'Indexed REC Activities'!Q55*'Indexed REC Calculator'!O74</f>
        <v>0</v>
      </c>
      <c r="P55" s="181">
        <f>'Indexed REC Activities'!R55*'Indexed REC Calculator'!P74</f>
        <v>0</v>
      </c>
      <c r="Q55" s="181">
        <f>'Indexed REC Activities'!S55*'Indexed REC Calculator'!Q74</f>
        <v>1923303.0753968251</v>
      </c>
      <c r="R55" s="181">
        <f>'Indexed REC Activities'!T55*'Indexed REC Calculator'!R74</f>
        <v>1851092.3735119049</v>
      </c>
      <c r="S55" s="181">
        <f>'Indexed REC Activities'!U55*'Indexed REC Calculator'!S74</f>
        <v>1776541.9146081351</v>
      </c>
      <c r="T55" s="181">
        <f>'Indexed REC Activities'!V55*'Indexed REC Calculator'!T74</f>
        <v>1713697.0379242308</v>
      </c>
      <c r="U55" s="181">
        <f>'Indexed REC Activities'!W55*'Indexed REC Calculator'!U74</f>
        <v>1655605.7213191029</v>
      </c>
      <c r="V55" s="181">
        <f>'Indexed REC Activities'!X55*'Indexed REC Calculator'!V74</f>
        <v>1583349.7297429501</v>
      </c>
      <c r="W55" s="181">
        <f>'Indexed REC Activities'!Y55*'Indexed REC Calculator'!W74</f>
        <v>1523222.030468053</v>
      </c>
      <c r="X55" s="181">
        <f>'Indexed REC Activities'!Z55*'Indexed REC Calculator'!X74</f>
        <v>-480733.97526156198</v>
      </c>
    </row>
    <row r="56" spans="1:24" ht="15.5" x14ac:dyDescent="0.35">
      <c r="A56" s="12" t="s">
        <v>82</v>
      </c>
      <c r="B56" s="11">
        <f t="shared" si="3"/>
        <v>2034</v>
      </c>
      <c r="C56" s="181">
        <f>'Indexed REC Activities'!E56*'Indexed REC Calculator'!C75</f>
        <v>0</v>
      </c>
      <c r="D56" s="181">
        <f>'Indexed REC Activities'!F56*'Indexed REC Calculator'!D75</f>
        <v>0</v>
      </c>
      <c r="E56" s="181">
        <f>'Indexed REC Activities'!G56*'Indexed REC Calculator'!E75</f>
        <v>0</v>
      </c>
      <c r="F56" s="181">
        <f>'Indexed REC Activities'!H56*'Indexed REC Calculator'!F75</f>
        <v>0</v>
      </c>
      <c r="G56" s="181">
        <f>'Indexed REC Activities'!I56*'Indexed REC Calculator'!G75</f>
        <v>0</v>
      </c>
      <c r="H56" s="181">
        <f>'Indexed REC Activities'!J56*'Indexed REC Calculator'!H75</f>
        <v>0</v>
      </c>
      <c r="I56" s="181">
        <f>'Indexed REC Activities'!K56*'Indexed REC Calculator'!I75</f>
        <v>0</v>
      </c>
      <c r="J56" s="181">
        <f>'Indexed REC Activities'!L56*'Indexed REC Calculator'!J75</f>
        <v>0</v>
      </c>
      <c r="K56" s="181">
        <f>'Indexed REC Activities'!M56*'Indexed REC Calculator'!K75</f>
        <v>0</v>
      </c>
      <c r="L56" s="181">
        <f>'Indexed REC Activities'!N56*'Indexed REC Calculator'!L75</f>
        <v>0</v>
      </c>
      <c r="M56" s="181">
        <f>'Indexed REC Activities'!O56*'Indexed REC Calculator'!M75</f>
        <v>0</v>
      </c>
      <c r="N56" s="181">
        <f>'Indexed REC Activities'!P56*'Indexed REC Calculator'!N75</f>
        <v>0</v>
      </c>
      <c r="O56" s="181">
        <f>'Indexed REC Activities'!Q56*'Indexed REC Calculator'!O75</f>
        <v>0</v>
      </c>
      <c r="P56" s="181">
        <f>'Indexed REC Activities'!R56*'Indexed REC Calculator'!P75</f>
        <v>0</v>
      </c>
      <c r="Q56" s="181">
        <f>'Indexed REC Activities'!S56*'Indexed REC Calculator'!Q75</f>
        <v>0</v>
      </c>
      <c r="R56" s="181">
        <f>'Indexed REC Activities'!T56*'Indexed REC Calculator'!R75</f>
        <v>1860394.3452380954</v>
      </c>
      <c r="S56" s="181">
        <f>'Indexed REC Activities'!U56*'Indexed REC Calculator'!S75</f>
        <v>1785469.2609126985</v>
      </c>
      <c r="T56" s="181">
        <f>'Indexed REC Activities'!V56*'Indexed REC Calculator'!T75</f>
        <v>1722308.5808283726</v>
      </c>
      <c r="U56" s="181">
        <f>'Indexed REC Activities'!W56*'Indexed REC Calculator'!U75</f>
        <v>1663925.3480594</v>
      </c>
      <c r="V56" s="181">
        <f>'Indexed REC Activities'!X56*'Indexed REC Calculator'!V75</f>
        <v>1591306.2610481912</v>
      </c>
      <c r="W56" s="181">
        <f>'Indexed REC Activities'!Y56*'Indexed REC Calculator'!W75</f>
        <v>1530876.4125307065</v>
      </c>
      <c r="X56" s="181">
        <f>'Indexed REC Activities'!Z56*'Indexed REC Calculator'!X75</f>
        <v>-483149.72388096683</v>
      </c>
    </row>
    <row r="57" spans="1:24" ht="15.5" x14ac:dyDescent="0.35">
      <c r="A57" s="12" t="s">
        <v>82</v>
      </c>
      <c r="B57" s="11">
        <f t="shared" si="3"/>
        <v>2035</v>
      </c>
      <c r="C57" s="181">
        <f>'Indexed REC Activities'!E57*'Indexed REC Calculator'!C76</f>
        <v>0</v>
      </c>
      <c r="D57" s="181">
        <f>'Indexed REC Activities'!F57*'Indexed REC Calculator'!D76</f>
        <v>0</v>
      </c>
      <c r="E57" s="181">
        <f>'Indexed REC Activities'!G57*'Indexed REC Calculator'!E76</f>
        <v>0</v>
      </c>
      <c r="F57" s="181">
        <f>'Indexed REC Activities'!H57*'Indexed REC Calculator'!F76</f>
        <v>0</v>
      </c>
      <c r="G57" s="181">
        <f>'Indexed REC Activities'!I57*'Indexed REC Calculator'!G76</f>
        <v>0</v>
      </c>
      <c r="H57" s="181">
        <f>'Indexed REC Activities'!J57*'Indexed REC Calculator'!H76</f>
        <v>0</v>
      </c>
      <c r="I57" s="181">
        <f>'Indexed REC Activities'!K57*'Indexed REC Calculator'!I76</f>
        <v>0</v>
      </c>
      <c r="J57" s="181">
        <f>'Indexed REC Activities'!L57*'Indexed REC Calculator'!J76</f>
        <v>0</v>
      </c>
      <c r="K57" s="181">
        <f>'Indexed REC Activities'!M57*'Indexed REC Calculator'!K76</f>
        <v>0</v>
      </c>
      <c r="L57" s="181">
        <f>'Indexed REC Activities'!N57*'Indexed REC Calculator'!L76</f>
        <v>0</v>
      </c>
      <c r="M57" s="181">
        <f>'Indexed REC Activities'!O57*'Indexed REC Calculator'!M76</f>
        <v>0</v>
      </c>
      <c r="N57" s="181">
        <f>'Indexed REC Activities'!P57*'Indexed REC Calculator'!N76</f>
        <v>0</v>
      </c>
      <c r="O57" s="181">
        <f>'Indexed REC Activities'!Q57*'Indexed REC Calculator'!O76</f>
        <v>0</v>
      </c>
      <c r="P57" s="181">
        <f>'Indexed REC Activities'!R57*'Indexed REC Calculator'!P76</f>
        <v>0</v>
      </c>
      <c r="Q57" s="181">
        <f>'Indexed REC Activities'!S57*'Indexed REC Calculator'!Q76</f>
        <v>0</v>
      </c>
      <c r="R57" s="181">
        <f>'Indexed REC Activities'!T57*'Indexed REC Calculator'!R76</f>
        <v>0</v>
      </c>
      <c r="S57" s="181">
        <f>'Indexed REC Activities'!U57*'Indexed REC Calculator'!S76</f>
        <v>1794441.4682539683</v>
      </c>
      <c r="T57" s="181">
        <f>'Indexed REC Activities'!V57*'Indexed REC Calculator'!T76</f>
        <v>1730963.3978174599</v>
      </c>
      <c r="U57" s="181">
        <f>'Indexed REC Activities'!W57*'Indexed REC Calculator'!U76</f>
        <v>1672286.781969246</v>
      </c>
      <c r="V57" s="181">
        <f>'Indexed REC Activities'!X57*'Indexed REC Calculator'!V76</f>
        <v>1599302.7749228051</v>
      </c>
      <c r="W57" s="181">
        <f>'Indexed REC Activities'!Y57*'Indexed REC Calculator'!W76</f>
        <v>1538569.2588248306</v>
      </c>
      <c r="X57" s="181">
        <f>'Indexed REC Activities'!Z57*'Indexed REC Calculator'!X76</f>
        <v>-485577.61194067018</v>
      </c>
    </row>
    <row r="58" spans="1:24" ht="15.5" x14ac:dyDescent="0.35">
      <c r="A58" s="12" t="s">
        <v>82</v>
      </c>
      <c r="B58" s="11">
        <f t="shared" si="3"/>
        <v>2036</v>
      </c>
      <c r="C58" s="181">
        <f>'Indexed REC Activities'!E58*'Indexed REC Calculator'!C77</f>
        <v>0</v>
      </c>
      <c r="D58" s="181">
        <f>'Indexed REC Activities'!F58*'Indexed REC Calculator'!D77</f>
        <v>0</v>
      </c>
      <c r="E58" s="181">
        <f>'Indexed REC Activities'!G58*'Indexed REC Calculator'!E77</f>
        <v>0</v>
      </c>
      <c r="F58" s="181">
        <f>'Indexed REC Activities'!H58*'Indexed REC Calculator'!F77</f>
        <v>0</v>
      </c>
      <c r="G58" s="181">
        <f>'Indexed REC Activities'!I58*'Indexed REC Calculator'!G77</f>
        <v>0</v>
      </c>
      <c r="H58" s="181">
        <f>'Indexed REC Activities'!J58*'Indexed REC Calculator'!H77</f>
        <v>0</v>
      </c>
      <c r="I58" s="181">
        <f>'Indexed REC Activities'!K58*'Indexed REC Calculator'!I77</f>
        <v>0</v>
      </c>
      <c r="J58" s="181">
        <f>'Indexed REC Activities'!L58*'Indexed REC Calculator'!J77</f>
        <v>0</v>
      </c>
      <c r="K58" s="181">
        <f>'Indexed REC Activities'!M58*'Indexed REC Calculator'!K77</f>
        <v>0</v>
      </c>
      <c r="L58" s="181">
        <f>'Indexed REC Activities'!N58*'Indexed REC Calculator'!L77</f>
        <v>0</v>
      </c>
      <c r="M58" s="181">
        <f>'Indexed REC Activities'!O58*'Indexed REC Calculator'!M77</f>
        <v>0</v>
      </c>
      <c r="N58" s="181">
        <f>'Indexed REC Activities'!P58*'Indexed REC Calculator'!N77</f>
        <v>0</v>
      </c>
      <c r="O58" s="181">
        <f>'Indexed REC Activities'!Q58*'Indexed REC Calculator'!O77</f>
        <v>0</v>
      </c>
      <c r="P58" s="181">
        <f>'Indexed REC Activities'!R58*'Indexed REC Calculator'!P77</f>
        <v>0</v>
      </c>
      <c r="Q58" s="181">
        <f>'Indexed REC Activities'!S58*'Indexed REC Calculator'!Q77</f>
        <v>0</v>
      </c>
      <c r="R58" s="181">
        <f>'Indexed REC Activities'!T58*'Indexed REC Calculator'!R77</f>
        <v>0</v>
      </c>
      <c r="S58" s="181">
        <f>'Indexed REC Activities'!U58*'Indexed REC Calculator'!S77</f>
        <v>0</v>
      </c>
      <c r="T58" s="181">
        <f>'Indexed REC Activities'!V58*'Indexed REC Calculator'!T77</f>
        <v>1739661.7063492059</v>
      </c>
      <c r="U58" s="181">
        <f>'Indexed REC Activities'!W58*'Indexed REC Calculator'!U77</f>
        <v>1680690.2331349207</v>
      </c>
      <c r="V58" s="181">
        <f>'Indexed REC Activities'!X58*'Indexed REC Calculator'!V77</f>
        <v>1607339.4722842262</v>
      </c>
      <c r="W58" s="181">
        <f>'Indexed REC Activities'!Y58*'Indexed REC Calculator'!W77</f>
        <v>1546300.7626380208</v>
      </c>
      <c r="X58" s="181">
        <f>'Indexed REC Activities'!Z58*'Indexed REC Calculator'!X77</f>
        <v>-488017.70044288464</v>
      </c>
    </row>
    <row r="59" spans="1:24" ht="15.5" x14ac:dyDescent="0.35">
      <c r="A59" s="12" t="s">
        <v>82</v>
      </c>
      <c r="B59" s="11">
        <f t="shared" si="3"/>
        <v>2037</v>
      </c>
      <c r="C59" s="181">
        <f>'Indexed REC Activities'!E59*'Indexed REC Calculator'!C78</f>
        <v>0</v>
      </c>
      <c r="D59" s="181">
        <f>'Indexed REC Activities'!F59*'Indexed REC Calculator'!D78</f>
        <v>0</v>
      </c>
      <c r="E59" s="181">
        <f>'Indexed REC Activities'!G59*'Indexed REC Calculator'!E78</f>
        <v>0</v>
      </c>
      <c r="F59" s="181">
        <f>'Indexed REC Activities'!H59*'Indexed REC Calculator'!F78</f>
        <v>0</v>
      </c>
      <c r="G59" s="181">
        <f>'Indexed REC Activities'!I59*'Indexed REC Calculator'!G78</f>
        <v>0</v>
      </c>
      <c r="H59" s="181">
        <f>'Indexed REC Activities'!J59*'Indexed REC Calculator'!H78</f>
        <v>0</v>
      </c>
      <c r="I59" s="181">
        <f>'Indexed REC Activities'!K59*'Indexed REC Calculator'!I78</f>
        <v>0</v>
      </c>
      <c r="J59" s="181">
        <f>'Indexed REC Activities'!L59*'Indexed REC Calculator'!J78</f>
        <v>0</v>
      </c>
      <c r="K59" s="181">
        <f>'Indexed REC Activities'!M59*'Indexed REC Calculator'!K78</f>
        <v>0</v>
      </c>
      <c r="L59" s="181">
        <f>'Indexed REC Activities'!N59*'Indexed REC Calculator'!L78</f>
        <v>0</v>
      </c>
      <c r="M59" s="181">
        <f>'Indexed REC Activities'!O59*'Indexed REC Calculator'!M78</f>
        <v>0</v>
      </c>
      <c r="N59" s="181">
        <f>'Indexed REC Activities'!P59*'Indexed REC Calculator'!N78</f>
        <v>0</v>
      </c>
      <c r="O59" s="181">
        <f>'Indexed REC Activities'!Q59*'Indexed REC Calculator'!O78</f>
        <v>0</v>
      </c>
      <c r="P59" s="181">
        <f>'Indexed REC Activities'!R59*'Indexed REC Calculator'!P78</f>
        <v>0</v>
      </c>
      <c r="Q59" s="181">
        <f>'Indexed REC Activities'!S59*'Indexed REC Calculator'!Q78</f>
        <v>0</v>
      </c>
      <c r="R59" s="181">
        <f>'Indexed REC Activities'!T59*'Indexed REC Calculator'!R78</f>
        <v>0</v>
      </c>
      <c r="S59" s="181">
        <f>'Indexed REC Activities'!U59*'Indexed REC Calculator'!S78</f>
        <v>0</v>
      </c>
      <c r="T59" s="181">
        <f>'Indexed REC Activities'!V59*'Indexed REC Calculator'!T78</f>
        <v>0</v>
      </c>
      <c r="U59" s="181">
        <f>'Indexed REC Activities'!W59*'Indexed REC Calculator'!U78</f>
        <v>1689135.9126984128</v>
      </c>
      <c r="V59" s="181">
        <f>'Indexed REC Activities'!X59*'Indexed REC Calculator'!V78</f>
        <v>1615416.5550595238</v>
      </c>
      <c r="W59" s="181">
        <f>'Indexed REC Activities'!Y59*'Indexed REC Calculator'!W78</f>
        <v>1554071.1182291666</v>
      </c>
      <c r="X59" s="181">
        <f>'Indexed REC Activities'!Z59*'Indexed REC Calculator'!X78</f>
        <v>-490470.05069636641</v>
      </c>
    </row>
    <row r="60" spans="1:24" ht="15.5" x14ac:dyDescent="0.35">
      <c r="A60" s="12" t="s">
        <v>82</v>
      </c>
      <c r="B60" s="11">
        <f t="shared" si="3"/>
        <v>2038</v>
      </c>
      <c r="C60" s="181">
        <f>'Indexed REC Activities'!E60*'Indexed REC Calculator'!C79</f>
        <v>0</v>
      </c>
      <c r="D60" s="181">
        <f>'Indexed REC Activities'!F60*'Indexed REC Calculator'!D79</f>
        <v>0</v>
      </c>
      <c r="E60" s="181">
        <f>'Indexed REC Activities'!G60*'Indexed REC Calculator'!E79</f>
        <v>0</v>
      </c>
      <c r="F60" s="181">
        <f>'Indexed REC Activities'!H60*'Indexed REC Calculator'!F79</f>
        <v>0</v>
      </c>
      <c r="G60" s="181">
        <f>'Indexed REC Activities'!I60*'Indexed REC Calculator'!G79</f>
        <v>0</v>
      </c>
      <c r="H60" s="181">
        <f>'Indexed REC Activities'!J60*'Indexed REC Calculator'!H79</f>
        <v>0</v>
      </c>
      <c r="I60" s="181">
        <f>'Indexed REC Activities'!K60*'Indexed REC Calculator'!I79</f>
        <v>0</v>
      </c>
      <c r="J60" s="181">
        <f>'Indexed REC Activities'!L60*'Indexed REC Calculator'!J79</f>
        <v>0</v>
      </c>
      <c r="K60" s="181">
        <f>'Indexed REC Activities'!M60*'Indexed REC Calculator'!K79</f>
        <v>0</v>
      </c>
      <c r="L60" s="181">
        <f>'Indexed REC Activities'!N60*'Indexed REC Calculator'!L79</f>
        <v>0</v>
      </c>
      <c r="M60" s="181">
        <f>'Indexed REC Activities'!O60*'Indexed REC Calculator'!M79</f>
        <v>0</v>
      </c>
      <c r="N60" s="181">
        <f>'Indexed REC Activities'!P60*'Indexed REC Calculator'!N79</f>
        <v>0</v>
      </c>
      <c r="O60" s="181">
        <f>'Indexed REC Activities'!Q60*'Indexed REC Calculator'!O79</f>
        <v>0</v>
      </c>
      <c r="P60" s="181">
        <f>'Indexed REC Activities'!R60*'Indexed REC Calculator'!P79</f>
        <v>0</v>
      </c>
      <c r="Q60" s="181">
        <f>'Indexed REC Activities'!S60*'Indexed REC Calculator'!Q79</f>
        <v>0</v>
      </c>
      <c r="R60" s="181">
        <f>'Indexed REC Activities'!T60*'Indexed REC Calculator'!R79</f>
        <v>0</v>
      </c>
      <c r="S60" s="181">
        <f>'Indexed REC Activities'!U60*'Indexed REC Calculator'!S79</f>
        <v>0</v>
      </c>
      <c r="T60" s="181">
        <f>'Indexed REC Activities'!V60*'Indexed REC Calculator'!T79</f>
        <v>0</v>
      </c>
      <c r="U60" s="181">
        <f>'Indexed REC Activities'!W60*'Indexed REC Calculator'!U79</f>
        <v>0</v>
      </c>
      <c r="V60" s="181">
        <f>'Indexed REC Activities'!X60*'Indexed REC Calculator'!V79</f>
        <v>1623534.2261904762</v>
      </c>
      <c r="W60" s="181">
        <f>'Indexed REC Activities'!Y60*'Indexed REC Calculator'!W79</f>
        <v>1561880.5208333333</v>
      </c>
      <c r="X60" s="181">
        <f>'Indexed REC Activities'!Z60*'Indexed REC Calculator'!X79</f>
        <v>-492934.72431795619</v>
      </c>
    </row>
    <row r="61" spans="1:24" ht="15.5" x14ac:dyDescent="0.35">
      <c r="A61" s="12" t="s">
        <v>82</v>
      </c>
      <c r="B61" s="11">
        <f t="shared" si="3"/>
        <v>2039</v>
      </c>
      <c r="C61" s="181">
        <f>'Indexed REC Activities'!E61*'Indexed REC Calculator'!C80</f>
        <v>0</v>
      </c>
      <c r="D61" s="181">
        <f>'Indexed REC Activities'!F61*'Indexed REC Calculator'!D80</f>
        <v>0</v>
      </c>
      <c r="E61" s="181">
        <f>'Indexed REC Activities'!G61*'Indexed REC Calculator'!E80</f>
        <v>0</v>
      </c>
      <c r="F61" s="181">
        <f>'Indexed REC Activities'!H61*'Indexed REC Calculator'!F80</f>
        <v>0</v>
      </c>
      <c r="G61" s="181">
        <f>'Indexed REC Activities'!I61*'Indexed REC Calculator'!G80</f>
        <v>0</v>
      </c>
      <c r="H61" s="181">
        <f>'Indexed REC Activities'!J61*'Indexed REC Calculator'!H80</f>
        <v>0</v>
      </c>
      <c r="I61" s="181">
        <f>'Indexed REC Activities'!K61*'Indexed REC Calculator'!I80</f>
        <v>0</v>
      </c>
      <c r="J61" s="181">
        <f>'Indexed REC Activities'!L61*'Indexed REC Calculator'!J80</f>
        <v>0</v>
      </c>
      <c r="K61" s="181">
        <f>'Indexed REC Activities'!M61*'Indexed REC Calculator'!K80</f>
        <v>0</v>
      </c>
      <c r="L61" s="181">
        <f>'Indexed REC Activities'!N61*'Indexed REC Calculator'!L80</f>
        <v>0</v>
      </c>
      <c r="M61" s="181">
        <f>'Indexed REC Activities'!O61*'Indexed REC Calculator'!M80</f>
        <v>0</v>
      </c>
      <c r="N61" s="181">
        <f>'Indexed REC Activities'!P61*'Indexed REC Calculator'!N80</f>
        <v>0</v>
      </c>
      <c r="O61" s="181">
        <f>'Indexed REC Activities'!Q61*'Indexed REC Calculator'!O80</f>
        <v>0</v>
      </c>
      <c r="P61" s="181">
        <f>'Indexed REC Activities'!R61*'Indexed REC Calculator'!P80</f>
        <v>0</v>
      </c>
      <c r="Q61" s="181">
        <f>'Indexed REC Activities'!S61*'Indexed REC Calculator'!Q80</f>
        <v>0</v>
      </c>
      <c r="R61" s="181">
        <f>'Indexed REC Activities'!T61*'Indexed REC Calculator'!R80</f>
        <v>0</v>
      </c>
      <c r="S61" s="181">
        <f>'Indexed REC Activities'!U61*'Indexed REC Calculator'!S80</f>
        <v>0</v>
      </c>
      <c r="T61" s="181">
        <f>'Indexed REC Activities'!V61*'Indexed REC Calculator'!T80</f>
        <v>0</v>
      </c>
      <c r="U61" s="181">
        <f>'Indexed REC Activities'!W61*'Indexed REC Calculator'!U80</f>
        <v>0</v>
      </c>
      <c r="V61" s="181">
        <f>'Indexed REC Activities'!X61*'Indexed REC Calculator'!V80</f>
        <v>0</v>
      </c>
      <c r="W61" s="181">
        <f>'Indexed REC Activities'!Y61*'Indexed REC Calculator'!W80</f>
        <v>1569729.1666666665</v>
      </c>
      <c r="X61" s="181">
        <f>'Indexed REC Activities'!Z61*'Indexed REC Calculator'!X80</f>
        <v>-495411.78323412681</v>
      </c>
    </row>
    <row r="62" spans="1:24" ht="15.5" x14ac:dyDescent="0.35">
      <c r="A62" s="12" t="s">
        <v>82</v>
      </c>
      <c r="B62" s="11">
        <f t="shared" si="3"/>
        <v>2040</v>
      </c>
      <c r="C62" s="181">
        <f>'Indexed REC Activities'!E62*'Indexed REC Calculator'!C81</f>
        <v>0</v>
      </c>
      <c r="D62" s="181">
        <f>'Indexed REC Activities'!F62*'Indexed REC Calculator'!D81</f>
        <v>0</v>
      </c>
      <c r="E62" s="181">
        <f>'Indexed REC Activities'!G62*'Indexed REC Calculator'!E81</f>
        <v>0</v>
      </c>
      <c r="F62" s="181">
        <f>'Indexed REC Activities'!H62*'Indexed REC Calculator'!F81</f>
        <v>0</v>
      </c>
      <c r="G62" s="181">
        <f>'Indexed REC Activities'!I62*'Indexed REC Calculator'!G81</f>
        <v>0</v>
      </c>
      <c r="H62" s="181">
        <f>'Indexed REC Activities'!J62*'Indexed REC Calculator'!H81</f>
        <v>0</v>
      </c>
      <c r="I62" s="181">
        <f>'Indexed REC Activities'!K62*'Indexed REC Calculator'!I81</f>
        <v>0</v>
      </c>
      <c r="J62" s="181">
        <f>'Indexed REC Activities'!L62*'Indexed REC Calculator'!J81</f>
        <v>0</v>
      </c>
      <c r="K62" s="181">
        <f>'Indexed REC Activities'!M62*'Indexed REC Calculator'!K81</f>
        <v>0</v>
      </c>
      <c r="L62" s="181">
        <f>'Indexed REC Activities'!N62*'Indexed REC Calculator'!L81</f>
        <v>0</v>
      </c>
      <c r="M62" s="181">
        <f>'Indexed REC Activities'!O62*'Indexed REC Calculator'!M81</f>
        <v>0</v>
      </c>
      <c r="N62" s="181">
        <f>'Indexed REC Activities'!P62*'Indexed REC Calculator'!N81</f>
        <v>0</v>
      </c>
      <c r="O62" s="181">
        <f>'Indexed REC Activities'!Q62*'Indexed REC Calculator'!O81</f>
        <v>0</v>
      </c>
      <c r="P62" s="181">
        <f>'Indexed REC Activities'!R62*'Indexed REC Calculator'!P81</f>
        <v>0</v>
      </c>
      <c r="Q62" s="181">
        <f>'Indexed REC Activities'!S62*'Indexed REC Calculator'!Q81</f>
        <v>0</v>
      </c>
      <c r="R62" s="181">
        <f>'Indexed REC Activities'!T62*'Indexed REC Calculator'!R81</f>
        <v>0</v>
      </c>
      <c r="S62" s="181">
        <f>'Indexed REC Activities'!U62*'Indexed REC Calculator'!S81</f>
        <v>0</v>
      </c>
      <c r="T62" s="181">
        <f>'Indexed REC Activities'!V62*'Indexed REC Calculator'!T81</f>
        <v>0</v>
      </c>
      <c r="U62" s="181">
        <f>'Indexed REC Activities'!W62*'Indexed REC Calculator'!U81</f>
        <v>0</v>
      </c>
      <c r="V62" s="181">
        <f>'Indexed REC Activities'!X62*'Indexed REC Calculator'!V81</f>
        <v>0</v>
      </c>
      <c r="W62" s="181">
        <f>'Indexed REC Activities'!Y62*'Indexed REC Calculator'!W81</f>
        <v>0</v>
      </c>
      <c r="X62" s="181">
        <f>'Indexed REC Activities'!Z62*'Indexed REC Calculator'!X81</f>
        <v>-497901.28968253953</v>
      </c>
    </row>
    <row r="63" spans="1:24" ht="15.5" x14ac:dyDescent="0.35">
      <c r="A63" s="12" t="s">
        <v>82</v>
      </c>
      <c r="B63" s="11">
        <f t="shared" si="3"/>
        <v>2041</v>
      </c>
      <c r="C63" s="181">
        <f>'Indexed REC Activities'!E63*'Indexed REC Calculator'!C82</f>
        <v>0</v>
      </c>
      <c r="D63" s="181">
        <f>'Indexed REC Activities'!F63*'Indexed REC Calculator'!D82</f>
        <v>0</v>
      </c>
      <c r="E63" s="181">
        <f>'Indexed REC Activities'!G63*'Indexed REC Calculator'!E82</f>
        <v>0</v>
      </c>
      <c r="F63" s="181">
        <f>'Indexed REC Activities'!H63*'Indexed REC Calculator'!F82</f>
        <v>0</v>
      </c>
      <c r="G63" s="181">
        <f>'Indexed REC Activities'!I63*'Indexed REC Calculator'!G82</f>
        <v>0</v>
      </c>
      <c r="H63" s="181">
        <f>'Indexed REC Activities'!J63*'Indexed REC Calculator'!H82</f>
        <v>0</v>
      </c>
      <c r="I63" s="181">
        <f>'Indexed REC Activities'!K63*'Indexed REC Calculator'!I82</f>
        <v>0</v>
      </c>
      <c r="J63" s="181">
        <f>'Indexed REC Activities'!L63*'Indexed REC Calculator'!J82</f>
        <v>0</v>
      </c>
      <c r="K63" s="181">
        <f>'Indexed REC Activities'!M63*'Indexed REC Calculator'!K82</f>
        <v>0</v>
      </c>
      <c r="L63" s="181">
        <f>'Indexed REC Activities'!N63*'Indexed REC Calculator'!L82</f>
        <v>0</v>
      </c>
      <c r="M63" s="181">
        <f>'Indexed REC Activities'!O63*'Indexed REC Calculator'!M82</f>
        <v>0</v>
      </c>
      <c r="N63" s="181">
        <f>'Indexed REC Activities'!P63*'Indexed REC Calculator'!N82</f>
        <v>0</v>
      </c>
      <c r="O63" s="181">
        <f>'Indexed REC Activities'!Q63*'Indexed REC Calculator'!O82</f>
        <v>0</v>
      </c>
      <c r="P63" s="181">
        <f>'Indexed REC Activities'!R63*'Indexed REC Calculator'!P82</f>
        <v>0</v>
      </c>
      <c r="Q63" s="181">
        <f>'Indexed REC Activities'!S63*'Indexed REC Calculator'!Q82</f>
        <v>0</v>
      </c>
      <c r="R63" s="181">
        <f>'Indexed REC Activities'!T63*'Indexed REC Calculator'!R82</f>
        <v>0</v>
      </c>
      <c r="S63" s="181">
        <f>'Indexed REC Activities'!U63*'Indexed REC Calculator'!S82</f>
        <v>0</v>
      </c>
      <c r="T63" s="181">
        <f>'Indexed REC Activities'!V63*'Indexed REC Calculator'!T82</f>
        <v>0</v>
      </c>
      <c r="U63" s="181">
        <f>'Indexed REC Activities'!W63*'Indexed REC Calculator'!U82</f>
        <v>0</v>
      </c>
      <c r="V63" s="181">
        <f>'Indexed REC Activities'!X63*'Indexed REC Calculator'!V82</f>
        <v>0</v>
      </c>
      <c r="W63" s="181">
        <f>'Indexed REC Activities'!Y63*'Indexed REC Calculator'!W82</f>
        <v>0</v>
      </c>
      <c r="X63" s="181">
        <f>'Indexed REC Activities'!Z63*'Indexed REC Calculator'!X82</f>
        <v>0</v>
      </c>
    </row>
    <row r="64" spans="1:24" ht="15.5" x14ac:dyDescent="0.35">
      <c r="A64" s="12" t="s">
        <v>82</v>
      </c>
      <c r="B64" s="11">
        <f t="shared" si="3"/>
        <v>2042</v>
      </c>
      <c r="C64" s="181">
        <f>'Indexed REC Activities'!E64*'Indexed REC Calculator'!C83</f>
        <v>0</v>
      </c>
      <c r="D64" s="181">
        <f>'Indexed REC Activities'!F64*'Indexed REC Calculator'!D83</f>
        <v>0</v>
      </c>
      <c r="E64" s="181">
        <f>'Indexed REC Activities'!G64*'Indexed REC Calculator'!E83</f>
        <v>0</v>
      </c>
      <c r="F64" s="181">
        <f>'Indexed REC Activities'!H64*'Indexed REC Calculator'!F83</f>
        <v>0</v>
      </c>
      <c r="G64" s="181">
        <f>'Indexed REC Activities'!I64*'Indexed REC Calculator'!G83</f>
        <v>0</v>
      </c>
      <c r="H64" s="181">
        <f>'Indexed REC Activities'!J64*'Indexed REC Calculator'!H83</f>
        <v>0</v>
      </c>
      <c r="I64" s="181">
        <f>'Indexed REC Activities'!K64*'Indexed REC Calculator'!I83</f>
        <v>0</v>
      </c>
      <c r="J64" s="181">
        <f>'Indexed REC Activities'!L64*'Indexed REC Calculator'!J83</f>
        <v>0</v>
      </c>
      <c r="K64" s="181">
        <f>'Indexed REC Activities'!M64*'Indexed REC Calculator'!K83</f>
        <v>0</v>
      </c>
      <c r="L64" s="181">
        <f>'Indexed REC Activities'!N64*'Indexed REC Calculator'!L83</f>
        <v>0</v>
      </c>
      <c r="M64" s="181">
        <f>'Indexed REC Activities'!O64*'Indexed REC Calculator'!M83</f>
        <v>0</v>
      </c>
      <c r="N64" s="181">
        <f>'Indexed REC Activities'!P64*'Indexed REC Calculator'!N83</f>
        <v>0</v>
      </c>
      <c r="O64" s="181">
        <f>'Indexed REC Activities'!Q64*'Indexed REC Calculator'!O83</f>
        <v>0</v>
      </c>
      <c r="P64" s="181">
        <f>'Indexed REC Activities'!R64*'Indexed REC Calculator'!P83</f>
        <v>0</v>
      </c>
      <c r="Q64" s="181">
        <f>'Indexed REC Activities'!S64*'Indexed REC Calculator'!Q83</f>
        <v>0</v>
      </c>
      <c r="R64" s="181">
        <f>'Indexed REC Activities'!T64*'Indexed REC Calculator'!R83</f>
        <v>0</v>
      </c>
      <c r="S64" s="181">
        <f>'Indexed REC Activities'!U64*'Indexed REC Calculator'!S83</f>
        <v>0</v>
      </c>
      <c r="T64" s="181">
        <f>'Indexed REC Activities'!V64*'Indexed REC Calculator'!T83</f>
        <v>0</v>
      </c>
      <c r="U64" s="181">
        <f>'Indexed REC Activities'!W64*'Indexed REC Calculator'!U83</f>
        <v>0</v>
      </c>
      <c r="V64" s="181">
        <f>'Indexed REC Activities'!X64*'Indexed REC Calculator'!V83</f>
        <v>0</v>
      </c>
      <c r="W64" s="181">
        <f>'Indexed REC Activities'!Y64*'Indexed REC Calculator'!W83</f>
        <v>0</v>
      </c>
      <c r="X64" s="181">
        <f>'Indexed REC Activities'!Z64*'Indexed REC Calculator'!X83</f>
        <v>0</v>
      </c>
    </row>
    <row r="67" spans="1:24" ht="15.5" x14ac:dyDescent="0.35">
      <c r="A67" s="177" t="s">
        <v>102</v>
      </c>
      <c r="C67" s="220">
        <v>2022</v>
      </c>
      <c r="D67" s="220">
        <f t="shared" ref="D67:W67" si="4">C67+1</f>
        <v>2023</v>
      </c>
      <c r="E67" s="220">
        <f t="shared" si="4"/>
        <v>2024</v>
      </c>
      <c r="F67" s="220">
        <f t="shared" si="4"/>
        <v>2025</v>
      </c>
      <c r="G67" s="220">
        <f t="shared" si="4"/>
        <v>2026</v>
      </c>
      <c r="H67" s="220">
        <f t="shared" si="4"/>
        <v>2027</v>
      </c>
      <c r="I67" s="220">
        <f t="shared" si="4"/>
        <v>2028</v>
      </c>
      <c r="J67" s="220">
        <f t="shared" si="4"/>
        <v>2029</v>
      </c>
      <c r="K67" s="220">
        <f t="shared" si="4"/>
        <v>2030</v>
      </c>
      <c r="L67" s="220">
        <f t="shared" si="4"/>
        <v>2031</v>
      </c>
      <c r="M67" s="220">
        <f t="shared" si="4"/>
        <v>2032</v>
      </c>
      <c r="N67" s="220">
        <f t="shared" si="4"/>
        <v>2033</v>
      </c>
      <c r="O67" s="220">
        <f t="shared" si="4"/>
        <v>2034</v>
      </c>
      <c r="P67" s="220">
        <f t="shared" si="4"/>
        <v>2035</v>
      </c>
      <c r="Q67" s="220">
        <f t="shared" si="4"/>
        <v>2036</v>
      </c>
      <c r="R67" s="220">
        <f t="shared" si="4"/>
        <v>2037</v>
      </c>
      <c r="S67" s="220">
        <f t="shared" si="4"/>
        <v>2038</v>
      </c>
      <c r="T67" s="220">
        <f t="shared" si="4"/>
        <v>2039</v>
      </c>
      <c r="U67" s="220">
        <f t="shared" si="4"/>
        <v>2040</v>
      </c>
      <c r="V67" s="220">
        <f t="shared" si="4"/>
        <v>2041</v>
      </c>
      <c r="W67" s="220">
        <f t="shared" si="4"/>
        <v>2042</v>
      </c>
      <c r="X67" s="220">
        <f t="shared" ref="X67" si="5">W67+1</f>
        <v>2043</v>
      </c>
    </row>
    <row r="68" spans="1:24" x14ac:dyDescent="0.35">
      <c r="A68" s="12" t="s">
        <v>86</v>
      </c>
      <c r="C68" s="181">
        <f t="shared" ref="C68:X68" si="6">IFERROR(SUMIF($A$2:$A$64,$A$68, C2:C64),"error")</f>
        <v>0</v>
      </c>
      <c r="D68" s="181">
        <f t="shared" si="6"/>
        <v>0</v>
      </c>
      <c r="E68" s="181">
        <f t="shared" si="6"/>
        <v>0</v>
      </c>
      <c r="F68" s="181">
        <f t="shared" si="6"/>
        <v>3376103.3730158722</v>
      </c>
      <c r="G68" s="181">
        <f t="shared" si="6"/>
        <v>1695757.1428571462</v>
      </c>
      <c r="H68" s="181">
        <f t="shared" si="6"/>
        <v>34793060.253035717</v>
      </c>
      <c r="I68" s="181">
        <f t="shared" si="6"/>
        <v>29094121.437013768</v>
      </c>
      <c r="J68" s="181">
        <f t="shared" si="6"/>
        <v>30178470.732003801</v>
      </c>
      <c r="K68" s="181">
        <f t="shared" si="6"/>
        <v>-9728823.896369135</v>
      </c>
      <c r="L68" s="181">
        <f t="shared" si="6"/>
        <v>6253887.9413296077</v>
      </c>
      <c r="M68" s="181">
        <f t="shared" si="6"/>
        <v>67801007.03458336</v>
      </c>
      <c r="N68" s="181">
        <f t="shared" si="6"/>
        <v>79797504.794553548</v>
      </c>
      <c r="O68" s="181">
        <f t="shared" si="6"/>
        <v>59516045.9956946</v>
      </c>
      <c r="P68" s="181">
        <f t="shared" si="6"/>
        <v>9182653.1584920883</v>
      </c>
      <c r="Q68" s="181">
        <f t="shared" si="6"/>
        <v>-26668787.865863185</v>
      </c>
      <c r="R68" s="181">
        <f t="shared" si="6"/>
        <v>-58097251.448005848</v>
      </c>
      <c r="S68" s="181">
        <f t="shared" si="6"/>
        <v>-93535023.124543518</v>
      </c>
      <c r="T68" s="181">
        <f t="shared" si="6"/>
        <v>-125907750.82910733</v>
      </c>
      <c r="U68" s="181">
        <f t="shared" si="6"/>
        <v>-158215211.53049591</v>
      </c>
      <c r="V68" s="181">
        <f t="shared" si="6"/>
        <v>-212585989.84532732</v>
      </c>
      <c r="W68" s="181">
        <f t="shared" si="6"/>
        <v>-239363669.66124991</v>
      </c>
      <c r="X68" s="181">
        <f t="shared" si="6"/>
        <v>-293978796.08487111</v>
      </c>
    </row>
    <row r="69" spans="1:24" x14ac:dyDescent="0.35">
      <c r="A69" s="12" t="s">
        <v>87</v>
      </c>
      <c r="C69" s="181">
        <f t="shared" ref="C69:X69" si="7">IFERROR(SUMIF($A$2:$A$64,$A$69, C2:C64),"error")</f>
        <v>0</v>
      </c>
      <c r="D69" s="181">
        <f t="shared" si="7"/>
        <v>0</v>
      </c>
      <c r="E69" s="181">
        <f t="shared" si="7"/>
        <v>0</v>
      </c>
      <c r="F69" s="181">
        <f t="shared" si="7"/>
        <v>32476195.839196421</v>
      </c>
      <c r="G69" s="181">
        <f t="shared" si="7"/>
        <v>79151042.051132172</v>
      </c>
      <c r="H69" s="181">
        <f t="shared" si="7"/>
        <v>91296319.176534846</v>
      </c>
      <c r="I69" s="181">
        <f t="shared" si="7"/>
        <v>101045280.21697015</v>
      </c>
      <c r="J69" s="181">
        <f t="shared" si="7"/>
        <v>115760225.45795025</v>
      </c>
      <c r="K69" s="181">
        <f t="shared" si="7"/>
        <v>103608671.34634663</v>
      </c>
      <c r="L69" s="181">
        <f t="shared" si="7"/>
        <v>123641066.18100776</v>
      </c>
      <c r="M69" s="181">
        <f t="shared" si="7"/>
        <v>169160851.9451139</v>
      </c>
      <c r="N69" s="181">
        <f t="shared" si="7"/>
        <v>186163043.29395032</v>
      </c>
      <c r="O69" s="181">
        <f t="shared" si="7"/>
        <v>180010149.41234091</v>
      </c>
      <c r="P69" s="181">
        <f t="shared" si="7"/>
        <v>154668216.74803317</v>
      </c>
      <c r="Q69" s="181">
        <f t="shared" si="7"/>
        <v>137958166.03123245</v>
      </c>
      <c r="R69" s="181">
        <f t="shared" si="7"/>
        <v>124190286.73538655</v>
      </c>
      <c r="S69" s="181">
        <f t="shared" si="7"/>
        <v>107735269.8669259</v>
      </c>
      <c r="T69" s="181">
        <f t="shared" si="7"/>
        <v>93176843.287050143</v>
      </c>
      <c r="U69" s="181">
        <f t="shared" si="7"/>
        <v>78599341.510511771</v>
      </c>
      <c r="V69" s="181">
        <f t="shared" si="7"/>
        <v>57287374.118884765</v>
      </c>
      <c r="W69" s="181">
        <f t="shared" si="7"/>
        <v>38595306.636110991</v>
      </c>
      <c r="X69" s="181">
        <f t="shared" si="7"/>
        <v>-190878817.06238759</v>
      </c>
    </row>
    <row r="70" spans="1:24" x14ac:dyDescent="0.35">
      <c r="A70" s="12" t="s">
        <v>82</v>
      </c>
      <c r="C70" s="181">
        <f t="shared" ref="C70:X70" si="8">IFERROR(SUMIF($A$2:$A$64,$A$70, C2:C64),"error")</f>
        <v>0</v>
      </c>
      <c r="D70" s="181">
        <f t="shared" si="8"/>
        <v>0</v>
      </c>
      <c r="E70" s="181">
        <f t="shared" si="8"/>
        <v>0</v>
      </c>
      <c r="F70" s="181">
        <f t="shared" si="8"/>
        <v>2756889.4830357139</v>
      </c>
      <c r="G70" s="181">
        <f t="shared" si="8"/>
        <v>7635066.2111785719</v>
      </c>
      <c r="H70" s="181">
        <f t="shared" si="8"/>
        <v>11158237.894985897</v>
      </c>
      <c r="I70" s="181">
        <f t="shared" si="8"/>
        <v>14343848.813810011</v>
      </c>
      <c r="J70" s="181">
        <f t="shared" si="8"/>
        <v>17736406.769978818</v>
      </c>
      <c r="K70" s="181">
        <f t="shared" si="8"/>
        <v>19749472.130945548</v>
      </c>
      <c r="L70" s="181">
        <f t="shared" si="8"/>
        <v>23603564.370542318</v>
      </c>
      <c r="M70" s="181">
        <f t="shared" si="8"/>
        <v>28950490.587364689</v>
      </c>
      <c r="N70" s="181">
        <f t="shared" si="8"/>
        <v>31438418.357041821</v>
      </c>
      <c r="O70" s="181">
        <f t="shared" si="8"/>
        <v>32591967.559711337</v>
      </c>
      <c r="P70" s="181">
        <f t="shared" si="8"/>
        <v>32606726.89763293</v>
      </c>
      <c r="Q70" s="181">
        <f t="shared" si="8"/>
        <v>33090732.83871885</v>
      </c>
      <c r="R70" s="181">
        <f t="shared" si="8"/>
        <v>33722690.872608975</v>
      </c>
      <c r="S70" s="181">
        <f t="shared" si="8"/>
        <v>34174047.609755479</v>
      </c>
      <c r="T70" s="181">
        <f t="shared" si="8"/>
        <v>34717707.314366087</v>
      </c>
      <c r="U70" s="181">
        <f t="shared" si="8"/>
        <v>35242184.848619774</v>
      </c>
      <c r="V70" s="181">
        <f t="shared" si="8"/>
        <v>35343883.009717047</v>
      </c>
      <c r="W70" s="181">
        <f t="shared" si="8"/>
        <v>35585222.861488581</v>
      </c>
      <c r="X70" s="181">
        <f t="shared" si="8"/>
        <v>-11600005.967042726</v>
      </c>
    </row>
    <row r="71" spans="1:24" x14ac:dyDescent="0.35">
      <c r="A71" s="14" t="s">
        <v>103</v>
      </c>
      <c r="C71" s="181">
        <f t="shared" ref="C71:X71" si="9">SUM(C68:C70)</f>
        <v>0</v>
      </c>
      <c r="D71" s="181">
        <f t="shared" si="9"/>
        <v>0</v>
      </c>
      <c r="E71" s="181">
        <f t="shared" si="9"/>
        <v>0</v>
      </c>
      <c r="F71" s="181">
        <f t="shared" si="9"/>
        <v>38609188.695248008</v>
      </c>
      <c r="G71" s="181">
        <f t="shared" si="9"/>
        <v>88481865.405167893</v>
      </c>
      <c r="H71" s="181">
        <f t="shared" si="9"/>
        <v>137247617.32455644</v>
      </c>
      <c r="I71" s="181">
        <f t="shared" si="9"/>
        <v>144483250.46779394</v>
      </c>
      <c r="J71" s="181">
        <f t="shared" si="9"/>
        <v>163675102.95993286</v>
      </c>
      <c r="K71" s="181">
        <f t="shared" si="9"/>
        <v>113629319.58092305</v>
      </c>
      <c r="L71" s="181">
        <f t="shared" si="9"/>
        <v>153498518.49287969</v>
      </c>
      <c r="M71" s="181">
        <f t="shared" si="9"/>
        <v>265912349.56706196</v>
      </c>
      <c r="N71" s="181">
        <f t="shared" si="9"/>
        <v>297398966.44554567</v>
      </c>
      <c r="O71" s="181">
        <f t="shared" si="9"/>
        <v>272118162.96774685</v>
      </c>
      <c r="P71" s="181">
        <f t="shared" si="9"/>
        <v>196457596.80415818</v>
      </c>
      <c r="Q71" s="181">
        <f t="shared" si="9"/>
        <v>144380111.0040881</v>
      </c>
      <c r="R71" s="181">
        <f t="shared" si="9"/>
        <v>99815726.159989685</v>
      </c>
      <c r="S71" s="181">
        <f t="shared" si="9"/>
        <v>48374294.352137856</v>
      </c>
      <c r="T71" s="181">
        <f t="shared" si="9"/>
        <v>1986799.772308901</v>
      </c>
      <c r="U71" s="181">
        <f t="shared" si="9"/>
        <v>-44373685.171364367</v>
      </c>
      <c r="V71" s="181">
        <f t="shared" si="9"/>
        <v>-119954732.7167255</v>
      </c>
      <c r="W71" s="181">
        <f t="shared" si="9"/>
        <v>-165183140.16365033</v>
      </c>
      <c r="X71" s="181">
        <f t="shared" si="9"/>
        <v>-496457619.11430144</v>
      </c>
    </row>
    <row r="73" spans="1:24" ht="15.5" x14ac:dyDescent="0.35">
      <c r="A73" s="177" t="s">
        <v>90</v>
      </c>
      <c r="C73" s="220">
        <v>2022</v>
      </c>
      <c r="D73" s="220">
        <f>C73+1</f>
        <v>2023</v>
      </c>
      <c r="E73" s="220">
        <f t="shared" ref="E73:W73" si="10">D73+1</f>
        <v>2024</v>
      </c>
      <c r="F73" s="220">
        <f t="shared" si="10"/>
        <v>2025</v>
      </c>
      <c r="G73" s="220">
        <f t="shared" si="10"/>
        <v>2026</v>
      </c>
      <c r="H73" s="220">
        <f t="shared" si="10"/>
        <v>2027</v>
      </c>
      <c r="I73" s="220">
        <f t="shared" si="10"/>
        <v>2028</v>
      </c>
      <c r="J73" s="220">
        <f t="shared" si="10"/>
        <v>2029</v>
      </c>
      <c r="K73" s="220">
        <f t="shared" si="10"/>
        <v>2030</v>
      </c>
      <c r="L73" s="220">
        <f t="shared" si="10"/>
        <v>2031</v>
      </c>
      <c r="M73" s="220">
        <f t="shared" si="10"/>
        <v>2032</v>
      </c>
      <c r="N73" s="220">
        <f t="shared" si="10"/>
        <v>2033</v>
      </c>
      <c r="O73" s="220">
        <f t="shared" si="10"/>
        <v>2034</v>
      </c>
      <c r="P73" s="220">
        <f t="shared" si="10"/>
        <v>2035</v>
      </c>
      <c r="Q73" s="220">
        <f t="shared" si="10"/>
        <v>2036</v>
      </c>
      <c r="R73" s="220">
        <f t="shared" si="10"/>
        <v>2037</v>
      </c>
      <c r="S73" s="220">
        <f t="shared" si="10"/>
        <v>2038</v>
      </c>
      <c r="T73" s="220">
        <f t="shared" si="10"/>
        <v>2039</v>
      </c>
      <c r="U73" s="220">
        <f t="shared" si="10"/>
        <v>2040</v>
      </c>
      <c r="V73" s="220">
        <f t="shared" si="10"/>
        <v>2041</v>
      </c>
      <c r="W73" s="220">
        <f t="shared" si="10"/>
        <v>2042</v>
      </c>
      <c r="X73" s="220">
        <f t="shared" ref="X73" si="11">W73+1</f>
        <v>2043</v>
      </c>
    </row>
    <row r="74" spans="1:24" x14ac:dyDescent="0.35">
      <c r="A74" s="12" t="s">
        <v>86</v>
      </c>
      <c r="C74" s="181">
        <f t="shared" ref="C74:L76" si="12">SUMIFS(C$2:C$64,$A$2:$A$64,$A74,$B$2:$B$64,"&lt;=2023")</f>
        <v>0</v>
      </c>
      <c r="D74" s="181">
        <f t="shared" si="12"/>
        <v>0</v>
      </c>
      <c r="E74" s="181">
        <f t="shared" si="12"/>
        <v>0</v>
      </c>
      <c r="F74" s="181">
        <f t="shared" si="12"/>
        <v>3376103.3730158722</v>
      </c>
      <c r="G74" s="181">
        <f t="shared" si="12"/>
        <v>1695757.1428571462</v>
      </c>
      <c r="H74" s="181">
        <f t="shared" si="12"/>
        <v>18087854.17025793</v>
      </c>
      <c r="I74" s="181">
        <f t="shared" si="12"/>
        <v>16493777.4612599</v>
      </c>
      <c r="J74" s="181">
        <f t="shared" si="12"/>
        <v>16234205.85271823</v>
      </c>
      <c r="K74" s="181">
        <f t="shared" si="12"/>
        <v>12545060.184503956</v>
      </c>
      <c r="L74" s="181">
        <f t="shared" si="12"/>
        <v>14018509.658075409</v>
      </c>
      <c r="M74" s="181">
        <f t="shared" ref="M74:X76" si="13">SUMIFS(M$2:M$64,$A$2:$A$64,$A74,$B$2:$B$64,"&lt;=2023")</f>
        <v>18056205.01958333</v>
      </c>
      <c r="N74" s="181">
        <f t="shared" si="13"/>
        <v>18935619.364196423</v>
      </c>
      <c r="O74" s="181">
        <f t="shared" si="13"/>
        <v>17452672.588948417</v>
      </c>
      <c r="P74" s="181">
        <f t="shared" si="13"/>
        <v>14329658.133730154</v>
      </c>
      <c r="Q74" s="181">
        <f t="shared" si="13"/>
        <v>12271837.003700387</v>
      </c>
      <c r="R74" s="181">
        <f t="shared" si="13"/>
        <v>10650725.579970237</v>
      </c>
      <c r="S74" s="181">
        <f t="shared" si="13"/>
        <v>8951168.7452182546</v>
      </c>
      <c r="T74" s="181">
        <f t="shared" si="13"/>
        <v>7539534.817956334</v>
      </c>
      <c r="U74" s="181">
        <f t="shared" si="13"/>
        <v>6237522.5046626981</v>
      </c>
      <c r="V74" s="181">
        <f t="shared" si="13"/>
        <v>4547015.5886011878</v>
      </c>
      <c r="W74" s="181">
        <f t="shared" si="13"/>
        <v>3160499.0204166593</v>
      </c>
      <c r="X74" s="181">
        <f t="shared" si="13"/>
        <v>-12830547.788164679</v>
      </c>
    </row>
    <row r="75" spans="1:24" x14ac:dyDescent="0.35">
      <c r="A75" s="12" t="s">
        <v>87</v>
      </c>
      <c r="C75" s="181">
        <f t="shared" si="12"/>
        <v>0</v>
      </c>
      <c r="D75" s="181">
        <f t="shared" si="12"/>
        <v>0</v>
      </c>
      <c r="E75" s="181">
        <f t="shared" si="12"/>
        <v>0</v>
      </c>
      <c r="F75" s="181">
        <f t="shared" si="12"/>
        <v>32476195.839196421</v>
      </c>
      <c r="G75" s="181">
        <f t="shared" si="12"/>
        <v>79151042.051132172</v>
      </c>
      <c r="H75" s="181">
        <f t="shared" si="12"/>
        <v>74616362.311534852</v>
      </c>
      <c r="I75" s="181">
        <f t="shared" si="12"/>
        <v>69180881.944688633</v>
      </c>
      <c r="J75" s="181">
        <f t="shared" si="12"/>
        <v>68014763.141257182</v>
      </c>
      <c r="K75" s="181">
        <f t="shared" si="12"/>
        <v>56075728.473929733</v>
      </c>
      <c r="L75" s="181">
        <f t="shared" si="12"/>
        <v>60404826.354406185</v>
      </c>
      <c r="M75" s="181">
        <f t="shared" si="13"/>
        <v>72670999.50225465</v>
      </c>
      <c r="N75" s="181">
        <f t="shared" si="13"/>
        <v>75031324.407293096</v>
      </c>
      <c r="O75" s="181">
        <f t="shared" si="13"/>
        <v>70086220.761683121</v>
      </c>
      <c r="P75" s="181">
        <f t="shared" si="13"/>
        <v>60159821.863106176</v>
      </c>
      <c r="Q75" s="181">
        <f t="shared" si="13"/>
        <v>53580761.475987457</v>
      </c>
      <c r="R75" s="181">
        <f t="shared" si="13"/>
        <v>48391695.121758834</v>
      </c>
      <c r="S75" s="181">
        <f t="shared" si="13"/>
        <v>43016236.047488943</v>
      </c>
      <c r="T75" s="181">
        <f t="shared" si="13"/>
        <v>38558642.733970501</v>
      </c>
      <c r="U75" s="181">
        <f t="shared" si="13"/>
        <v>34472358.498654515</v>
      </c>
      <c r="V75" s="181">
        <f t="shared" si="13"/>
        <v>29270041.485806398</v>
      </c>
      <c r="W75" s="181">
        <f t="shared" si="13"/>
        <v>25018859.997850075</v>
      </c>
      <c r="X75" s="181">
        <f t="shared" si="13"/>
        <v>-37881859.685108878</v>
      </c>
    </row>
    <row r="76" spans="1:24" x14ac:dyDescent="0.35">
      <c r="A76" s="12" t="s">
        <v>82</v>
      </c>
      <c r="C76" s="181">
        <f t="shared" si="12"/>
        <v>0</v>
      </c>
      <c r="D76" s="181">
        <f t="shared" si="12"/>
        <v>0</v>
      </c>
      <c r="E76" s="181">
        <f t="shared" si="12"/>
        <v>0</v>
      </c>
      <c r="F76" s="181">
        <f t="shared" si="12"/>
        <v>2756889.4830357139</v>
      </c>
      <c r="G76" s="181">
        <f t="shared" si="12"/>
        <v>7635066.2111785719</v>
      </c>
      <c r="H76" s="181">
        <f t="shared" si="12"/>
        <v>7433334.9345493894</v>
      </c>
      <c r="I76" s="181">
        <f t="shared" si="12"/>
        <v>7196119.8229676532</v>
      </c>
      <c r="J76" s="181">
        <f t="shared" si="12"/>
        <v>7127727.1951277889</v>
      </c>
      <c r="K76" s="181">
        <f t="shared" si="12"/>
        <v>6633737.8459884524</v>
      </c>
      <c r="L76" s="181">
        <f t="shared" si="12"/>
        <v>6782719.6854640655</v>
      </c>
      <c r="M76" s="181">
        <f t="shared" si="13"/>
        <v>7245457.6629829593</v>
      </c>
      <c r="N76" s="181">
        <f t="shared" si="13"/>
        <v>7316860.759987331</v>
      </c>
      <c r="O76" s="181">
        <f t="shared" si="13"/>
        <v>7099687.9962235447</v>
      </c>
      <c r="P76" s="181">
        <f t="shared" si="13"/>
        <v>6685780.5139055625</v>
      </c>
      <c r="Q76" s="181">
        <f t="shared" si="13"/>
        <v>6404256.4956682445</v>
      </c>
      <c r="R76" s="181">
        <f t="shared" si="13"/>
        <v>6177767.933594998</v>
      </c>
      <c r="S76" s="181">
        <f t="shared" si="13"/>
        <v>5944020.9508120976</v>
      </c>
      <c r="T76" s="181">
        <f t="shared" si="13"/>
        <v>5746651.4775697216</v>
      </c>
      <c r="U76" s="181">
        <f t="shared" si="13"/>
        <v>5564060.9557857672</v>
      </c>
      <c r="V76" s="181">
        <f t="shared" si="13"/>
        <v>5337474.2621963378</v>
      </c>
      <c r="W76" s="181">
        <f t="shared" si="13"/>
        <v>5148578.1922860006</v>
      </c>
      <c r="X76" s="181">
        <f t="shared" si="13"/>
        <v>-1496197.66395301</v>
      </c>
    </row>
    <row r="77" spans="1:24" x14ac:dyDescent="0.35">
      <c r="A77" s="14" t="s">
        <v>89</v>
      </c>
      <c r="C77" s="181">
        <f t="shared" ref="C77:W77" si="14">SUM(C74:C76)</f>
        <v>0</v>
      </c>
      <c r="D77" s="181">
        <f t="shared" si="14"/>
        <v>0</v>
      </c>
      <c r="E77" s="181">
        <f t="shared" si="14"/>
        <v>0</v>
      </c>
      <c r="F77" s="181">
        <f t="shared" si="14"/>
        <v>38609188.695248008</v>
      </c>
      <c r="G77" s="181">
        <f t="shared" si="14"/>
        <v>88481865.405167893</v>
      </c>
      <c r="H77" s="181">
        <f t="shared" si="14"/>
        <v>100137551.41634217</v>
      </c>
      <c r="I77" s="181">
        <f t="shared" si="14"/>
        <v>92870779.228916183</v>
      </c>
      <c r="J77" s="181">
        <f t="shared" si="14"/>
        <v>91376696.189103201</v>
      </c>
      <c r="K77" s="181">
        <f t="shared" si="14"/>
        <v>75254526.504422143</v>
      </c>
      <c r="L77" s="181">
        <f t="shared" si="14"/>
        <v>81206055.697945669</v>
      </c>
      <c r="M77" s="181">
        <f t="shared" si="14"/>
        <v>97972662.184820935</v>
      </c>
      <c r="N77" s="181">
        <f t="shared" si="14"/>
        <v>101283804.53147684</v>
      </c>
      <c r="O77" s="181">
        <f t="shared" si="14"/>
        <v>94638581.346855074</v>
      </c>
      <c r="P77" s="181">
        <f t="shared" si="14"/>
        <v>81175260.510741889</v>
      </c>
      <c r="Q77" s="181">
        <f t="shared" si="14"/>
        <v>72256854.975356087</v>
      </c>
      <c r="R77" s="181">
        <f t="shared" si="14"/>
        <v>65220188.635324076</v>
      </c>
      <c r="S77" s="181">
        <f t="shared" si="14"/>
        <v>57911425.743519291</v>
      </c>
      <c r="T77" s="181">
        <f t="shared" si="14"/>
        <v>51844829.029496558</v>
      </c>
      <c r="U77" s="181">
        <f t="shared" si="14"/>
        <v>46273941.959102981</v>
      </c>
      <c r="V77" s="181">
        <f t="shared" si="14"/>
        <v>39154531.336603925</v>
      </c>
      <c r="W77" s="181">
        <f t="shared" si="14"/>
        <v>33327937.210552733</v>
      </c>
      <c r="X77" s="181">
        <f t="shared" ref="X77" si="15">SUM(X74:X76)</f>
        <v>-52208605.137226567</v>
      </c>
    </row>
    <row r="79" spans="1:24" ht="15.5" x14ac:dyDescent="0.35">
      <c r="A79" s="177" t="s">
        <v>91</v>
      </c>
      <c r="C79" s="220">
        <v>2022</v>
      </c>
      <c r="D79" s="220">
        <f t="shared" ref="D79:W79" si="16">C67+1</f>
        <v>2023</v>
      </c>
      <c r="E79" s="220">
        <f>D67+1</f>
        <v>2024</v>
      </c>
      <c r="F79" s="220">
        <f t="shared" si="16"/>
        <v>2025</v>
      </c>
      <c r="G79" s="220">
        <f t="shared" si="16"/>
        <v>2026</v>
      </c>
      <c r="H79" s="220">
        <f t="shared" si="16"/>
        <v>2027</v>
      </c>
      <c r="I79" s="220">
        <f t="shared" si="16"/>
        <v>2028</v>
      </c>
      <c r="J79" s="220">
        <f t="shared" si="16"/>
        <v>2029</v>
      </c>
      <c r="K79" s="220">
        <f t="shared" si="16"/>
        <v>2030</v>
      </c>
      <c r="L79" s="220">
        <f t="shared" si="16"/>
        <v>2031</v>
      </c>
      <c r="M79" s="220">
        <f t="shared" si="16"/>
        <v>2032</v>
      </c>
      <c r="N79" s="220">
        <f t="shared" si="16"/>
        <v>2033</v>
      </c>
      <c r="O79" s="220">
        <f t="shared" si="16"/>
        <v>2034</v>
      </c>
      <c r="P79" s="220">
        <f t="shared" si="16"/>
        <v>2035</v>
      </c>
      <c r="Q79" s="220">
        <f t="shared" si="16"/>
        <v>2036</v>
      </c>
      <c r="R79" s="220">
        <f t="shared" si="16"/>
        <v>2037</v>
      </c>
      <c r="S79" s="220">
        <f t="shared" si="16"/>
        <v>2038</v>
      </c>
      <c r="T79" s="220">
        <f t="shared" si="16"/>
        <v>2039</v>
      </c>
      <c r="U79" s="220">
        <f t="shared" si="16"/>
        <v>2040</v>
      </c>
      <c r="V79" s="220">
        <f t="shared" si="16"/>
        <v>2041</v>
      </c>
      <c r="W79" s="220">
        <f t="shared" si="16"/>
        <v>2042</v>
      </c>
      <c r="X79" s="220">
        <f t="shared" ref="X79" si="17">W67+1</f>
        <v>2043</v>
      </c>
    </row>
    <row r="80" spans="1:24" x14ac:dyDescent="0.35">
      <c r="A80" s="12" t="s">
        <v>86</v>
      </c>
      <c r="C80" s="181">
        <f t="shared" ref="C80:X80" si="18">SUMIFS(C2:C64,$A$2:$A$64,$A$80,$B$2:$B$64,"&gt;2023")</f>
        <v>0</v>
      </c>
      <c r="D80" s="181">
        <f t="shared" si="18"/>
        <v>0</v>
      </c>
      <c r="E80" s="181">
        <f t="shared" si="18"/>
        <v>0</v>
      </c>
      <c r="F80" s="181">
        <f t="shared" si="18"/>
        <v>0</v>
      </c>
      <c r="G80" s="181">
        <f t="shared" si="18"/>
        <v>0</v>
      </c>
      <c r="H80" s="181">
        <f t="shared" si="18"/>
        <v>16705206.082777787</v>
      </c>
      <c r="I80" s="181">
        <f t="shared" si="18"/>
        <v>12600343.975753866</v>
      </c>
      <c r="J80" s="181">
        <f t="shared" si="18"/>
        <v>13944264.879285568</v>
      </c>
      <c r="K80" s="181">
        <f t="shared" si="18"/>
        <v>-22273884.080873087</v>
      </c>
      <c r="L80" s="181">
        <f t="shared" si="18"/>
        <v>-7764621.7167458031</v>
      </c>
      <c r="M80" s="181">
        <f t="shared" si="18"/>
        <v>49744802.015000023</v>
      </c>
      <c r="N80" s="181">
        <f t="shared" si="18"/>
        <v>60861885.430357113</v>
      </c>
      <c r="O80" s="181">
        <f t="shared" si="18"/>
        <v>42063373.406746179</v>
      </c>
      <c r="P80" s="181">
        <f t="shared" si="18"/>
        <v>-5147004.9752380615</v>
      </c>
      <c r="Q80" s="181">
        <f t="shared" si="18"/>
        <v>-38940624.869563557</v>
      </c>
      <c r="R80" s="181">
        <f t="shared" si="18"/>
        <v>-68747977.027976081</v>
      </c>
      <c r="S80" s="181">
        <f t="shared" si="18"/>
        <v>-102486191.86976177</v>
      </c>
      <c r="T80" s="181">
        <f t="shared" si="18"/>
        <v>-133447285.64706367</v>
      </c>
      <c r="U80" s="181">
        <f t="shared" si="18"/>
        <v>-164452734.0351586</v>
      </c>
      <c r="V80" s="181">
        <f t="shared" si="18"/>
        <v>-217133005.43392849</v>
      </c>
      <c r="W80" s="181">
        <f t="shared" si="18"/>
        <v>-242524168.68166658</v>
      </c>
      <c r="X80" s="181">
        <f t="shared" si="18"/>
        <v>-281148248.29670644</v>
      </c>
    </row>
    <row r="81" spans="1:34" x14ac:dyDescent="0.35">
      <c r="A81" s="12" t="s">
        <v>87</v>
      </c>
      <c r="C81" s="181">
        <f>SUMIFS(C2:C64,$A$2:$A$64,$A$81,$B$2:$B$64,"&gt;2023")</f>
        <v>0</v>
      </c>
      <c r="D81" s="181">
        <f t="shared" ref="D81:X81" si="19">SUMIFS(D3:D65,$A$2:$A$64,$A$81,$B$2:$B$64,"&gt;2023")</f>
        <v>0</v>
      </c>
      <c r="E81" s="181">
        <f t="shared" si="19"/>
        <v>0</v>
      </c>
      <c r="F81" s="181">
        <f t="shared" si="19"/>
        <v>2756889.4830357139</v>
      </c>
      <c r="G81" s="181">
        <f t="shared" si="19"/>
        <v>2532767.1483214283</v>
      </c>
      <c r="H81" s="181">
        <f t="shared" si="19"/>
        <v>2462441.1185541516</v>
      </c>
      <c r="I81" s="181">
        <f t="shared" si="19"/>
        <v>19288782.717041977</v>
      </c>
      <c r="J81" s="181">
        <f t="shared" si="19"/>
        <v>35487229.319763638</v>
      </c>
      <c r="K81" s="181">
        <f t="shared" si="19"/>
        <v>38935044.813563831</v>
      </c>
      <c r="L81" s="181">
        <f t="shared" si="19"/>
        <v>53251055.909329727</v>
      </c>
      <c r="M81" s="181">
        <f t="shared" si="19"/>
        <v>82654806.116128355</v>
      </c>
      <c r="N81" s="181">
        <f t="shared" si="19"/>
        <v>96520716.635539547</v>
      </c>
      <c r="O81" s="181">
        <f t="shared" si="19"/>
        <v>96803991.14364627</v>
      </c>
      <c r="P81" s="181">
        <f t="shared" si="19"/>
        <v>84425385.937404707</v>
      </c>
      <c r="Q81" s="181">
        <f t="shared" si="19"/>
        <v>76292893.540813386</v>
      </c>
      <c r="R81" s="181">
        <f t="shared" si="19"/>
        <v>69281491.618767872</v>
      </c>
      <c r="S81" s="181">
        <f t="shared" si="19"/>
        <v>59827394.203613676</v>
      </c>
      <c r="T81" s="181">
        <f t="shared" si="19"/>
        <v>51067429.033677094</v>
      </c>
      <c r="U81" s="181">
        <f t="shared" si="19"/>
        <v>41802077.421150357</v>
      </c>
      <c r="V81" s="181">
        <f t="shared" si="19"/>
        <v>27264797.334219698</v>
      </c>
      <c r="W81" s="181">
        <f t="shared" si="19"/>
        <v>14101362.896199031</v>
      </c>
      <c r="X81" s="181">
        <f t="shared" si="19"/>
        <v>-141272082.77774802</v>
      </c>
    </row>
    <row r="82" spans="1:34" x14ac:dyDescent="0.35">
      <c r="A82" s="12" t="s">
        <v>82</v>
      </c>
      <c r="C82" s="181">
        <f>SUMIFS(C2:C64,$A$2:$A$64,$A$82,$B$2:$B$64,"&gt;2023")</f>
        <v>0</v>
      </c>
      <c r="D82" s="181">
        <f t="shared" ref="D82:X82" si="20">SUMIFS(D4:D66,$A$2:$A$64,$A$82,$B$2:$B$64,"&gt;2023")</f>
        <v>0</v>
      </c>
      <c r="E82" s="181">
        <f t="shared" si="20"/>
        <v>0</v>
      </c>
      <c r="F82" s="181">
        <f t="shared" si="20"/>
        <v>0</v>
      </c>
      <c r="G82" s="181">
        <f t="shared" si="20"/>
        <v>0</v>
      </c>
      <c r="H82" s="181">
        <f t="shared" si="20"/>
        <v>0</v>
      </c>
      <c r="I82" s="181">
        <f t="shared" si="20"/>
        <v>0</v>
      </c>
      <c r="J82" s="181">
        <f t="shared" si="20"/>
        <v>3531012.9960317449</v>
      </c>
      <c r="K82" s="181">
        <f t="shared" si="20"/>
        <v>6558841.3645833321</v>
      </c>
      <c r="L82" s="181">
        <f t="shared" si="20"/>
        <v>10103842.030310024</v>
      </c>
      <c r="M82" s="181">
        <f t="shared" si="20"/>
        <v>14495670.018807029</v>
      </c>
      <c r="N82" s="181">
        <f t="shared" si="20"/>
        <v>16834262.825235397</v>
      </c>
      <c r="O82" s="181">
        <f t="shared" si="20"/>
        <v>18432661.261262413</v>
      </c>
      <c r="P82" s="181">
        <f t="shared" si="20"/>
        <v>19297354.678350206</v>
      </c>
      <c r="Q82" s="181">
        <f t="shared" si="20"/>
        <v>20358730.950335387</v>
      </c>
      <c r="R82" s="181">
        <f t="shared" si="20"/>
        <v>21454753.694333963</v>
      </c>
      <c r="S82" s="181">
        <f t="shared" si="20"/>
        <v>22385131.458114102</v>
      </c>
      <c r="T82" s="181">
        <f t="shared" si="20"/>
        <v>23332922.837920252</v>
      </c>
      <c r="U82" s="181">
        <f t="shared" si="20"/>
        <v>24231113.689791311</v>
      </c>
      <c r="V82" s="181">
        <f t="shared" si="20"/>
        <v>24797123.697440565</v>
      </c>
      <c r="W82" s="181">
        <f t="shared" si="20"/>
        <v>25425182.196816187</v>
      </c>
      <c r="X82" s="181">
        <f t="shared" si="20"/>
        <v>-8522173.9595500808</v>
      </c>
    </row>
    <row r="83" spans="1:34" x14ac:dyDescent="0.35">
      <c r="A83" s="14" t="s">
        <v>103</v>
      </c>
      <c r="C83" s="181">
        <f>SUM(C80:C82)</f>
        <v>0</v>
      </c>
      <c r="D83" s="181">
        <f t="shared" ref="D83:W83" si="21">SUM(D80:D82)</f>
        <v>0</v>
      </c>
      <c r="E83" s="181">
        <f t="shared" si="21"/>
        <v>0</v>
      </c>
      <c r="F83" s="181">
        <f t="shared" si="21"/>
        <v>2756889.4830357139</v>
      </c>
      <c r="G83" s="181">
        <f t="shared" si="21"/>
        <v>2532767.1483214283</v>
      </c>
      <c r="H83" s="181">
        <f t="shared" si="21"/>
        <v>19167647.20133194</v>
      </c>
      <c r="I83" s="181">
        <f t="shared" si="21"/>
        <v>31889126.692795843</v>
      </c>
      <c r="J83" s="181">
        <f t="shared" si="21"/>
        <v>52962507.195080951</v>
      </c>
      <c r="K83" s="181">
        <f t="shared" si="21"/>
        <v>23220002.097274076</v>
      </c>
      <c r="L83" s="181">
        <f t="shared" si="21"/>
        <v>55590276.222893953</v>
      </c>
      <c r="M83" s="181">
        <f t="shared" si="21"/>
        <v>146895278.14993539</v>
      </c>
      <c r="N83" s="181">
        <f t="shared" si="21"/>
        <v>174216864.89113206</v>
      </c>
      <c r="O83" s="181">
        <f t="shared" si="21"/>
        <v>157300025.81165487</v>
      </c>
      <c r="P83" s="181">
        <f t="shared" si="21"/>
        <v>98575735.640516862</v>
      </c>
      <c r="Q83" s="181">
        <f t="shared" si="21"/>
        <v>57710999.62158522</v>
      </c>
      <c r="R83" s="181">
        <f t="shared" si="21"/>
        <v>21988268.285125755</v>
      </c>
      <c r="S83" s="181">
        <f t="shared" si="21"/>
        <v>-20273666.208033986</v>
      </c>
      <c r="T83" s="181">
        <f t="shared" si="21"/>
        <v>-59046933.775466323</v>
      </c>
      <c r="U83" s="181">
        <f t="shared" si="21"/>
        <v>-98419542.924216941</v>
      </c>
      <c r="V83" s="181">
        <f t="shared" si="21"/>
        <v>-165071084.40226823</v>
      </c>
      <c r="W83" s="181">
        <f t="shared" si="21"/>
        <v>-202997623.58865139</v>
      </c>
      <c r="X83" s="181">
        <f t="shared" ref="X83" si="22">SUM(X80:X82)</f>
        <v>-430942505.03400451</v>
      </c>
    </row>
    <row r="89" spans="1:34" x14ac:dyDescent="0.35">
      <c r="E89" s="177"/>
      <c r="F89" s="177"/>
      <c r="G89" s="177"/>
      <c r="H89" s="177">
        <f t="shared" ref="H89:V89" si="23">H79</f>
        <v>2027</v>
      </c>
      <c r="I89" s="177">
        <f t="shared" si="23"/>
        <v>2028</v>
      </c>
      <c r="J89" s="177">
        <f t="shared" si="23"/>
        <v>2029</v>
      </c>
      <c r="K89" s="177">
        <f t="shared" si="23"/>
        <v>2030</v>
      </c>
      <c r="L89" s="177">
        <f t="shared" si="23"/>
        <v>2031</v>
      </c>
      <c r="M89" s="177">
        <f t="shared" si="23"/>
        <v>2032</v>
      </c>
      <c r="N89" s="177">
        <f t="shared" si="23"/>
        <v>2033</v>
      </c>
      <c r="O89" s="177">
        <f t="shared" si="23"/>
        <v>2034</v>
      </c>
      <c r="P89" s="177">
        <f t="shared" si="23"/>
        <v>2035</v>
      </c>
      <c r="Q89" s="177">
        <f t="shared" si="23"/>
        <v>2036</v>
      </c>
      <c r="R89" s="177">
        <f t="shared" si="23"/>
        <v>2037</v>
      </c>
      <c r="S89" s="177">
        <f t="shared" si="23"/>
        <v>2038</v>
      </c>
      <c r="T89" s="177">
        <f t="shared" si="23"/>
        <v>2039</v>
      </c>
      <c r="U89" s="177">
        <f t="shared" si="23"/>
        <v>2040</v>
      </c>
      <c r="V89" s="177">
        <f t="shared" si="23"/>
        <v>2041</v>
      </c>
      <c r="W89" s="177">
        <f t="shared" ref="W89:X89" si="24">W79</f>
        <v>2042</v>
      </c>
      <c r="X89" s="177">
        <f t="shared" si="24"/>
        <v>2043</v>
      </c>
      <c r="AA89" s="1"/>
      <c r="AB89" s="1"/>
    </row>
    <row r="90" spans="1:34" x14ac:dyDescent="0.35">
      <c r="E90" s="177"/>
      <c r="F90" s="177"/>
      <c r="G90" s="177" t="s">
        <v>92</v>
      </c>
      <c r="H90" s="182">
        <f t="shared" ref="H90:Q99" si="25">SUMIF($B$2:$B$64,$E90,H$2:H$64)+SUMIF($B$2:$B$64,$F90,H$2:H$64)</f>
        <v>0</v>
      </c>
      <c r="I90" s="182">
        <f t="shared" si="25"/>
        <v>0</v>
      </c>
      <c r="J90" s="182">
        <f t="shared" si="25"/>
        <v>0</v>
      </c>
      <c r="K90" s="182">
        <f t="shared" si="25"/>
        <v>0</v>
      </c>
      <c r="L90" s="182">
        <f t="shared" si="25"/>
        <v>0</v>
      </c>
      <c r="M90" s="182">
        <f t="shared" si="25"/>
        <v>0</v>
      </c>
      <c r="N90" s="182">
        <f t="shared" si="25"/>
        <v>0</v>
      </c>
      <c r="O90" s="182">
        <f t="shared" si="25"/>
        <v>0</v>
      </c>
      <c r="P90" s="182">
        <f t="shared" si="25"/>
        <v>0</v>
      </c>
      <c r="Q90" s="182">
        <f t="shared" si="25"/>
        <v>0</v>
      </c>
      <c r="R90" s="182">
        <f t="shared" ref="R90:X99" si="26">SUMIF($B$2:$B$64,$E90,R$2:R$64)+SUMIF($B$2:$B$64,$F90,R$2:R$64)</f>
        <v>0</v>
      </c>
      <c r="S90" s="182">
        <f t="shared" si="26"/>
        <v>0</v>
      </c>
      <c r="T90" s="182">
        <f t="shared" si="26"/>
        <v>0</v>
      </c>
      <c r="U90" s="182">
        <f t="shared" si="26"/>
        <v>0</v>
      </c>
      <c r="V90" s="182">
        <f t="shared" si="26"/>
        <v>0</v>
      </c>
      <c r="W90" s="182">
        <f t="shared" si="26"/>
        <v>0</v>
      </c>
      <c r="X90" s="182">
        <f t="shared" si="26"/>
        <v>0</v>
      </c>
      <c r="AA90" s="1"/>
      <c r="AB90" s="1"/>
    </row>
    <row r="91" spans="1:34" x14ac:dyDescent="0.35">
      <c r="E91" s="177">
        <v>2024</v>
      </c>
      <c r="F91" s="177">
        <v>2025</v>
      </c>
      <c r="G91" s="177" t="s">
        <v>93</v>
      </c>
      <c r="H91" s="182">
        <f t="shared" si="25"/>
        <v>37110065.908214293</v>
      </c>
      <c r="I91" s="182">
        <f t="shared" si="25"/>
        <v>51612471.238877729</v>
      </c>
      <c r="J91" s="182">
        <f t="shared" si="25"/>
        <v>49057076.314480498</v>
      </c>
      <c r="K91" s="182">
        <f t="shared" si="25"/>
        <v>15362591.940092215</v>
      </c>
      <c r="L91" s="182">
        <f t="shared" si="25"/>
        <v>28579288.181538533</v>
      </c>
      <c r="M91" s="182">
        <f t="shared" si="25"/>
        <v>64991527.100282893</v>
      </c>
      <c r="N91" s="182">
        <f t="shared" si="25"/>
        <v>72738791.389072239</v>
      </c>
      <c r="O91" s="182">
        <f t="shared" si="25"/>
        <v>59121110.607700065</v>
      </c>
      <c r="P91" s="182">
        <f t="shared" si="25"/>
        <v>30737044.965227142</v>
      </c>
      <c r="Q91" s="182">
        <f t="shared" si="25"/>
        <v>12025118.30061345</v>
      </c>
      <c r="R91" s="182">
        <f t="shared" si="26"/>
        <v>-2708645.7428555442</v>
      </c>
      <c r="S91" s="182">
        <f t="shared" si="26"/>
        <v>-18110962.06101286</v>
      </c>
      <c r="T91" s="182">
        <f t="shared" si="26"/>
        <v>-30889510.615935009</v>
      </c>
      <c r="U91" s="182">
        <f t="shared" si="26"/>
        <v>-42653270.028992288</v>
      </c>
      <c r="V91" s="182">
        <f t="shared" si="26"/>
        <v>-57868224.903707609</v>
      </c>
      <c r="W91" s="182">
        <f t="shared" si="26"/>
        <v>-70326125.960453644</v>
      </c>
      <c r="X91" s="182">
        <f t="shared" si="26"/>
        <v>-114657596.90301543</v>
      </c>
      <c r="Y91" s="172"/>
      <c r="Z91" s="172"/>
      <c r="AA91" s="172"/>
      <c r="AB91" s="172"/>
      <c r="AC91" s="172"/>
      <c r="AD91" s="172"/>
      <c r="AE91" s="172"/>
      <c r="AF91" s="172"/>
      <c r="AG91" s="172"/>
      <c r="AH91" s="172"/>
    </row>
    <row r="92" spans="1:34" x14ac:dyDescent="0.35">
      <c r="E92" s="177">
        <v>2026</v>
      </c>
      <c r="F92" s="177">
        <v>2027</v>
      </c>
      <c r="G92" s="177" t="s">
        <v>94</v>
      </c>
      <c r="H92" s="182">
        <f t="shared" si="25"/>
        <v>0</v>
      </c>
      <c r="I92" s="182">
        <f t="shared" si="25"/>
        <v>0</v>
      </c>
      <c r="J92" s="182">
        <f t="shared" si="25"/>
        <v>23241330.456349153</v>
      </c>
      <c r="K92" s="182">
        <f t="shared" si="25"/>
        <v>23012201.136408679</v>
      </c>
      <c r="L92" s="182">
        <f t="shared" si="25"/>
        <v>32172428.482443068</v>
      </c>
      <c r="M92" s="182">
        <f t="shared" si="25"/>
        <v>57478505.917374745</v>
      </c>
      <c r="N92" s="182">
        <f t="shared" si="25"/>
        <v>62796146.352396175</v>
      </c>
      <c r="O92" s="182">
        <f t="shared" si="25"/>
        <v>53243778.839608639</v>
      </c>
      <c r="P92" s="182">
        <f t="shared" si="25"/>
        <v>33438459.70955215</v>
      </c>
      <c r="Q92" s="182">
        <f t="shared" si="25"/>
        <v>20379214.407443047</v>
      </c>
      <c r="R92" s="182">
        <f t="shared" si="26"/>
        <v>10099328.521566978</v>
      </c>
      <c r="S92" s="182">
        <f t="shared" si="26"/>
        <v>-630769.81808262551</v>
      </c>
      <c r="T92" s="182">
        <f t="shared" si="26"/>
        <v>-9527411.6083983295</v>
      </c>
      <c r="U92" s="182">
        <f t="shared" si="26"/>
        <v>-17709130.922297023</v>
      </c>
      <c r="V92" s="182">
        <f t="shared" si="26"/>
        <v>-28269873.632994667</v>
      </c>
      <c r="W92" s="182">
        <f t="shared" si="26"/>
        <v>-36908834.96132949</v>
      </c>
      <c r="X92" s="182">
        <f t="shared" si="26"/>
        <v>-79291721.689107209</v>
      </c>
      <c r="Y92" s="172"/>
      <c r="Z92" s="172"/>
      <c r="AA92" s="172"/>
      <c r="AB92" s="172"/>
      <c r="AC92" s="172"/>
      <c r="AD92" s="172"/>
      <c r="AE92" s="172"/>
      <c r="AF92" s="172"/>
      <c r="AG92" s="172"/>
      <c r="AH92" s="172"/>
    </row>
    <row r="93" spans="1:34" x14ac:dyDescent="0.35">
      <c r="E93" s="177">
        <v>2028</v>
      </c>
      <c r="F93" s="177">
        <v>2029</v>
      </c>
      <c r="G93" s="177" t="s">
        <v>95</v>
      </c>
      <c r="H93" s="182">
        <f t="shared" si="25"/>
        <v>0</v>
      </c>
      <c r="I93" s="182">
        <f t="shared" si="25"/>
        <v>0</v>
      </c>
      <c r="J93" s="182">
        <f t="shared" si="25"/>
        <v>0</v>
      </c>
      <c r="K93" s="182">
        <f t="shared" si="25"/>
        <v>0</v>
      </c>
      <c r="L93" s="182">
        <f t="shared" si="25"/>
        <v>11540746.130952429</v>
      </c>
      <c r="M93" s="182">
        <f t="shared" si="25"/>
        <v>45469654.364583336</v>
      </c>
      <c r="N93" s="182">
        <f t="shared" si="25"/>
        <v>45184420.601171866</v>
      </c>
      <c r="O93" s="182">
        <f t="shared" si="25"/>
        <v>38522163.403741792</v>
      </c>
      <c r="P93" s="182">
        <f t="shared" si="25"/>
        <v>24716167.500978261</v>
      </c>
      <c r="Q93" s="182">
        <f t="shared" si="25"/>
        <v>15610099.894846216</v>
      </c>
      <c r="R93" s="182">
        <f t="shared" si="26"/>
        <v>8440338.9437163491</v>
      </c>
      <c r="S93" s="182">
        <f t="shared" si="26"/>
        <v>956717.28787083179</v>
      </c>
      <c r="T93" s="182">
        <f t="shared" si="26"/>
        <v>-5249575.4612254705</v>
      </c>
      <c r="U93" s="182">
        <f t="shared" si="26"/>
        <v>-10957861.362382112</v>
      </c>
      <c r="V93" s="182">
        <f t="shared" si="26"/>
        <v>-18323964.558077626</v>
      </c>
      <c r="W93" s="182">
        <f t="shared" si="26"/>
        <v>-24351134.399262816</v>
      </c>
      <c r="X93" s="182">
        <f t="shared" si="26"/>
        <v>-55251662.631406322</v>
      </c>
      <c r="Y93" s="172"/>
      <c r="Z93" s="172"/>
      <c r="AA93" s="172"/>
      <c r="AB93" s="172"/>
      <c r="AC93" s="172"/>
      <c r="AD93" s="172"/>
      <c r="AE93" s="172"/>
      <c r="AF93" s="172"/>
      <c r="AG93" s="172"/>
      <c r="AH93" s="172"/>
    </row>
    <row r="94" spans="1:34" x14ac:dyDescent="0.35">
      <c r="E94" s="177">
        <v>2030</v>
      </c>
      <c r="F94" s="177">
        <v>2031</v>
      </c>
      <c r="G94" s="177" t="s">
        <v>96</v>
      </c>
      <c r="H94" s="182">
        <f t="shared" si="25"/>
        <v>0</v>
      </c>
      <c r="I94" s="182">
        <f t="shared" si="25"/>
        <v>0</v>
      </c>
      <c r="J94" s="182">
        <f t="shared" si="25"/>
        <v>0</v>
      </c>
      <c r="K94" s="182">
        <f t="shared" si="25"/>
        <v>0</v>
      </c>
      <c r="L94" s="182">
        <f t="shared" si="25"/>
        <v>0</v>
      </c>
      <c r="M94" s="182">
        <f t="shared" si="25"/>
        <v>0</v>
      </c>
      <c r="N94" s="182">
        <f t="shared" si="25"/>
        <v>15395803.571428567</v>
      </c>
      <c r="O94" s="182">
        <f t="shared" si="25"/>
        <v>26592528.769841291</v>
      </c>
      <c r="P94" s="182">
        <f t="shared" si="25"/>
        <v>17429449.831944451</v>
      </c>
      <c r="Q94" s="182">
        <f t="shared" si="25"/>
        <v>11975603.743289668</v>
      </c>
      <c r="R94" s="182">
        <f t="shared" si="26"/>
        <v>7402960.8141425736</v>
      </c>
      <c r="S94" s="182">
        <f t="shared" si="26"/>
        <v>2633483.5520048924</v>
      </c>
      <c r="T94" s="182">
        <f t="shared" si="26"/>
        <v>-1320276.7605411732</v>
      </c>
      <c r="U94" s="182">
        <f t="shared" si="26"/>
        <v>-4954775.3917149622</v>
      </c>
      <c r="V94" s="182">
        <f t="shared" si="26"/>
        <v>-9641047.6591570042</v>
      </c>
      <c r="W94" s="182">
        <f t="shared" si="26"/>
        <v>-13473287.429461978</v>
      </c>
      <c r="X94" s="182">
        <f t="shared" si="26"/>
        <v>-35108013.418459408</v>
      </c>
      <c r="Y94" s="172"/>
      <c r="Z94" s="172"/>
      <c r="AA94" s="172"/>
      <c r="AB94" s="172"/>
      <c r="AC94" s="172"/>
      <c r="AD94" s="172"/>
      <c r="AE94" s="172"/>
      <c r="AF94" s="172"/>
      <c r="AG94" s="172"/>
      <c r="AH94" s="172"/>
    </row>
    <row r="95" spans="1:34" x14ac:dyDescent="0.35">
      <c r="E95" s="177">
        <v>2032</v>
      </c>
      <c r="F95" s="177">
        <v>2033</v>
      </c>
      <c r="G95" s="177" t="s">
        <v>97</v>
      </c>
      <c r="H95" s="182">
        <f t="shared" si="25"/>
        <v>0</v>
      </c>
      <c r="I95" s="182">
        <f t="shared" si="25"/>
        <v>0</v>
      </c>
      <c r="J95" s="182">
        <f t="shared" si="25"/>
        <v>0</v>
      </c>
      <c r="K95" s="182">
        <f t="shared" si="25"/>
        <v>0</v>
      </c>
      <c r="L95" s="182">
        <f t="shared" si="25"/>
        <v>0</v>
      </c>
      <c r="M95" s="182">
        <f t="shared" si="25"/>
        <v>0</v>
      </c>
      <c r="N95" s="182">
        <f t="shared" si="25"/>
        <v>0</v>
      </c>
      <c r="O95" s="182">
        <f t="shared" si="25"/>
        <v>0</v>
      </c>
      <c r="P95" s="182">
        <f t="shared" si="25"/>
        <v>8961214.2857142873</v>
      </c>
      <c r="Q95" s="182">
        <f t="shared" si="25"/>
        <v>12133219.682539668</v>
      </c>
      <c r="R95" s="182">
        <f t="shared" si="26"/>
        <v>7539858.5595238237</v>
      </c>
      <c r="S95" s="182">
        <f t="shared" si="26"/>
        <v>2748906.7510129125</v>
      </c>
      <c r="T95" s="182">
        <f t="shared" si="26"/>
        <v>-1222612.3394606265</v>
      </c>
      <c r="U95" s="182">
        <f t="shared" si="26"/>
        <v>-4873367.4613081785</v>
      </c>
      <c r="V95" s="182">
        <f t="shared" si="26"/>
        <v>-21324390.694053397</v>
      </c>
      <c r="W95" s="182">
        <f t="shared" si="26"/>
        <v>-13429584.472070888</v>
      </c>
      <c r="X95" s="182">
        <f t="shared" si="26"/>
        <v>-35261080.077650644</v>
      </c>
      <c r="Y95" s="172"/>
      <c r="Z95" s="172"/>
      <c r="AA95" s="172"/>
      <c r="AB95" s="172"/>
      <c r="AC95" s="172"/>
      <c r="AD95" s="172"/>
      <c r="AE95" s="172"/>
      <c r="AF95" s="172"/>
      <c r="AG95" s="172"/>
      <c r="AH95" s="172"/>
    </row>
    <row r="96" spans="1:34" x14ac:dyDescent="0.35">
      <c r="E96" s="177">
        <v>2034</v>
      </c>
      <c r="F96" s="177">
        <v>2035</v>
      </c>
      <c r="G96" s="177" t="s">
        <v>98</v>
      </c>
      <c r="H96" s="182">
        <f t="shared" si="25"/>
        <v>0</v>
      </c>
      <c r="I96" s="182">
        <f t="shared" si="25"/>
        <v>0</v>
      </c>
      <c r="J96" s="182">
        <f t="shared" si="25"/>
        <v>0</v>
      </c>
      <c r="K96" s="182">
        <f t="shared" si="25"/>
        <v>0</v>
      </c>
      <c r="L96" s="182">
        <f t="shared" si="25"/>
        <v>0</v>
      </c>
      <c r="M96" s="182">
        <f t="shared" si="25"/>
        <v>0</v>
      </c>
      <c r="N96" s="182">
        <f t="shared" si="25"/>
        <v>0</v>
      </c>
      <c r="O96" s="182">
        <f t="shared" si="25"/>
        <v>0</v>
      </c>
      <c r="P96" s="182">
        <f t="shared" si="25"/>
        <v>0</v>
      </c>
      <c r="Q96" s="182">
        <f t="shared" si="25"/>
        <v>0</v>
      </c>
      <c r="R96" s="182">
        <f t="shared" si="26"/>
        <v>3821696.4285714356</v>
      </c>
      <c r="S96" s="182">
        <f t="shared" si="26"/>
        <v>2865492.8968254123</v>
      </c>
      <c r="T96" s="182">
        <f t="shared" si="26"/>
        <v>-1123963.9001984394</v>
      </c>
      <c r="U96" s="182">
        <f t="shared" si="26"/>
        <v>-4791139.3050426468</v>
      </c>
      <c r="V96" s="182">
        <f t="shared" si="26"/>
        <v>-9519176.4208153188</v>
      </c>
      <c r="W96" s="182">
        <f t="shared" si="26"/>
        <v>-13385441.185395204</v>
      </c>
      <c r="X96" s="182">
        <f t="shared" si="26"/>
        <v>-35415688.960447773</v>
      </c>
      <c r="Y96" s="172"/>
      <c r="Z96" s="172"/>
      <c r="AA96" s="172"/>
      <c r="AB96" s="172"/>
      <c r="AC96" s="172"/>
      <c r="AD96" s="172"/>
      <c r="AE96" s="172"/>
      <c r="AF96" s="172"/>
      <c r="AG96" s="172"/>
      <c r="AH96" s="172"/>
    </row>
    <row r="97" spans="5:34" x14ac:dyDescent="0.35">
      <c r="E97" s="177">
        <v>2036</v>
      </c>
      <c r="F97" s="177">
        <v>2037</v>
      </c>
      <c r="G97" s="177" t="s">
        <v>99</v>
      </c>
      <c r="H97" s="182">
        <f t="shared" si="25"/>
        <v>0</v>
      </c>
      <c r="I97" s="182">
        <f t="shared" si="25"/>
        <v>0</v>
      </c>
      <c r="J97" s="182">
        <f t="shared" si="25"/>
        <v>0</v>
      </c>
      <c r="K97" s="182">
        <f t="shared" si="25"/>
        <v>0</v>
      </c>
      <c r="L97" s="182">
        <f t="shared" si="25"/>
        <v>0</v>
      </c>
      <c r="M97" s="182">
        <f t="shared" si="25"/>
        <v>0</v>
      </c>
      <c r="N97" s="182">
        <f t="shared" si="25"/>
        <v>0</v>
      </c>
      <c r="O97" s="182">
        <f t="shared" si="25"/>
        <v>0</v>
      </c>
      <c r="P97" s="182">
        <f t="shared" si="25"/>
        <v>0</v>
      </c>
      <c r="Q97" s="182">
        <f t="shared" si="25"/>
        <v>0</v>
      </c>
      <c r="R97" s="182">
        <f t="shared" si="26"/>
        <v>0</v>
      </c>
      <c r="S97" s="182">
        <f t="shared" si="26"/>
        <v>0</v>
      </c>
      <c r="T97" s="182">
        <f t="shared" si="26"/>
        <v>-524678.57142858463</v>
      </c>
      <c r="U97" s="182">
        <f t="shared" si="26"/>
        <v>-4708082.6587301455</v>
      </c>
      <c r="V97" s="182">
        <f t="shared" si="26"/>
        <v>-9457318.327380944</v>
      </c>
      <c r="W97" s="182">
        <f t="shared" si="26"/>
        <v>-13340853.132895838</v>
      </c>
      <c r="X97" s="182">
        <f t="shared" si="26"/>
        <v>-35571855.605529599</v>
      </c>
      <c r="Y97" s="172"/>
      <c r="Z97" s="172"/>
      <c r="AA97" s="172"/>
      <c r="AB97" s="172"/>
      <c r="AC97" s="172"/>
      <c r="AD97" s="172"/>
      <c r="AE97" s="172"/>
      <c r="AF97" s="172"/>
      <c r="AG97" s="172"/>
      <c r="AH97" s="172"/>
    </row>
    <row r="98" spans="5:34" x14ac:dyDescent="0.35">
      <c r="E98" s="177">
        <v>2038</v>
      </c>
      <c r="F98" s="177">
        <v>2039</v>
      </c>
      <c r="G98" s="177" t="s">
        <v>100</v>
      </c>
      <c r="H98" s="182">
        <f t="shared" si="25"/>
        <v>0</v>
      </c>
      <c r="I98" s="182">
        <f t="shared" si="25"/>
        <v>0</v>
      </c>
      <c r="J98" s="182">
        <f t="shared" si="25"/>
        <v>0</v>
      </c>
      <c r="K98" s="182">
        <f t="shared" si="25"/>
        <v>0</v>
      </c>
      <c r="L98" s="182">
        <f t="shared" si="25"/>
        <v>0</v>
      </c>
      <c r="M98" s="182">
        <f t="shared" si="25"/>
        <v>0</v>
      </c>
      <c r="N98" s="182">
        <f t="shared" si="25"/>
        <v>0</v>
      </c>
      <c r="O98" s="182">
        <f t="shared" si="25"/>
        <v>0</v>
      </c>
      <c r="P98" s="182">
        <f t="shared" si="25"/>
        <v>0</v>
      </c>
      <c r="Q98" s="182">
        <f t="shared" si="25"/>
        <v>0</v>
      </c>
      <c r="R98" s="182">
        <f t="shared" si="26"/>
        <v>0</v>
      </c>
      <c r="S98" s="182">
        <f t="shared" si="26"/>
        <v>0</v>
      </c>
      <c r="T98" s="182">
        <f t="shared" si="26"/>
        <v>0</v>
      </c>
      <c r="U98" s="182">
        <f t="shared" si="26"/>
        <v>0</v>
      </c>
      <c r="V98" s="182">
        <f t="shared" si="26"/>
        <v>-4705267.8571428526</v>
      </c>
      <c r="W98" s="182">
        <f t="shared" si="26"/>
        <v>-13295815.83333334</v>
      </c>
      <c r="X98" s="182">
        <f t="shared" si="26"/>
        <v>-35766948.262886897</v>
      </c>
      <c r="Y98" s="172"/>
      <c r="Z98" s="172"/>
      <c r="AA98" s="172"/>
      <c r="AB98" s="172"/>
      <c r="AC98" s="172"/>
      <c r="AD98" s="172"/>
      <c r="AE98" s="172"/>
      <c r="AF98" s="172"/>
      <c r="AG98" s="172"/>
      <c r="AH98" s="172"/>
    </row>
    <row r="99" spans="5:34" x14ac:dyDescent="0.35">
      <c r="E99" s="177">
        <v>2040</v>
      </c>
      <c r="F99" s="177">
        <v>2041</v>
      </c>
      <c r="G99" s="177" t="s">
        <v>101</v>
      </c>
      <c r="H99" s="182">
        <f t="shared" si="25"/>
        <v>0</v>
      </c>
      <c r="I99" s="182">
        <f t="shared" si="25"/>
        <v>0</v>
      </c>
      <c r="J99" s="182">
        <f t="shared" si="25"/>
        <v>0</v>
      </c>
      <c r="K99" s="182">
        <f t="shared" si="25"/>
        <v>0</v>
      </c>
      <c r="L99" s="182">
        <f t="shared" si="25"/>
        <v>0</v>
      </c>
      <c r="M99" s="182">
        <f t="shared" si="25"/>
        <v>0</v>
      </c>
      <c r="N99" s="182">
        <f t="shared" si="25"/>
        <v>0</v>
      </c>
      <c r="O99" s="182">
        <f t="shared" si="25"/>
        <v>0</v>
      </c>
      <c r="P99" s="182">
        <f t="shared" si="25"/>
        <v>0</v>
      </c>
      <c r="Q99" s="182">
        <f t="shared" si="25"/>
        <v>0</v>
      </c>
      <c r="R99" s="182">
        <f t="shared" si="26"/>
        <v>0</v>
      </c>
      <c r="S99" s="182">
        <f t="shared" si="26"/>
        <v>0</v>
      </c>
      <c r="T99" s="182">
        <f t="shared" si="26"/>
        <v>0</v>
      </c>
      <c r="U99" s="182">
        <f t="shared" si="26"/>
        <v>0</v>
      </c>
      <c r="V99" s="182">
        <f t="shared" si="26"/>
        <v>0</v>
      </c>
      <c r="W99" s="182">
        <f t="shared" si="26"/>
        <v>0</v>
      </c>
      <c r="X99" s="182">
        <f t="shared" si="26"/>
        <v>-17924446.428571425</v>
      </c>
      <c r="Y99" s="172"/>
      <c r="Z99" s="172"/>
      <c r="AA99" s="172"/>
      <c r="AB99" s="172"/>
      <c r="AC99" s="172"/>
      <c r="AD99" s="172"/>
      <c r="AE99" s="172"/>
      <c r="AF99" s="172"/>
      <c r="AG99" s="172"/>
      <c r="AH99" s="172"/>
    </row>
    <row r="100" spans="5:34" x14ac:dyDescent="0.35">
      <c r="G100" s="1"/>
      <c r="H100" s="201"/>
      <c r="I100" s="201"/>
      <c r="J100" s="201"/>
      <c r="K100" s="201"/>
      <c r="L100" s="201"/>
      <c r="M100" s="201"/>
      <c r="N100" s="201"/>
      <c r="O100" s="201"/>
      <c r="P100" s="201"/>
      <c r="Q100" s="201"/>
      <c r="R100" s="188"/>
      <c r="S100" s="188"/>
      <c r="T100" s="188"/>
      <c r="U100" s="188"/>
      <c r="V100" s="188"/>
    </row>
    <row r="101" spans="5:34" x14ac:dyDescent="0.35">
      <c r="G101" s="256" cm="1">
        <f t="array" ref="G101:Q118">TRANSPOSE(G89:X99)</f>
        <v>0</v>
      </c>
      <c r="H101" s="257" t="str">
        <v>23 TBD</v>
      </c>
      <c r="I101" s="257" t="str">
        <v>24-25 Plan</v>
      </c>
      <c r="J101" s="257" t="str">
        <v>26-27 Plan</v>
      </c>
      <c r="K101" s="257" t="str">
        <v>28-29 Plan</v>
      </c>
      <c r="L101" s="257" t="str">
        <v>30-31 Plan</v>
      </c>
      <c r="M101" s="257" t="str">
        <v>32-33 Plan</v>
      </c>
      <c r="N101" s="257" t="str">
        <v>34-35 Plan</v>
      </c>
      <c r="O101" s="257" t="str">
        <v>36-37 Plan</v>
      </c>
      <c r="P101" s="257" t="str">
        <v>38-39 Plan</v>
      </c>
      <c r="Q101" s="177" t="str">
        <v>40-41 Plan</v>
      </c>
    </row>
    <row r="102" spans="5:34" x14ac:dyDescent="0.35">
      <c r="G102" s="221">
        <v>2027</v>
      </c>
      <c r="H102" s="182">
        <v>0</v>
      </c>
      <c r="I102" s="182">
        <v>37110065.908214293</v>
      </c>
      <c r="J102" s="182">
        <v>0</v>
      </c>
      <c r="K102" s="182">
        <v>0</v>
      </c>
      <c r="L102" s="182">
        <v>0</v>
      </c>
      <c r="M102" s="182">
        <v>0</v>
      </c>
      <c r="N102" s="182">
        <v>0</v>
      </c>
      <c r="O102" s="182">
        <v>0</v>
      </c>
      <c r="P102" s="182">
        <v>0</v>
      </c>
      <c r="Q102" s="221">
        <v>0</v>
      </c>
    </row>
    <row r="103" spans="5:34" x14ac:dyDescent="0.35">
      <c r="G103" s="221">
        <v>2028</v>
      </c>
      <c r="H103" s="182">
        <v>0</v>
      </c>
      <c r="I103" s="182">
        <v>51612471.238877729</v>
      </c>
      <c r="J103" s="182">
        <v>0</v>
      </c>
      <c r="K103" s="182">
        <v>0</v>
      </c>
      <c r="L103" s="182">
        <v>0</v>
      </c>
      <c r="M103" s="182">
        <v>0</v>
      </c>
      <c r="N103" s="182">
        <v>0</v>
      </c>
      <c r="O103" s="182">
        <v>0</v>
      </c>
      <c r="P103" s="182">
        <v>0</v>
      </c>
      <c r="Q103" s="221">
        <v>0</v>
      </c>
    </row>
    <row r="104" spans="5:34" x14ac:dyDescent="0.35">
      <c r="G104" s="221">
        <v>2029</v>
      </c>
      <c r="H104" s="182">
        <v>0</v>
      </c>
      <c r="I104" s="182">
        <v>49057076.314480498</v>
      </c>
      <c r="J104" s="182">
        <v>23241330.456349153</v>
      </c>
      <c r="K104" s="182">
        <v>0</v>
      </c>
      <c r="L104" s="182">
        <v>0</v>
      </c>
      <c r="M104" s="182">
        <v>0</v>
      </c>
      <c r="N104" s="182">
        <v>0</v>
      </c>
      <c r="O104" s="182">
        <v>0</v>
      </c>
      <c r="P104" s="182">
        <v>0</v>
      </c>
      <c r="Q104" s="221">
        <v>0</v>
      </c>
    </row>
    <row r="105" spans="5:34" x14ac:dyDescent="0.35">
      <c r="G105" s="221">
        <v>2030</v>
      </c>
      <c r="H105" s="182">
        <v>0</v>
      </c>
      <c r="I105" s="182">
        <v>15362591.940092215</v>
      </c>
      <c r="J105" s="182">
        <v>23012201.136408679</v>
      </c>
      <c r="K105" s="182">
        <v>0</v>
      </c>
      <c r="L105" s="182">
        <v>0</v>
      </c>
      <c r="M105" s="182">
        <v>0</v>
      </c>
      <c r="N105" s="182">
        <v>0</v>
      </c>
      <c r="O105" s="182">
        <v>0</v>
      </c>
      <c r="P105" s="182">
        <v>0</v>
      </c>
      <c r="Q105" s="221">
        <v>0</v>
      </c>
    </row>
    <row r="106" spans="5:34" x14ac:dyDescent="0.35">
      <c r="G106" s="221">
        <v>2031</v>
      </c>
      <c r="H106" s="182">
        <v>0</v>
      </c>
      <c r="I106" s="182">
        <v>28579288.181538533</v>
      </c>
      <c r="J106" s="182">
        <v>32172428.482443068</v>
      </c>
      <c r="K106" s="182">
        <v>11540746.130952429</v>
      </c>
      <c r="L106" s="182">
        <v>0</v>
      </c>
      <c r="M106" s="182">
        <v>0</v>
      </c>
      <c r="N106" s="182">
        <v>0</v>
      </c>
      <c r="O106" s="182">
        <v>0</v>
      </c>
      <c r="P106" s="182">
        <v>0</v>
      </c>
      <c r="Q106" s="221">
        <v>0</v>
      </c>
    </row>
    <row r="107" spans="5:34" x14ac:dyDescent="0.35">
      <c r="G107" s="221">
        <v>2032</v>
      </c>
      <c r="H107" s="182">
        <v>0</v>
      </c>
      <c r="I107" s="182">
        <v>64991527.100282893</v>
      </c>
      <c r="J107" s="182">
        <v>57478505.917374745</v>
      </c>
      <c r="K107" s="182">
        <v>45469654.364583336</v>
      </c>
      <c r="L107" s="182">
        <v>0</v>
      </c>
      <c r="M107" s="182">
        <v>0</v>
      </c>
      <c r="N107" s="182">
        <v>0</v>
      </c>
      <c r="O107" s="182">
        <v>0</v>
      </c>
      <c r="P107" s="182">
        <v>0</v>
      </c>
      <c r="Q107" s="221">
        <v>0</v>
      </c>
    </row>
    <row r="108" spans="5:34" x14ac:dyDescent="0.35">
      <c r="G108" s="221">
        <v>2033</v>
      </c>
      <c r="H108" s="182">
        <v>0</v>
      </c>
      <c r="I108" s="182">
        <v>72738791.389072239</v>
      </c>
      <c r="J108" s="182">
        <v>62796146.352396175</v>
      </c>
      <c r="K108" s="182">
        <v>45184420.601171866</v>
      </c>
      <c r="L108" s="182">
        <v>15395803.571428567</v>
      </c>
      <c r="M108" s="182">
        <v>0</v>
      </c>
      <c r="N108" s="182">
        <v>0</v>
      </c>
      <c r="O108" s="182">
        <v>0</v>
      </c>
      <c r="P108" s="182">
        <v>0</v>
      </c>
      <c r="Q108" s="221">
        <v>0</v>
      </c>
    </row>
    <row r="109" spans="5:34" x14ac:dyDescent="0.35">
      <c r="G109" s="221">
        <v>2034</v>
      </c>
      <c r="H109" s="182">
        <v>0</v>
      </c>
      <c r="I109" s="182">
        <v>59121110.607700065</v>
      </c>
      <c r="J109" s="182">
        <v>53243778.839608639</v>
      </c>
      <c r="K109" s="182">
        <v>38522163.403741792</v>
      </c>
      <c r="L109" s="182">
        <v>26592528.769841291</v>
      </c>
      <c r="M109" s="182">
        <v>0</v>
      </c>
      <c r="N109" s="182">
        <v>0</v>
      </c>
      <c r="O109" s="182">
        <v>0</v>
      </c>
      <c r="P109" s="182">
        <v>0</v>
      </c>
      <c r="Q109" s="221">
        <v>0</v>
      </c>
    </row>
    <row r="110" spans="5:34" x14ac:dyDescent="0.35">
      <c r="G110" s="221">
        <v>2035</v>
      </c>
      <c r="H110" s="182">
        <v>0</v>
      </c>
      <c r="I110" s="182">
        <v>30737044.965227142</v>
      </c>
      <c r="J110" s="182">
        <v>33438459.70955215</v>
      </c>
      <c r="K110" s="182">
        <v>24716167.500978261</v>
      </c>
      <c r="L110" s="182">
        <v>17429449.831944451</v>
      </c>
      <c r="M110" s="182">
        <v>8961214.2857142873</v>
      </c>
      <c r="N110" s="182">
        <v>0</v>
      </c>
      <c r="O110" s="182">
        <v>0</v>
      </c>
      <c r="P110" s="182">
        <v>0</v>
      </c>
      <c r="Q110" s="221">
        <v>0</v>
      </c>
    </row>
    <row r="111" spans="5:34" x14ac:dyDescent="0.35">
      <c r="G111" s="221">
        <v>2036</v>
      </c>
      <c r="H111" s="182">
        <v>0</v>
      </c>
      <c r="I111" s="182">
        <v>12025118.30061345</v>
      </c>
      <c r="J111" s="182">
        <v>20379214.407443047</v>
      </c>
      <c r="K111" s="182">
        <v>15610099.894846216</v>
      </c>
      <c r="L111" s="182">
        <v>11975603.743289668</v>
      </c>
      <c r="M111" s="182">
        <v>12133219.682539668</v>
      </c>
      <c r="N111" s="182">
        <v>0</v>
      </c>
      <c r="O111" s="182">
        <v>0</v>
      </c>
      <c r="P111" s="182">
        <v>0</v>
      </c>
      <c r="Q111" s="221">
        <v>0</v>
      </c>
    </row>
    <row r="112" spans="5:34" x14ac:dyDescent="0.35">
      <c r="G112" s="221">
        <v>2037</v>
      </c>
      <c r="H112" s="182">
        <v>0</v>
      </c>
      <c r="I112" s="182">
        <v>-2708645.7428555442</v>
      </c>
      <c r="J112" s="182">
        <v>10099328.521566978</v>
      </c>
      <c r="K112" s="182">
        <v>8440338.9437163491</v>
      </c>
      <c r="L112" s="182">
        <v>7402960.8141425736</v>
      </c>
      <c r="M112" s="182">
        <v>7539858.5595238237</v>
      </c>
      <c r="N112" s="182">
        <v>3821696.4285714356</v>
      </c>
      <c r="O112" s="182">
        <v>0</v>
      </c>
      <c r="P112" s="182">
        <v>0</v>
      </c>
      <c r="Q112" s="221">
        <v>0</v>
      </c>
    </row>
    <row r="113" spans="1:17" x14ac:dyDescent="0.35">
      <c r="G113" s="221">
        <v>2038</v>
      </c>
      <c r="H113" s="182">
        <v>0</v>
      </c>
      <c r="I113" s="182">
        <v>-18110962.06101286</v>
      </c>
      <c r="J113" s="182">
        <v>-630769.81808262551</v>
      </c>
      <c r="K113" s="182">
        <v>956717.28787083179</v>
      </c>
      <c r="L113" s="182">
        <v>2633483.5520048924</v>
      </c>
      <c r="M113" s="182">
        <v>2748906.7510129125</v>
      </c>
      <c r="N113" s="182">
        <v>2865492.8968254123</v>
      </c>
      <c r="O113" s="182">
        <v>0</v>
      </c>
      <c r="P113" s="182">
        <v>0</v>
      </c>
      <c r="Q113" s="221">
        <v>0</v>
      </c>
    </row>
    <row r="114" spans="1:17" x14ac:dyDescent="0.35">
      <c r="G114" s="221">
        <v>2039</v>
      </c>
      <c r="H114" s="182">
        <v>0</v>
      </c>
      <c r="I114" s="182">
        <v>-30889510.615935009</v>
      </c>
      <c r="J114" s="182">
        <v>-9527411.6083983295</v>
      </c>
      <c r="K114" s="182">
        <v>-5249575.4612254705</v>
      </c>
      <c r="L114" s="182">
        <v>-1320276.7605411732</v>
      </c>
      <c r="M114" s="182">
        <v>-1222612.3394606265</v>
      </c>
      <c r="N114" s="182">
        <v>-1123963.9001984394</v>
      </c>
      <c r="O114" s="182">
        <v>-524678.57142858463</v>
      </c>
      <c r="P114" s="182">
        <v>0</v>
      </c>
      <c r="Q114" s="221">
        <v>0</v>
      </c>
    </row>
    <row r="115" spans="1:17" x14ac:dyDescent="0.35">
      <c r="G115" s="221">
        <v>2040</v>
      </c>
      <c r="H115" s="182">
        <v>0</v>
      </c>
      <c r="I115" s="182">
        <v>-42653270.028992288</v>
      </c>
      <c r="J115" s="182">
        <v>-17709130.922297023</v>
      </c>
      <c r="K115" s="182">
        <v>-10957861.362382112</v>
      </c>
      <c r="L115" s="182">
        <v>-4954775.3917149622</v>
      </c>
      <c r="M115" s="182">
        <v>-4873367.4613081785</v>
      </c>
      <c r="N115" s="182">
        <v>-4791139.3050426468</v>
      </c>
      <c r="O115" s="182">
        <v>-4708082.6587301455</v>
      </c>
      <c r="P115" s="182">
        <v>0</v>
      </c>
      <c r="Q115" s="221">
        <v>0</v>
      </c>
    </row>
    <row r="116" spans="1:17" x14ac:dyDescent="0.35">
      <c r="G116" s="221">
        <v>2041</v>
      </c>
      <c r="H116" s="182">
        <v>0</v>
      </c>
      <c r="I116" s="182">
        <v>-57868224.903707609</v>
      </c>
      <c r="J116" s="182">
        <v>-28269873.632994667</v>
      </c>
      <c r="K116" s="182">
        <v>-18323964.558077626</v>
      </c>
      <c r="L116" s="182">
        <v>-9641047.6591570042</v>
      </c>
      <c r="M116" s="182">
        <v>-21324390.694053397</v>
      </c>
      <c r="N116" s="182">
        <v>-9519176.4208153188</v>
      </c>
      <c r="O116" s="182">
        <v>-9457318.327380944</v>
      </c>
      <c r="P116" s="182">
        <v>-4705267.8571428526</v>
      </c>
      <c r="Q116" s="221">
        <v>0</v>
      </c>
    </row>
    <row r="117" spans="1:17" x14ac:dyDescent="0.35">
      <c r="G117" s="221">
        <v>2042</v>
      </c>
      <c r="H117" s="182">
        <v>0</v>
      </c>
      <c r="I117" s="182">
        <v>-70326125.960453644</v>
      </c>
      <c r="J117" s="182">
        <v>-36908834.96132949</v>
      </c>
      <c r="K117" s="182">
        <v>-24351134.399262816</v>
      </c>
      <c r="L117" s="182">
        <v>-13473287.429461978</v>
      </c>
      <c r="M117" s="182">
        <v>-13429584.472070888</v>
      </c>
      <c r="N117" s="182">
        <v>-13385441.185395204</v>
      </c>
      <c r="O117" s="182">
        <v>-13340853.132895838</v>
      </c>
      <c r="P117" s="182">
        <v>-13295815.83333334</v>
      </c>
      <c r="Q117" s="221">
        <v>0</v>
      </c>
    </row>
    <row r="118" spans="1:17" x14ac:dyDescent="0.35">
      <c r="G118" s="221">
        <v>2043</v>
      </c>
      <c r="H118" s="221">
        <v>0</v>
      </c>
      <c r="I118" s="221">
        <v>-114657596.90301543</v>
      </c>
      <c r="J118" s="221">
        <v>-79291721.689107209</v>
      </c>
      <c r="K118" s="221">
        <v>-55251662.631406322</v>
      </c>
      <c r="L118" s="221">
        <v>-35108013.418459408</v>
      </c>
      <c r="M118" s="221">
        <v>-35261080.077650644</v>
      </c>
      <c r="N118" s="221">
        <v>-35415688.960447773</v>
      </c>
      <c r="O118" s="221">
        <v>-35571855.605529599</v>
      </c>
      <c r="P118" s="221">
        <v>-35766948.262886897</v>
      </c>
      <c r="Q118" s="221">
        <v>-17924446.428571425</v>
      </c>
    </row>
    <row r="119" spans="1:17" x14ac:dyDescent="0.35">
      <c r="A119"/>
    </row>
    <row r="120" spans="1:17" x14ac:dyDescent="0.35">
      <c r="A120"/>
    </row>
    <row r="121" spans="1:17" x14ac:dyDescent="0.35">
      <c r="A121"/>
    </row>
    <row r="122" spans="1:17" x14ac:dyDescent="0.35">
      <c r="A122"/>
    </row>
    <row r="123" spans="1:17" x14ac:dyDescent="0.35">
      <c r="A123"/>
    </row>
    <row r="124" spans="1:17" x14ac:dyDescent="0.35">
      <c r="A124"/>
    </row>
    <row r="125" spans="1:17" x14ac:dyDescent="0.35">
      <c r="A125"/>
    </row>
    <row r="126" spans="1:17" x14ac:dyDescent="0.35">
      <c r="A126"/>
    </row>
    <row r="127" spans="1:17" x14ac:dyDescent="0.35">
      <c r="A127"/>
    </row>
    <row r="128" spans="1:17" x14ac:dyDescent="0.35">
      <c r="A128"/>
    </row>
    <row r="129" spans="1:1" x14ac:dyDescent="0.35">
      <c r="A129"/>
    </row>
    <row r="130" spans="1:1" x14ac:dyDescent="0.35">
      <c r="A130"/>
    </row>
    <row r="131" spans="1:1" x14ac:dyDescent="0.35">
      <c r="A131"/>
    </row>
    <row r="132" spans="1:1" x14ac:dyDescent="0.35">
      <c r="A132"/>
    </row>
    <row r="133" spans="1:1" x14ac:dyDescent="0.35">
      <c r="A133"/>
    </row>
    <row r="134" spans="1:1" x14ac:dyDescent="0.35">
      <c r="A134"/>
    </row>
    <row r="135" spans="1:1" x14ac:dyDescent="0.35">
      <c r="A135"/>
    </row>
    <row r="136" spans="1:1" x14ac:dyDescent="0.35">
      <c r="A136"/>
    </row>
    <row r="137" spans="1:1" x14ac:dyDescent="0.35">
      <c r="A137"/>
    </row>
    <row r="138" spans="1:1" x14ac:dyDescent="0.35">
      <c r="A138"/>
    </row>
    <row r="139" spans="1:1" x14ac:dyDescent="0.35">
      <c r="A139"/>
    </row>
    <row r="140" spans="1:1" x14ac:dyDescent="0.35">
      <c r="A140"/>
    </row>
    <row r="141" spans="1:1" x14ac:dyDescent="0.35">
      <c r="A141"/>
    </row>
    <row r="142" spans="1:1" x14ac:dyDescent="0.35">
      <c r="A142"/>
    </row>
    <row r="143" spans="1:1" x14ac:dyDescent="0.35">
      <c r="A143"/>
    </row>
    <row r="144" spans="1:1" x14ac:dyDescent="0.35">
      <c r="A144"/>
    </row>
    <row r="145" spans="1:1" x14ac:dyDescent="0.35">
      <c r="A145"/>
    </row>
    <row r="146" spans="1:1" x14ac:dyDescent="0.35">
      <c r="A146"/>
    </row>
    <row r="147" spans="1:1" x14ac:dyDescent="0.35">
      <c r="A147"/>
    </row>
    <row r="148" spans="1:1" x14ac:dyDescent="0.35">
      <c r="A148"/>
    </row>
    <row r="149" spans="1:1" x14ac:dyDescent="0.35">
      <c r="A149"/>
    </row>
    <row r="150" spans="1:1" x14ac:dyDescent="0.35">
      <c r="A150"/>
    </row>
    <row r="151" spans="1:1" x14ac:dyDescent="0.35">
      <c r="A151"/>
    </row>
    <row r="152" spans="1:1" x14ac:dyDescent="0.35">
      <c r="A152"/>
    </row>
    <row r="153" spans="1:1" x14ac:dyDescent="0.35">
      <c r="A153"/>
    </row>
    <row r="154" spans="1:1" x14ac:dyDescent="0.35">
      <c r="A154"/>
    </row>
    <row r="155" spans="1:1" x14ac:dyDescent="0.35">
      <c r="A155"/>
    </row>
    <row r="156" spans="1:1" x14ac:dyDescent="0.35">
      <c r="A156"/>
    </row>
  </sheetData>
  <pageMargins left="0.7" right="0.7" top="0.75" bottom="0.75" header="0.3" footer="0.3"/>
  <pageSetup scale="25" fitToHeight="3" orientation="portrait" r:id="rId1"/>
  <customProperties>
    <customPr name="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FE936-7A56-4E58-A039-E9D231AC805D}">
  <sheetPr>
    <tabColor theme="7" tint="0.59999389629810485"/>
    <pageSetUpPr fitToPage="1"/>
  </sheetPr>
  <dimension ref="A1:Z103"/>
  <sheetViews>
    <sheetView topLeftCell="A60" zoomScale="90" zoomScaleNormal="90" workbookViewId="0">
      <selection activeCell="G20" sqref="G20"/>
    </sheetView>
  </sheetViews>
  <sheetFormatPr defaultRowHeight="14.5" x14ac:dyDescent="0.35"/>
  <cols>
    <col min="1" max="1" width="32.54296875" bestFit="1" customWidth="1"/>
    <col min="2" max="2" width="26.453125" bestFit="1" customWidth="1"/>
    <col min="3" max="3" width="16.453125" bestFit="1" customWidth="1"/>
    <col min="4" max="4" width="25.453125" bestFit="1" customWidth="1"/>
    <col min="5" max="5" width="15.453125" customWidth="1"/>
    <col min="6" max="6" width="15.54296875" bestFit="1" customWidth="1"/>
    <col min="7" max="7" width="23.54296875" style="283" customWidth="1"/>
    <col min="8" max="8" width="13.453125" customWidth="1"/>
    <col min="9" max="9" width="21.1796875" style="188" bestFit="1" customWidth="1"/>
    <col min="10" max="10" width="14.1796875" style="134" customWidth="1"/>
    <col min="11" max="26" width="11.453125" bestFit="1" customWidth="1"/>
  </cols>
  <sheetData>
    <row r="1" spans="1:26" ht="18.5" x14ac:dyDescent="0.45">
      <c r="A1" s="106"/>
      <c r="B1" s="106"/>
      <c r="C1" s="106"/>
      <c r="D1" s="106"/>
      <c r="E1" s="106"/>
      <c r="F1" s="106"/>
      <c r="G1" s="275"/>
      <c r="H1" s="106"/>
      <c r="I1" s="210"/>
      <c r="J1" s="129"/>
      <c r="K1" s="106"/>
      <c r="L1" s="106"/>
      <c r="M1" s="106"/>
      <c r="N1" s="106"/>
      <c r="O1" s="106"/>
      <c r="P1" s="106"/>
    </row>
    <row r="2" spans="1:26" ht="18.5" x14ac:dyDescent="0.45">
      <c r="A2" s="106"/>
      <c r="B2" s="106"/>
      <c r="C2" s="106"/>
      <c r="D2" s="106"/>
      <c r="E2" s="106"/>
      <c r="F2" s="106"/>
      <c r="G2" s="275"/>
      <c r="H2" s="106"/>
      <c r="I2" s="210"/>
      <c r="J2" s="129"/>
      <c r="K2" s="106"/>
      <c r="L2" s="106"/>
      <c r="M2" s="106"/>
      <c r="N2" s="106"/>
      <c r="O2" s="106"/>
      <c r="P2" s="106"/>
    </row>
    <row r="3" spans="1:26" ht="55.5" x14ac:dyDescent="0.45">
      <c r="A3" s="107"/>
      <c r="B3" s="2" t="s">
        <v>104</v>
      </c>
      <c r="C3" s="2" t="s">
        <v>105</v>
      </c>
      <c r="D3" s="2" t="s">
        <v>106</v>
      </c>
      <c r="E3" s="2" t="s">
        <v>107</v>
      </c>
      <c r="F3" s="2" t="s">
        <v>108</v>
      </c>
      <c r="G3" s="276" t="s">
        <v>336</v>
      </c>
      <c r="H3" s="2" t="s">
        <v>109</v>
      </c>
      <c r="I3" s="211" t="s">
        <v>110</v>
      </c>
      <c r="J3" s="289" t="s">
        <v>343</v>
      </c>
      <c r="K3" s="2" t="s">
        <v>111</v>
      </c>
      <c r="L3" s="2" t="s">
        <v>112</v>
      </c>
      <c r="M3" s="2" t="s">
        <v>113</v>
      </c>
      <c r="N3" s="2" t="s">
        <v>114</v>
      </c>
      <c r="O3" s="2" t="s">
        <v>115</v>
      </c>
      <c r="P3" s="2" t="s">
        <v>116</v>
      </c>
      <c r="Q3" s="2" t="s">
        <v>117</v>
      </c>
      <c r="R3" s="2" t="s">
        <v>118</v>
      </c>
      <c r="S3" s="2" t="s">
        <v>119</v>
      </c>
      <c r="T3" s="2" t="s">
        <v>120</v>
      </c>
      <c r="U3" s="2" t="s">
        <v>121</v>
      </c>
      <c r="V3" s="2" t="s">
        <v>122</v>
      </c>
      <c r="W3" s="2" t="s">
        <v>123</v>
      </c>
      <c r="X3" s="2" t="s">
        <v>124</v>
      </c>
      <c r="Y3" s="2" t="s">
        <v>125</v>
      </c>
      <c r="Z3" s="2" t="s">
        <v>126</v>
      </c>
    </row>
    <row r="4" spans="1:26" ht="18.5" x14ac:dyDescent="0.45">
      <c r="A4" s="108" t="s">
        <v>127</v>
      </c>
      <c r="B4" s="109">
        <v>667000</v>
      </c>
      <c r="C4" s="110">
        <f>C6+C13+C26+C43+C58+C75</f>
        <v>667000</v>
      </c>
      <c r="D4" s="109">
        <v>800000</v>
      </c>
      <c r="E4" s="110">
        <f>E6+E13+E26+E43+E58+E75</f>
        <v>800000</v>
      </c>
      <c r="F4" s="110"/>
      <c r="G4" s="277"/>
      <c r="H4" s="110"/>
      <c r="I4" s="212"/>
      <c r="J4" s="130"/>
      <c r="K4" s="110"/>
      <c r="L4" s="110"/>
      <c r="M4" s="110"/>
      <c r="N4" s="110"/>
      <c r="O4" s="110"/>
      <c r="P4" s="110"/>
      <c r="Q4" s="110"/>
      <c r="R4" s="110"/>
      <c r="S4" s="110"/>
      <c r="T4" s="110"/>
      <c r="U4" s="110"/>
      <c r="V4" s="110"/>
      <c r="W4" s="110"/>
      <c r="X4" s="110"/>
      <c r="Y4" s="110"/>
      <c r="Z4" s="110"/>
    </row>
    <row r="5" spans="1:26" ht="18.5" x14ac:dyDescent="0.45">
      <c r="A5" s="111" t="s">
        <v>128</v>
      </c>
      <c r="B5" s="111"/>
      <c r="C5" s="112">
        <f>C6+C13+C26+C43+C58+C75</f>
        <v>667000</v>
      </c>
      <c r="D5" s="111"/>
      <c r="E5" s="112">
        <f>E6+E13+E26+E43+E58+E75</f>
        <v>800000</v>
      </c>
      <c r="F5" s="110"/>
      <c r="G5" s="277"/>
      <c r="H5" s="110"/>
      <c r="I5" s="212"/>
      <c r="J5" s="130"/>
      <c r="K5" s="110"/>
      <c r="L5" s="110"/>
      <c r="M5" s="110"/>
      <c r="N5" s="110"/>
      <c r="O5" s="110"/>
      <c r="P5" s="110"/>
      <c r="Q5" s="110"/>
      <c r="R5" s="110"/>
      <c r="S5" s="110"/>
      <c r="T5" s="110"/>
      <c r="U5" s="110"/>
      <c r="V5" s="110"/>
      <c r="W5" s="110"/>
      <c r="X5" s="110"/>
      <c r="Y5" s="110"/>
      <c r="Z5" s="110"/>
    </row>
    <row r="6" spans="1:26" ht="18.5" x14ac:dyDescent="0.45">
      <c r="A6" s="111" t="s">
        <v>129</v>
      </c>
      <c r="B6" s="113">
        <v>0.18</v>
      </c>
      <c r="C6" s="114">
        <f>B4*B6</f>
        <v>120060</v>
      </c>
      <c r="D6" s="113">
        <v>0.18</v>
      </c>
      <c r="E6" s="114">
        <f>D4*D6</f>
        <v>144000</v>
      </c>
      <c r="F6" s="114"/>
      <c r="G6" s="278"/>
      <c r="H6" s="115"/>
      <c r="I6" s="213">
        <f>SUM(I8:I12)</f>
        <v>0</v>
      </c>
      <c r="J6" s="284"/>
      <c r="K6" s="115"/>
      <c r="L6" s="115"/>
      <c r="M6" s="115"/>
      <c r="N6" s="115"/>
      <c r="O6" s="115"/>
      <c r="P6" s="115"/>
      <c r="Q6" s="115"/>
      <c r="R6" s="115"/>
      <c r="S6" s="115"/>
      <c r="T6" s="115"/>
      <c r="U6" s="115"/>
      <c r="V6" s="115"/>
      <c r="W6" s="115"/>
      <c r="X6" s="115"/>
      <c r="Y6" s="115"/>
      <c r="Z6" s="115"/>
    </row>
    <row r="7" spans="1:26" ht="18.5" x14ac:dyDescent="0.45">
      <c r="A7" s="116" t="s">
        <v>130</v>
      </c>
      <c r="B7" s="117"/>
      <c r="C7" s="118">
        <f>C6*0.3</f>
        <v>36018</v>
      </c>
      <c r="D7" s="117"/>
      <c r="E7" s="118">
        <f>E6*0.3</f>
        <v>43200</v>
      </c>
      <c r="F7" s="118"/>
      <c r="G7" s="279">
        <v>0</v>
      </c>
      <c r="H7" s="119"/>
      <c r="I7" s="212"/>
      <c r="J7" s="285"/>
      <c r="K7" s="119"/>
      <c r="L7" s="119"/>
      <c r="M7" s="119"/>
      <c r="N7" s="119"/>
      <c r="O7" s="119"/>
      <c r="P7" s="119"/>
      <c r="Q7" s="119"/>
      <c r="R7" s="119"/>
      <c r="S7" s="119"/>
      <c r="T7" s="119"/>
      <c r="U7" s="119"/>
      <c r="V7" s="119"/>
      <c r="W7" s="119"/>
      <c r="X7" s="119"/>
      <c r="Y7" s="119"/>
      <c r="Z7" s="119"/>
    </row>
    <row r="8" spans="1:26" ht="18.5" x14ac:dyDescent="0.45">
      <c r="A8" s="107" t="s">
        <v>131</v>
      </c>
      <c r="B8" s="120">
        <v>0.38</v>
      </c>
      <c r="C8" s="118">
        <f>$C$7*$B$8</f>
        <v>13686.84</v>
      </c>
      <c r="D8" s="120">
        <v>0.38</v>
      </c>
      <c r="E8" s="118">
        <f>$E$7*$D$8</f>
        <v>16416</v>
      </c>
      <c r="F8" s="121">
        <v>0.14884</v>
      </c>
      <c r="G8" s="280">
        <f>F8*D8*$G$7*8760/1000</f>
        <v>0</v>
      </c>
      <c r="H8" s="122">
        <v>75.209246731677993</v>
      </c>
      <c r="I8" s="214">
        <f>H8*G8*15*0.96</f>
        <v>0</v>
      </c>
      <c r="J8" s="286">
        <v>73.709999999999994</v>
      </c>
      <c r="K8" s="122">
        <f>J8*$B$93</f>
        <v>70.761599999999987</v>
      </c>
      <c r="L8" s="122">
        <f t="shared" ref="L8:Z8" si="0">K8*$B$93</f>
        <v>67.931135999999981</v>
      </c>
      <c r="M8" s="122">
        <f t="shared" si="0"/>
        <v>65.213890559999982</v>
      </c>
      <c r="N8" s="122">
        <f t="shared" si="0"/>
        <v>62.605334937599977</v>
      </c>
      <c r="O8" s="122">
        <f t="shared" si="0"/>
        <v>60.101121540095974</v>
      </c>
      <c r="P8" s="122">
        <f t="shared" si="0"/>
        <v>57.697076678492131</v>
      </c>
      <c r="Q8" s="122">
        <f t="shared" si="0"/>
        <v>55.389193611352447</v>
      </c>
      <c r="R8" s="122">
        <f t="shared" si="0"/>
        <v>53.173625866898348</v>
      </c>
      <c r="S8" s="122">
        <f t="shared" si="0"/>
        <v>51.046680832222414</v>
      </c>
      <c r="T8" s="122">
        <f t="shared" si="0"/>
        <v>49.004813598933517</v>
      </c>
      <c r="U8" s="122">
        <f t="shared" si="0"/>
        <v>47.044621054976176</v>
      </c>
      <c r="V8" s="122">
        <f t="shared" si="0"/>
        <v>45.16283621277713</v>
      </c>
      <c r="W8" s="122">
        <f t="shared" si="0"/>
        <v>43.356322764266039</v>
      </c>
      <c r="X8" s="122">
        <f t="shared" si="0"/>
        <v>41.622069853695393</v>
      </c>
      <c r="Y8" s="122">
        <f t="shared" si="0"/>
        <v>39.957187059547579</v>
      </c>
      <c r="Z8" s="122">
        <f t="shared" si="0"/>
        <v>38.358899577165673</v>
      </c>
    </row>
    <row r="9" spans="1:26" ht="18.5" x14ac:dyDescent="0.45">
      <c r="A9" s="107" t="s">
        <v>132</v>
      </c>
      <c r="B9" s="120">
        <v>0.62</v>
      </c>
      <c r="C9" s="118">
        <f>$C$7*$B$9</f>
        <v>22331.16</v>
      </c>
      <c r="D9" s="120">
        <v>0.62</v>
      </c>
      <c r="E9" s="118">
        <f>$E$7*$D$9</f>
        <v>26784</v>
      </c>
      <c r="F9" s="121">
        <v>0.15130000000000002</v>
      </c>
      <c r="G9" s="280">
        <f>F9*D9*$G$7*8760/1000</f>
        <v>0</v>
      </c>
      <c r="H9" s="122">
        <v>64.706670100989783</v>
      </c>
      <c r="I9" s="214">
        <f>H9*G9*15*0.96</f>
        <v>0</v>
      </c>
      <c r="J9" s="286">
        <v>63.53</v>
      </c>
      <c r="K9" s="122">
        <f t="shared" ref="K9:Z9" si="1">J9*$B$93</f>
        <v>60.988799999999998</v>
      </c>
      <c r="L9" s="122">
        <f t="shared" si="1"/>
        <v>58.549247999999999</v>
      </c>
      <c r="M9" s="122">
        <f t="shared" si="1"/>
        <v>56.207278079999995</v>
      </c>
      <c r="N9" s="122">
        <f t="shared" si="1"/>
        <v>53.95898695679999</v>
      </c>
      <c r="O9" s="122">
        <f t="shared" si="1"/>
        <v>51.800627478527986</v>
      </c>
      <c r="P9" s="122">
        <f t="shared" si="1"/>
        <v>49.728602379386864</v>
      </c>
      <c r="Q9" s="122">
        <f t="shared" si="1"/>
        <v>47.739458284211388</v>
      </c>
      <c r="R9" s="122">
        <f t="shared" si="1"/>
        <v>45.82987995284293</v>
      </c>
      <c r="S9" s="122">
        <f t="shared" si="1"/>
        <v>43.996684754729209</v>
      </c>
      <c r="T9" s="122">
        <f t="shared" si="1"/>
        <v>42.236817364540038</v>
      </c>
      <c r="U9" s="122">
        <f t="shared" si="1"/>
        <v>40.547344669958434</v>
      </c>
      <c r="V9" s="122">
        <f t="shared" si="1"/>
        <v>38.925450883160096</v>
      </c>
      <c r="W9" s="122">
        <f t="shared" si="1"/>
        <v>37.368432847833688</v>
      </c>
      <c r="X9" s="122">
        <f t="shared" si="1"/>
        <v>35.87369553392034</v>
      </c>
      <c r="Y9" s="122">
        <f t="shared" si="1"/>
        <v>34.438747712563526</v>
      </c>
      <c r="Z9" s="122">
        <f t="shared" si="1"/>
        <v>33.061197804060981</v>
      </c>
    </row>
    <row r="10" spans="1:26" ht="18.5" x14ac:dyDescent="0.45">
      <c r="A10" s="116" t="s">
        <v>133</v>
      </c>
      <c r="B10" s="117"/>
      <c r="C10" s="118">
        <f>C6*0.7</f>
        <v>84042</v>
      </c>
      <c r="D10" s="117"/>
      <c r="E10" s="118">
        <f>E6*0.7</f>
        <v>100800</v>
      </c>
      <c r="F10" s="118"/>
      <c r="G10" s="281">
        <v>0</v>
      </c>
      <c r="H10" s="123"/>
      <c r="I10" s="212"/>
      <c r="J10" s="287"/>
      <c r="K10" s="123"/>
      <c r="L10" s="123"/>
      <c r="M10" s="123"/>
      <c r="N10" s="123"/>
      <c r="O10" s="123"/>
      <c r="P10" s="123"/>
      <c r="Q10" s="123"/>
      <c r="R10" s="123"/>
      <c r="S10" s="123"/>
      <c r="T10" s="123"/>
      <c r="U10" s="123"/>
      <c r="V10" s="123"/>
      <c r="W10" s="123"/>
      <c r="X10" s="123"/>
      <c r="Y10" s="123"/>
      <c r="Z10" s="123"/>
    </row>
    <row r="11" spans="1:26" ht="18.5" x14ac:dyDescent="0.45">
      <c r="A11" s="107" t="s">
        <v>134</v>
      </c>
      <c r="B11" s="120">
        <v>0.38</v>
      </c>
      <c r="C11" s="118">
        <f>$C$10*B11</f>
        <v>31935.96</v>
      </c>
      <c r="D11" s="120">
        <v>0.38</v>
      </c>
      <c r="E11" s="118">
        <f>$E$10*D11</f>
        <v>38304</v>
      </c>
      <c r="F11" s="121">
        <v>0.13464999999999999</v>
      </c>
      <c r="G11" s="280">
        <f>F11*D11*$G$10*8760/1000</f>
        <v>0</v>
      </c>
      <c r="H11" s="122">
        <v>83.751234124420606</v>
      </c>
      <c r="I11" s="214">
        <f>H11*G11*15*0.96</f>
        <v>0</v>
      </c>
      <c r="J11" s="286">
        <v>83.87</v>
      </c>
      <c r="K11" s="122">
        <f t="shared" ref="K11:Z12" si="2">J11*$B$93</f>
        <v>80.515200000000007</v>
      </c>
      <c r="L11" s="122">
        <f t="shared" si="2"/>
        <v>77.294592000000009</v>
      </c>
      <c r="M11" s="122">
        <f t="shared" si="2"/>
        <v>74.202808320000003</v>
      </c>
      <c r="N11" s="122">
        <f t="shared" si="2"/>
        <v>71.234695987199999</v>
      </c>
      <c r="O11" s="122">
        <f t="shared" si="2"/>
        <v>68.385308147711996</v>
      </c>
      <c r="P11" s="122">
        <f t="shared" si="2"/>
        <v>65.649895821803511</v>
      </c>
      <c r="Q11" s="122">
        <f t="shared" si="2"/>
        <v>63.023899988931369</v>
      </c>
      <c r="R11" s="122">
        <f t="shared" si="2"/>
        <v>60.50294398937411</v>
      </c>
      <c r="S11" s="122">
        <f t="shared" si="2"/>
        <v>58.082826229799146</v>
      </c>
      <c r="T11" s="122">
        <f t="shared" si="2"/>
        <v>55.759513180607179</v>
      </c>
      <c r="U11" s="122">
        <f t="shared" si="2"/>
        <v>53.529132653382888</v>
      </c>
      <c r="V11" s="122">
        <f t="shared" si="2"/>
        <v>51.387967347247567</v>
      </c>
      <c r="W11" s="122">
        <f t="shared" si="2"/>
        <v>49.332448653357666</v>
      </c>
      <c r="X11" s="122">
        <f t="shared" si="2"/>
        <v>47.359150707223357</v>
      </c>
      <c r="Y11" s="122">
        <f t="shared" si="2"/>
        <v>45.464784678934421</v>
      </c>
      <c r="Z11" s="122">
        <f t="shared" si="2"/>
        <v>43.646193291777045</v>
      </c>
    </row>
    <row r="12" spans="1:26" ht="18.5" x14ac:dyDescent="0.45">
      <c r="A12" s="107" t="s">
        <v>132</v>
      </c>
      <c r="B12" s="120">
        <v>0.62</v>
      </c>
      <c r="C12" s="118">
        <f>$C$10*B12</f>
        <v>52106.04</v>
      </c>
      <c r="D12" s="120">
        <v>0.62</v>
      </c>
      <c r="E12" s="118">
        <f>$E$10*D12</f>
        <v>62496</v>
      </c>
      <c r="F12" s="121">
        <v>0.13319</v>
      </c>
      <c r="G12" s="280">
        <f>F12*D12*$G$10*8760/1000</f>
        <v>0</v>
      </c>
      <c r="H12" s="122">
        <v>76.270491331333176</v>
      </c>
      <c r="I12" s="214">
        <f>H12*G12*15*0.96</f>
        <v>0</v>
      </c>
      <c r="J12" s="286">
        <v>77.53</v>
      </c>
      <c r="K12" s="122">
        <f t="shared" si="2"/>
        <v>74.428799999999995</v>
      </c>
      <c r="L12" s="122">
        <f t="shared" si="2"/>
        <v>71.451647999999992</v>
      </c>
      <c r="M12" s="122">
        <f t="shared" si="2"/>
        <v>68.59358207999999</v>
      </c>
      <c r="N12" s="122">
        <f t="shared" si="2"/>
        <v>65.849838796799986</v>
      </c>
      <c r="O12" s="122">
        <f t="shared" si="2"/>
        <v>63.215845244927984</v>
      </c>
      <c r="P12" s="122">
        <f t="shared" si="2"/>
        <v>60.687211435130862</v>
      </c>
      <c r="Q12" s="122">
        <f t="shared" si="2"/>
        <v>58.259722977725623</v>
      </c>
      <c r="R12" s="122">
        <f t="shared" si="2"/>
        <v>55.929334058616597</v>
      </c>
      <c r="S12" s="122">
        <f t="shared" si="2"/>
        <v>53.692160696271934</v>
      </c>
      <c r="T12" s="122">
        <f t="shared" si="2"/>
        <v>51.544474268421055</v>
      </c>
      <c r="U12" s="122">
        <f t="shared" si="2"/>
        <v>49.482695297684209</v>
      </c>
      <c r="V12" s="122">
        <f t="shared" si="2"/>
        <v>47.503387485776841</v>
      </c>
      <c r="W12" s="122">
        <f t="shared" si="2"/>
        <v>45.603251986345768</v>
      </c>
      <c r="X12" s="122">
        <f t="shared" si="2"/>
        <v>43.779121906891937</v>
      </c>
      <c r="Y12" s="122">
        <f t="shared" si="2"/>
        <v>42.027957030616257</v>
      </c>
      <c r="Z12" s="122">
        <f t="shared" si="2"/>
        <v>40.346838749391608</v>
      </c>
    </row>
    <row r="13" spans="1:26" ht="18.5" x14ac:dyDescent="0.45">
      <c r="A13" s="111" t="s">
        <v>135</v>
      </c>
      <c r="B13" s="113">
        <v>0.18</v>
      </c>
      <c r="C13" s="114">
        <f>B4*B13</f>
        <v>120060</v>
      </c>
      <c r="D13" s="113">
        <v>0.18</v>
      </c>
      <c r="E13" s="114">
        <f>D4*D13</f>
        <v>144000</v>
      </c>
      <c r="F13" s="114"/>
      <c r="G13" s="278"/>
      <c r="H13" s="115"/>
      <c r="I13" s="213">
        <f>SUM(I15:I25)</f>
        <v>44227752.114068471</v>
      </c>
      <c r="J13" s="284"/>
      <c r="K13" s="115"/>
      <c r="L13" s="115"/>
      <c r="M13" s="115"/>
      <c r="N13" s="115"/>
      <c r="O13" s="115"/>
      <c r="P13" s="115"/>
      <c r="Q13" s="115"/>
      <c r="R13" s="115"/>
      <c r="S13" s="115"/>
      <c r="T13" s="115"/>
      <c r="U13" s="115"/>
      <c r="V13" s="115"/>
      <c r="W13" s="115"/>
      <c r="X13" s="115"/>
      <c r="Y13" s="115"/>
      <c r="Z13" s="115"/>
    </row>
    <row r="14" spans="1:26" ht="18.5" x14ac:dyDescent="0.45">
      <c r="A14" s="116" t="s">
        <v>136</v>
      </c>
      <c r="B14" s="117"/>
      <c r="C14" s="118">
        <f>C13*0.3</f>
        <v>36018</v>
      </c>
      <c r="D14" s="117"/>
      <c r="E14" s="118">
        <f>E13*0.3</f>
        <v>43200</v>
      </c>
      <c r="F14" s="118"/>
      <c r="G14" s="279">
        <v>0</v>
      </c>
      <c r="H14" s="123"/>
      <c r="I14" s="212"/>
      <c r="J14" s="287"/>
      <c r="K14" s="123"/>
      <c r="L14" s="123"/>
      <c r="M14" s="123"/>
      <c r="N14" s="123"/>
      <c r="O14" s="123"/>
      <c r="P14" s="123"/>
      <c r="Q14" s="123"/>
      <c r="R14" s="123"/>
      <c r="S14" s="123"/>
      <c r="T14" s="123"/>
      <c r="U14" s="123"/>
      <c r="V14" s="123"/>
      <c r="W14" s="123"/>
      <c r="X14" s="123"/>
      <c r="Y14" s="123"/>
      <c r="Z14" s="123"/>
    </row>
    <row r="15" spans="1:26" ht="18.5" x14ac:dyDescent="0.45">
      <c r="A15" s="107" t="s">
        <v>137</v>
      </c>
      <c r="B15" s="120">
        <v>8.2589858081657974E-2</v>
      </c>
      <c r="C15" s="118">
        <f>$C$14*B15</f>
        <v>2974.721508385157</v>
      </c>
      <c r="D15" s="120">
        <v>8.2589858081657974E-2</v>
      </c>
      <c r="E15" s="118">
        <f>$E$14*D15</f>
        <v>3567.8818691276247</v>
      </c>
      <c r="F15" s="121">
        <v>0.15196999999999999</v>
      </c>
      <c r="G15" s="280">
        <f>F15*D15*$G$14*8760/1000</f>
        <v>0</v>
      </c>
      <c r="H15" s="122">
        <v>59.27799510161713</v>
      </c>
      <c r="I15" s="214">
        <f>H15*G15*15*0.96</f>
        <v>0</v>
      </c>
      <c r="J15" s="286">
        <v>55.89</v>
      </c>
      <c r="K15" s="122">
        <f t="shared" ref="K15:Z19" si="3">J15*$B$93</f>
        <v>53.654399999999995</v>
      </c>
      <c r="L15" s="122">
        <f t="shared" si="3"/>
        <v>51.508223999999991</v>
      </c>
      <c r="M15" s="122">
        <f t="shared" si="3"/>
        <v>49.447895039999992</v>
      </c>
      <c r="N15" s="122">
        <f t="shared" si="3"/>
        <v>47.469979238399993</v>
      </c>
      <c r="O15" s="122">
        <f t="shared" si="3"/>
        <v>45.571180068863995</v>
      </c>
      <c r="P15" s="122">
        <f t="shared" si="3"/>
        <v>43.748332866109436</v>
      </c>
      <c r="Q15" s="122">
        <f t="shared" si="3"/>
        <v>41.998399551465056</v>
      </c>
      <c r="R15" s="122">
        <f t="shared" si="3"/>
        <v>40.318463569406454</v>
      </c>
      <c r="S15" s="122">
        <f t="shared" si="3"/>
        <v>38.705725026630198</v>
      </c>
      <c r="T15" s="122">
        <f t="shared" si="3"/>
        <v>37.157496025564988</v>
      </c>
      <c r="U15" s="122">
        <f t="shared" si="3"/>
        <v>35.671196184542389</v>
      </c>
      <c r="V15" s="122">
        <f t="shared" si="3"/>
        <v>34.244348337160694</v>
      </c>
      <c r="W15" s="122">
        <f t="shared" si="3"/>
        <v>32.874574403674266</v>
      </c>
      <c r="X15" s="122">
        <f t="shared" si="3"/>
        <v>31.559591427527295</v>
      </c>
      <c r="Y15" s="122">
        <f t="shared" si="3"/>
        <v>30.297207770426201</v>
      </c>
      <c r="Z15" s="122">
        <f t="shared" si="3"/>
        <v>29.085319459609153</v>
      </c>
    </row>
    <row r="16" spans="1:26" ht="18.5" x14ac:dyDescent="0.45">
      <c r="A16" s="107" t="s">
        <v>138</v>
      </c>
      <c r="B16" s="120">
        <v>6.3796727298494463E-2</v>
      </c>
      <c r="C16" s="118">
        <f>$C$14*B16</f>
        <v>2297.8305238371736</v>
      </c>
      <c r="D16" s="120">
        <v>6.3796727298494463E-2</v>
      </c>
      <c r="E16" s="118">
        <f>$E$14*D16</f>
        <v>2756.0186192949609</v>
      </c>
      <c r="F16" s="121">
        <v>0.14819000000000002</v>
      </c>
      <c r="G16" s="280">
        <f t="shared" ref="G16:G18" si="4">F16*D16*$G$14*8760/1000</f>
        <v>0</v>
      </c>
      <c r="H16" s="122">
        <v>60.436049575549703</v>
      </c>
      <c r="I16" s="214">
        <f>H16*G16*15*0.96</f>
        <v>0</v>
      </c>
      <c r="J16" s="286">
        <v>53.63</v>
      </c>
      <c r="K16" s="122">
        <f t="shared" si="3"/>
        <v>51.4848</v>
      </c>
      <c r="L16" s="122">
        <f t="shared" si="3"/>
        <v>49.425407999999997</v>
      </c>
      <c r="M16" s="122">
        <f t="shared" si="3"/>
        <v>47.448391679999993</v>
      </c>
      <c r="N16" s="122">
        <f t="shared" si="3"/>
        <v>45.550456012799991</v>
      </c>
      <c r="O16" s="122">
        <f t="shared" si="3"/>
        <v>43.72843777228799</v>
      </c>
      <c r="P16" s="122">
        <f t="shared" si="3"/>
        <v>41.979300261396467</v>
      </c>
      <c r="Q16" s="122">
        <f t="shared" si="3"/>
        <v>40.30012825094061</v>
      </c>
      <c r="R16" s="122">
        <f t="shared" si="3"/>
        <v>38.688123120902986</v>
      </c>
      <c r="S16" s="122">
        <f t="shared" si="3"/>
        <v>37.140598196066868</v>
      </c>
      <c r="T16" s="122">
        <f t="shared" si="3"/>
        <v>35.654974268224194</v>
      </c>
      <c r="U16" s="122">
        <f t="shared" si="3"/>
        <v>34.228775297495226</v>
      </c>
      <c r="V16" s="122">
        <f t="shared" si="3"/>
        <v>32.859624285595416</v>
      </c>
      <c r="W16" s="122">
        <f t="shared" si="3"/>
        <v>31.545239314171599</v>
      </c>
      <c r="X16" s="122">
        <f t="shared" si="3"/>
        <v>30.283429741604735</v>
      </c>
      <c r="Y16" s="122">
        <f t="shared" si="3"/>
        <v>29.072092551940543</v>
      </c>
      <c r="Z16" s="122">
        <f t="shared" si="3"/>
        <v>27.909208849862921</v>
      </c>
    </row>
    <row r="17" spans="1:26" ht="18.5" x14ac:dyDescent="0.45">
      <c r="A17" s="107" t="s">
        <v>139</v>
      </c>
      <c r="B17" s="120">
        <v>0.14809231752718796</v>
      </c>
      <c r="C17" s="118">
        <f>$C$14*B17</f>
        <v>5333.9890926942562</v>
      </c>
      <c r="D17" s="120">
        <v>0.14809231752718796</v>
      </c>
      <c r="E17" s="118">
        <f>$E$14*D17</f>
        <v>6397.5881171745195</v>
      </c>
      <c r="F17" s="121">
        <v>0.15303</v>
      </c>
      <c r="G17" s="280">
        <f t="shared" si="4"/>
        <v>0</v>
      </c>
      <c r="H17" s="122">
        <v>53.394693513735859</v>
      </c>
      <c r="I17" s="214">
        <f>H17*G17*15*0.96</f>
        <v>0</v>
      </c>
      <c r="J17" s="286">
        <v>46.58</v>
      </c>
      <c r="K17" s="122">
        <f t="shared" si="3"/>
        <v>44.716799999999999</v>
      </c>
      <c r="L17" s="122">
        <f t="shared" si="3"/>
        <v>42.928128000000001</v>
      </c>
      <c r="M17" s="122">
        <f t="shared" si="3"/>
        <v>41.211002880000002</v>
      </c>
      <c r="N17" s="122">
        <f t="shared" si="3"/>
        <v>39.562562764799999</v>
      </c>
      <c r="O17" s="122">
        <f t="shared" si="3"/>
        <v>37.980060254207999</v>
      </c>
      <c r="P17" s="122">
        <f t="shared" si="3"/>
        <v>36.46085784403968</v>
      </c>
      <c r="Q17" s="122">
        <f t="shared" si="3"/>
        <v>35.002423530278094</v>
      </c>
      <c r="R17" s="122">
        <f t="shared" si="3"/>
        <v>33.602326589066969</v>
      </c>
      <c r="S17" s="122">
        <f t="shared" si="3"/>
        <v>32.258233525504288</v>
      </c>
      <c r="T17" s="122">
        <f t="shared" si="3"/>
        <v>30.967904184484116</v>
      </c>
      <c r="U17" s="122">
        <f t="shared" si="3"/>
        <v>29.72918801710475</v>
      </c>
      <c r="V17" s="122">
        <f t="shared" si="3"/>
        <v>28.54002049642056</v>
      </c>
      <c r="W17" s="122">
        <f t="shared" si="3"/>
        <v>27.398419676563737</v>
      </c>
      <c r="X17" s="122">
        <f t="shared" si="3"/>
        <v>26.302482889501185</v>
      </c>
      <c r="Y17" s="122">
        <f t="shared" si="3"/>
        <v>25.250383573921138</v>
      </c>
      <c r="Z17" s="122">
        <f t="shared" si="3"/>
        <v>24.24036823096429</v>
      </c>
    </row>
    <row r="18" spans="1:26" ht="18.5" x14ac:dyDescent="0.45">
      <c r="A18" s="107" t="s">
        <v>140</v>
      </c>
      <c r="B18" s="120">
        <v>0.7055190579627767</v>
      </c>
      <c r="C18" s="118">
        <f>$C$14*B18</f>
        <v>25411.385429703292</v>
      </c>
      <c r="D18" s="120">
        <v>0.7055190579627767</v>
      </c>
      <c r="E18" s="118">
        <f>$E$14*D18</f>
        <v>30478.423303991953</v>
      </c>
      <c r="F18" s="121">
        <v>0.14410999999999999</v>
      </c>
      <c r="G18" s="280">
        <f t="shared" si="4"/>
        <v>0</v>
      </c>
      <c r="H18" s="122">
        <v>50.013495974809175</v>
      </c>
      <c r="I18" s="214">
        <f>H18*G18*15*0.96</f>
        <v>0</v>
      </c>
      <c r="J18" s="286">
        <v>43.77</v>
      </c>
      <c r="K18" s="122">
        <f t="shared" si="3"/>
        <v>42.019200000000005</v>
      </c>
      <c r="L18" s="122">
        <f t="shared" si="3"/>
        <v>40.338432000000005</v>
      </c>
      <c r="M18" s="122">
        <f t="shared" si="3"/>
        <v>38.724894720000002</v>
      </c>
      <c r="N18" s="122">
        <f t="shared" si="3"/>
        <v>37.175898931200003</v>
      </c>
      <c r="O18" s="122">
        <f t="shared" si="3"/>
        <v>35.688862973951998</v>
      </c>
      <c r="P18" s="122">
        <f t="shared" si="3"/>
        <v>34.261308454993916</v>
      </c>
      <c r="Q18" s="122">
        <f t="shared" si="3"/>
        <v>32.890856116794161</v>
      </c>
      <c r="R18" s="122">
        <f t="shared" si="3"/>
        <v>31.575221872122395</v>
      </c>
      <c r="S18" s="122">
        <f t="shared" si="3"/>
        <v>30.312212997237499</v>
      </c>
      <c r="T18" s="122">
        <f t="shared" si="3"/>
        <v>29.099724477347998</v>
      </c>
      <c r="U18" s="122">
        <f t="shared" si="3"/>
        <v>27.935735498254076</v>
      </c>
      <c r="V18" s="122">
        <f t="shared" si="3"/>
        <v>26.818306078323911</v>
      </c>
      <c r="W18" s="122">
        <f t="shared" si="3"/>
        <v>25.745573835190953</v>
      </c>
      <c r="X18" s="122">
        <f t="shared" si="3"/>
        <v>24.715750881783315</v>
      </c>
      <c r="Y18" s="122">
        <f t="shared" si="3"/>
        <v>23.72712084651198</v>
      </c>
      <c r="Z18" s="122">
        <f t="shared" si="3"/>
        <v>22.778036012651501</v>
      </c>
    </row>
    <row r="19" spans="1:26" ht="18.5" x14ac:dyDescent="0.45">
      <c r="A19" s="107" t="s">
        <v>141</v>
      </c>
      <c r="B19" s="120">
        <v>0</v>
      </c>
      <c r="C19" s="118">
        <f>$C$14*B19</f>
        <v>0</v>
      </c>
      <c r="D19" s="120">
        <v>0</v>
      </c>
      <c r="E19" s="118">
        <f>$E$14*D19</f>
        <v>0</v>
      </c>
      <c r="F19" s="121"/>
      <c r="G19" s="280"/>
      <c r="H19" s="122">
        <v>40.157397457835735</v>
      </c>
      <c r="I19" s="214">
        <f>H19*G19*15.96</f>
        <v>0</v>
      </c>
      <c r="J19" s="286">
        <v>33.03</v>
      </c>
      <c r="K19" s="122">
        <f t="shared" si="3"/>
        <v>31.7088</v>
      </c>
      <c r="L19" s="122">
        <f t="shared" ref="L19" si="5">K19*$B$93</f>
        <v>30.440448</v>
      </c>
      <c r="M19" s="122">
        <f t="shared" ref="M19" si="6">L19*$B$93</f>
        <v>29.222830079999998</v>
      </c>
      <c r="N19" s="122">
        <f t="shared" ref="N19" si="7">M19*$B$93</f>
        <v>28.053916876799995</v>
      </c>
      <c r="O19" s="122">
        <f t="shared" ref="O19" si="8">N19*$B$93</f>
        <v>26.931760201727993</v>
      </c>
      <c r="P19" s="122">
        <f t="shared" ref="P19" si="9">O19*$B$93</f>
        <v>25.854489793658871</v>
      </c>
      <c r="Q19" s="122">
        <f t="shared" ref="Q19" si="10">P19*$B$93</f>
        <v>24.820310201912516</v>
      </c>
      <c r="R19" s="122">
        <f t="shared" ref="R19" si="11">Q19*$B$93</f>
        <v>23.827497793836013</v>
      </c>
      <c r="S19" s="122">
        <f t="shared" ref="S19" si="12">R19*$B$93</f>
        <v>22.874397882082572</v>
      </c>
      <c r="T19" s="122">
        <f t="shared" ref="T19" si="13">S19*$B$93</f>
        <v>21.959421966799269</v>
      </c>
      <c r="U19" s="122">
        <f t="shared" ref="U19" si="14">T19*$B$93</f>
        <v>21.081045088127297</v>
      </c>
      <c r="V19" s="122">
        <f t="shared" ref="V19" si="15">U19*$B$93</f>
        <v>20.237803284602204</v>
      </c>
      <c r="W19" s="122">
        <f t="shared" ref="W19" si="16">V19*$B$93</f>
        <v>19.428291153218115</v>
      </c>
      <c r="X19" s="122">
        <f t="shared" ref="X19" si="17">W19*$B$93</f>
        <v>18.651159507089389</v>
      </c>
      <c r="Y19" s="122">
        <f t="shared" ref="Y19" si="18">X19*$B$93</f>
        <v>17.905113126805812</v>
      </c>
      <c r="Z19" s="122">
        <f t="shared" ref="Z19" si="19">Y19*$B$93</f>
        <v>17.18890860173358</v>
      </c>
    </row>
    <row r="20" spans="1:26" ht="18.5" x14ac:dyDescent="0.45">
      <c r="A20" s="116" t="s">
        <v>142</v>
      </c>
      <c r="B20" s="117"/>
      <c r="C20" s="118">
        <f>C13*0.7</f>
        <v>84042</v>
      </c>
      <c r="D20" s="117"/>
      <c r="E20" s="118">
        <f>E13*0.7</f>
        <v>100800</v>
      </c>
      <c r="F20" s="118"/>
      <c r="G20" s="277">
        <v>44000</v>
      </c>
      <c r="H20" s="123"/>
      <c r="I20" s="212"/>
      <c r="J20" s="287"/>
      <c r="K20" s="123"/>
      <c r="L20" s="123"/>
      <c r="M20" s="123"/>
      <c r="N20" s="123"/>
      <c r="O20" s="123"/>
      <c r="P20" s="123"/>
      <c r="Q20" s="123"/>
      <c r="R20" s="123"/>
      <c r="S20" s="123"/>
      <c r="T20" s="123"/>
      <c r="U20" s="123"/>
      <c r="V20" s="123"/>
      <c r="W20" s="123"/>
      <c r="X20" s="123"/>
      <c r="Y20" s="123"/>
      <c r="Z20" s="123"/>
    </row>
    <row r="21" spans="1:26" ht="18.5" x14ac:dyDescent="0.45">
      <c r="A21" s="107" t="s">
        <v>143</v>
      </c>
      <c r="B21" s="120">
        <v>3.7818107834294019E-2</v>
      </c>
      <c r="C21" s="118">
        <f>$C$20*B21</f>
        <v>3178.3094186097378</v>
      </c>
      <c r="D21" s="120">
        <v>3.7818107834294019E-2</v>
      </c>
      <c r="E21" s="118">
        <f>$E$20*D21</f>
        <v>3812.0652696968373</v>
      </c>
      <c r="F21" s="121">
        <v>0.14305999999999999</v>
      </c>
      <c r="G21" s="280">
        <f>F21*D21*$G$20*8760/1000</f>
        <v>2085.3300388510097</v>
      </c>
      <c r="H21" s="122">
        <v>69.473498635179098</v>
      </c>
      <c r="I21" s="214">
        <f>H21*G21*15*0.96</f>
        <v>2086202.4999553959</v>
      </c>
      <c r="J21" s="286">
        <v>70.23</v>
      </c>
      <c r="K21" s="122">
        <f t="shared" ref="K21:Z25" si="20">J21*$B$93</f>
        <v>67.4208</v>
      </c>
      <c r="L21" s="122">
        <f t="shared" si="20"/>
        <v>64.723967999999999</v>
      </c>
      <c r="M21" s="122">
        <f t="shared" si="20"/>
        <v>62.135009279999998</v>
      </c>
      <c r="N21" s="122">
        <f t="shared" si="20"/>
        <v>59.649608908799998</v>
      </c>
      <c r="O21" s="122">
        <f t="shared" si="20"/>
        <v>57.263624552447993</v>
      </c>
      <c r="P21" s="122">
        <f t="shared" si="20"/>
        <v>54.973079570350073</v>
      </c>
      <c r="Q21" s="122">
        <f t="shared" si="20"/>
        <v>52.774156387536067</v>
      </c>
      <c r="R21" s="122">
        <f t="shared" si="20"/>
        <v>50.663190132034622</v>
      </c>
      <c r="S21" s="122">
        <f t="shared" si="20"/>
        <v>48.636662526753234</v>
      </c>
      <c r="T21" s="122">
        <f t="shared" si="20"/>
        <v>46.691196025683105</v>
      </c>
      <c r="U21" s="122">
        <f t="shared" si="20"/>
        <v>44.823548184655778</v>
      </c>
      <c r="V21" s="122">
        <f t="shared" si="20"/>
        <v>43.030606257269547</v>
      </c>
      <c r="W21" s="122">
        <f t="shared" si="20"/>
        <v>41.309382006978765</v>
      </c>
      <c r="X21" s="122">
        <f t="shared" si="20"/>
        <v>39.657006726699613</v>
      </c>
      <c r="Y21" s="122">
        <f t="shared" si="20"/>
        <v>38.070726457631629</v>
      </c>
      <c r="Z21" s="122">
        <f t="shared" si="20"/>
        <v>36.547897399326359</v>
      </c>
    </row>
    <row r="22" spans="1:26" ht="18.5" x14ac:dyDescent="0.45">
      <c r="A22" s="107" t="s">
        <v>138</v>
      </c>
      <c r="B22" s="120">
        <v>2.9448996157951057E-2</v>
      </c>
      <c r="C22" s="118">
        <f>$C$20*B22</f>
        <v>2474.9525351065226</v>
      </c>
      <c r="D22" s="120">
        <v>2.9448996157951057E-2</v>
      </c>
      <c r="E22" s="118">
        <f>$E$20*D22</f>
        <v>2968.4588127214665</v>
      </c>
      <c r="F22" s="121">
        <v>0.14176</v>
      </c>
      <c r="G22" s="280">
        <f t="shared" ref="G22:G24" si="21">F22*D22*$G$20*8760/1000</f>
        <v>1609.0923961761441</v>
      </c>
      <c r="H22" s="122">
        <v>65.962856644973385</v>
      </c>
      <c r="I22" s="214">
        <f>H22*G22*15*0.96</f>
        <v>1528420.7672277652</v>
      </c>
      <c r="J22" s="286">
        <v>63.34</v>
      </c>
      <c r="K22" s="122">
        <f t="shared" si="20"/>
        <v>60.806400000000004</v>
      </c>
      <c r="L22" s="122">
        <f t="shared" si="20"/>
        <v>58.374144000000001</v>
      </c>
      <c r="M22" s="122">
        <f t="shared" si="20"/>
        <v>56.039178239999998</v>
      </c>
      <c r="N22" s="122">
        <f t="shared" si="20"/>
        <v>53.797611110399998</v>
      </c>
      <c r="O22" s="122">
        <f t="shared" si="20"/>
        <v>51.645706665983994</v>
      </c>
      <c r="P22" s="122">
        <f t="shared" si="20"/>
        <v>49.579878399344629</v>
      </c>
      <c r="Q22" s="122">
        <f t="shared" si="20"/>
        <v>47.596683263370842</v>
      </c>
      <c r="R22" s="122">
        <f t="shared" si="20"/>
        <v>45.692815932836005</v>
      </c>
      <c r="S22" s="122">
        <f t="shared" si="20"/>
        <v>43.865103295522566</v>
      </c>
      <c r="T22" s="122">
        <f t="shared" si="20"/>
        <v>42.110499163701661</v>
      </c>
      <c r="U22" s="122">
        <f t="shared" si="20"/>
        <v>40.426079197153591</v>
      </c>
      <c r="V22" s="122">
        <f t="shared" si="20"/>
        <v>38.809036029267446</v>
      </c>
      <c r="W22" s="122">
        <f t="shared" si="20"/>
        <v>37.25667458809675</v>
      </c>
      <c r="X22" s="122">
        <f t="shared" si="20"/>
        <v>35.766407604572876</v>
      </c>
      <c r="Y22" s="122">
        <f t="shared" si="20"/>
        <v>34.335751300389958</v>
      </c>
      <c r="Z22" s="122">
        <f t="shared" si="20"/>
        <v>32.962321248374359</v>
      </c>
    </row>
    <row r="23" spans="1:26" ht="18.5" x14ac:dyDescent="0.45">
      <c r="A23" s="107" t="s">
        <v>139</v>
      </c>
      <c r="B23" s="120">
        <v>0.1091491177452943</v>
      </c>
      <c r="C23" s="118">
        <f>$C$20*B23</f>
        <v>9173.1101535500238</v>
      </c>
      <c r="D23" s="120">
        <v>0.1091491177452943</v>
      </c>
      <c r="E23" s="118">
        <f>$E$20*D23</f>
        <v>11002.231068725665</v>
      </c>
      <c r="F23" s="121">
        <v>0.14119000000000001</v>
      </c>
      <c r="G23" s="280">
        <f t="shared" si="21"/>
        <v>5939.9248508975315</v>
      </c>
      <c r="H23" s="122">
        <v>58.357776139219837</v>
      </c>
      <c r="I23" s="214">
        <f>H23*G23*15*0.96</f>
        <v>4991627.5881475238</v>
      </c>
      <c r="J23" s="286">
        <v>54.6</v>
      </c>
      <c r="K23" s="122">
        <f t="shared" si="20"/>
        <v>52.415999999999997</v>
      </c>
      <c r="L23" s="122">
        <f t="shared" si="20"/>
        <v>50.319359999999996</v>
      </c>
      <c r="M23" s="122">
        <f t="shared" si="20"/>
        <v>48.306585599999991</v>
      </c>
      <c r="N23" s="122">
        <f t="shared" si="20"/>
        <v>46.374322175999993</v>
      </c>
      <c r="O23" s="122">
        <f t="shared" si="20"/>
        <v>44.519349288959994</v>
      </c>
      <c r="P23" s="122">
        <f t="shared" si="20"/>
        <v>42.73857531740159</v>
      </c>
      <c r="Q23" s="122">
        <f t="shared" si="20"/>
        <v>41.029032304705524</v>
      </c>
      <c r="R23" s="122">
        <f t="shared" si="20"/>
        <v>39.387871012517301</v>
      </c>
      <c r="S23" s="122">
        <f t="shared" si="20"/>
        <v>37.812356172016607</v>
      </c>
      <c r="T23" s="122">
        <f t="shared" si="20"/>
        <v>36.299861925135943</v>
      </c>
      <c r="U23" s="122">
        <f t="shared" si="20"/>
        <v>34.847867448130501</v>
      </c>
      <c r="V23" s="122">
        <f t="shared" si="20"/>
        <v>33.453952750205282</v>
      </c>
      <c r="W23" s="122">
        <f t="shared" si="20"/>
        <v>32.115794640197066</v>
      </c>
      <c r="X23" s="122">
        <f t="shared" si="20"/>
        <v>30.831162854589181</v>
      </c>
      <c r="Y23" s="122">
        <f t="shared" si="20"/>
        <v>29.597916340405611</v>
      </c>
      <c r="Z23" s="122">
        <f t="shared" si="20"/>
        <v>28.413999686789385</v>
      </c>
    </row>
    <row r="24" spans="1:26" ht="18.5" x14ac:dyDescent="0.45">
      <c r="A24" s="107" t="s">
        <v>140</v>
      </c>
      <c r="B24" s="120">
        <v>0.82358343106844789</v>
      </c>
      <c r="C24" s="118">
        <f>$C$20*B24</f>
        <v>69215.598713854502</v>
      </c>
      <c r="D24" s="120">
        <v>0.82358343106844789</v>
      </c>
      <c r="E24" s="118">
        <f>$E$20*D24</f>
        <v>83017.209851699547</v>
      </c>
      <c r="F24" s="121">
        <v>0.1497</v>
      </c>
      <c r="G24" s="280">
        <f t="shared" si="21"/>
        <v>47521.067051352067</v>
      </c>
      <c r="H24" s="122">
        <v>52.055130885781359</v>
      </c>
      <c r="I24" s="214">
        <f>H24*G24*15*0.96</f>
        <v>35621501.258737788</v>
      </c>
      <c r="J24" s="286">
        <v>49.49</v>
      </c>
      <c r="K24" s="122">
        <f t="shared" si="20"/>
        <v>47.510399999999997</v>
      </c>
      <c r="L24" s="122">
        <f t="shared" si="20"/>
        <v>45.609983999999997</v>
      </c>
      <c r="M24" s="122">
        <f t="shared" si="20"/>
        <v>43.785584639999996</v>
      </c>
      <c r="N24" s="122">
        <f t="shared" si="20"/>
        <v>42.034161254399997</v>
      </c>
      <c r="O24" s="122">
        <f t="shared" si="20"/>
        <v>40.352794804223997</v>
      </c>
      <c r="P24" s="122">
        <f t="shared" si="20"/>
        <v>38.738683012055034</v>
      </c>
      <c r="Q24" s="122">
        <f t="shared" si="20"/>
        <v>37.18913569157283</v>
      </c>
      <c r="R24" s="122">
        <f t="shared" si="20"/>
        <v>35.701570263909915</v>
      </c>
      <c r="S24" s="122">
        <f t="shared" si="20"/>
        <v>34.273507453353517</v>
      </c>
      <c r="T24" s="122">
        <f t="shared" si="20"/>
        <v>32.902567155219373</v>
      </c>
      <c r="U24" s="122">
        <f t="shared" si="20"/>
        <v>31.586464469010597</v>
      </c>
      <c r="V24" s="122">
        <f t="shared" si="20"/>
        <v>30.323005890250172</v>
      </c>
      <c r="W24" s="122">
        <f t="shared" si="20"/>
        <v>29.110085654640166</v>
      </c>
      <c r="X24" s="122">
        <f t="shared" si="20"/>
        <v>27.945682228454558</v>
      </c>
      <c r="Y24" s="122">
        <f t="shared" si="20"/>
        <v>26.827854939316374</v>
      </c>
      <c r="Z24" s="122">
        <f t="shared" si="20"/>
        <v>25.754740741743717</v>
      </c>
    </row>
    <row r="25" spans="1:26" ht="18.5" x14ac:dyDescent="0.45">
      <c r="A25" s="107" t="s">
        <v>141</v>
      </c>
      <c r="B25" s="120">
        <v>0</v>
      </c>
      <c r="C25" s="118">
        <f>$C$20*B25</f>
        <v>0</v>
      </c>
      <c r="D25" s="120">
        <v>0</v>
      </c>
      <c r="E25" s="118">
        <f>$E$20*D25</f>
        <v>0</v>
      </c>
      <c r="F25" s="121"/>
      <c r="G25" s="280"/>
      <c r="H25" s="122">
        <v>39.558961261811675</v>
      </c>
      <c r="I25" s="214"/>
      <c r="J25" s="286">
        <v>37.049999999999997</v>
      </c>
      <c r="K25" s="122">
        <f t="shared" si="20"/>
        <v>35.567999999999998</v>
      </c>
      <c r="L25" s="122">
        <f t="shared" si="20"/>
        <v>34.14528</v>
      </c>
      <c r="M25" s="122">
        <f t="shared" si="20"/>
        <v>32.779468799999997</v>
      </c>
      <c r="N25" s="122">
        <f t="shared" si="20"/>
        <v>31.468290047999997</v>
      </c>
      <c r="O25" s="122">
        <f t="shared" si="20"/>
        <v>30.209558446079996</v>
      </c>
      <c r="P25" s="122">
        <f t="shared" si="20"/>
        <v>29.001176108236795</v>
      </c>
      <c r="Q25" s="122">
        <f t="shared" si="20"/>
        <v>27.841129063907321</v>
      </c>
      <c r="R25" s="122">
        <f t="shared" si="20"/>
        <v>26.727483901351025</v>
      </c>
      <c r="S25" s="122">
        <f t="shared" si="20"/>
        <v>25.658384545296983</v>
      </c>
      <c r="T25" s="122">
        <f t="shared" si="20"/>
        <v>24.632049163485103</v>
      </c>
      <c r="U25" s="122">
        <f t="shared" si="20"/>
        <v>23.646767196945699</v>
      </c>
      <c r="V25" s="122">
        <f t="shared" si="20"/>
        <v>22.700896509067871</v>
      </c>
      <c r="W25" s="122">
        <f t="shared" si="20"/>
        <v>21.792860648705155</v>
      </c>
      <c r="X25" s="122">
        <f t="shared" si="20"/>
        <v>20.921146222756949</v>
      </c>
      <c r="Y25" s="122">
        <f t="shared" si="20"/>
        <v>20.08430037384667</v>
      </c>
      <c r="Z25" s="122">
        <f t="shared" si="20"/>
        <v>19.280928358892801</v>
      </c>
    </row>
    <row r="26" spans="1:26" ht="18.5" x14ac:dyDescent="0.45">
      <c r="A26" s="111" t="s">
        <v>144</v>
      </c>
      <c r="B26" s="113">
        <v>0.27</v>
      </c>
      <c r="C26" s="114">
        <f>B4*B26</f>
        <v>180090</v>
      </c>
      <c r="D26" s="113">
        <v>0.27</v>
      </c>
      <c r="E26" s="114">
        <f>D4*D26</f>
        <v>216000</v>
      </c>
      <c r="F26" s="114"/>
      <c r="G26" s="278"/>
      <c r="H26" s="115"/>
      <c r="I26" s="213">
        <f>SUM(I27:I42)</f>
        <v>0</v>
      </c>
      <c r="J26" s="284"/>
      <c r="K26" s="115"/>
      <c r="L26" s="115"/>
      <c r="M26" s="115"/>
      <c r="N26" s="115"/>
      <c r="O26" s="115"/>
      <c r="P26" s="115"/>
      <c r="Q26" s="123"/>
      <c r="R26" s="123"/>
      <c r="S26" s="123"/>
      <c r="T26" s="123"/>
      <c r="U26" s="123"/>
      <c r="V26" s="123"/>
      <c r="W26" s="123"/>
      <c r="X26" s="123"/>
      <c r="Y26" s="123"/>
      <c r="Z26" s="123"/>
    </row>
    <row r="27" spans="1:26" ht="18.5" x14ac:dyDescent="0.45">
      <c r="A27" s="116" t="s">
        <v>145</v>
      </c>
      <c r="B27" s="120">
        <v>0.3</v>
      </c>
      <c r="C27" s="118">
        <f>C26*0.3</f>
        <v>54027</v>
      </c>
      <c r="D27" s="120">
        <v>0.3</v>
      </c>
      <c r="E27" s="118">
        <f>E26*0.3</f>
        <v>64800</v>
      </c>
      <c r="F27" s="121">
        <v>0.16907</v>
      </c>
      <c r="G27" s="280"/>
      <c r="H27" s="123"/>
      <c r="I27" s="214"/>
      <c r="J27" s="287"/>
      <c r="K27" s="123"/>
      <c r="L27" s="123"/>
      <c r="M27" s="123"/>
      <c r="N27" s="123"/>
      <c r="O27" s="123"/>
      <c r="P27" s="123"/>
      <c r="Q27" s="123"/>
      <c r="R27" s="123"/>
      <c r="S27" s="123"/>
      <c r="T27" s="123"/>
      <c r="U27" s="123"/>
      <c r="V27" s="123"/>
      <c r="W27" s="123"/>
      <c r="X27" s="123"/>
      <c r="Y27" s="123"/>
      <c r="Z27" s="123"/>
    </row>
    <row r="28" spans="1:26" ht="18.5" x14ac:dyDescent="0.45">
      <c r="A28" s="107" t="s">
        <v>131</v>
      </c>
      <c r="B28" s="120">
        <v>0</v>
      </c>
      <c r="C28" s="118">
        <v>0</v>
      </c>
      <c r="D28" s="120"/>
      <c r="E28" s="118">
        <v>0</v>
      </c>
      <c r="F28" s="121">
        <v>0.16907</v>
      </c>
      <c r="G28" s="280">
        <f t="shared" ref="G28:G34" si="22">F28*E28*8760/1000</f>
        <v>0</v>
      </c>
      <c r="H28" s="122">
        <v>0</v>
      </c>
      <c r="I28" s="214">
        <f t="shared" ref="I28:I34" si="23">H28*G28*20*0.95</f>
        <v>0</v>
      </c>
      <c r="J28" s="286">
        <v>0</v>
      </c>
      <c r="K28" s="122">
        <f t="shared" ref="K28:L34" si="24">J28*$B$93</f>
        <v>0</v>
      </c>
      <c r="L28" s="122">
        <f>K28*$B$93</f>
        <v>0</v>
      </c>
      <c r="M28" s="122">
        <f t="shared" ref="M28:N34" si="25">L28*$B$93</f>
        <v>0</v>
      </c>
      <c r="N28" s="122">
        <f t="shared" ref="N28:Z28" si="26">M28*$B$93</f>
        <v>0</v>
      </c>
      <c r="O28" s="122">
        <f t="shared" si="26"/>
        <v>0</v>
      </c>
      <c r="P28" s="122">
        <f t="shared" si="26"/>
        <v>0</v>
      </c>
      <c r="Q28" s="122">
        <f t="shared" si="26"/>
        <v>0</v>
      </c>
      <c r="R28" s="122">
        <f t="shared" si="26"/>
        <v>0</v>
      </c>
      <c r="S28" s="122">
        <f t="shared" si="26"/>
        <v>0</v>
      </c>
      <c r="T28" s="122">
        <f t="shared" si="26"/>
        <v>0</v>
      </c>
      <c r="U28" s="122">
        <f t="shared" si="26"/>
        <v>0</v>
      </c>
      <c r="V28" s="122">
        <f t="shared" si="26"/>
        <v>0</v>
      </c>
      <c r="W28" s="122">
        <f t="shared" si="26"/>
        <v>0</v>
      </c>
      <c r="X28" s="122">
        <f t="shared" si="26"/>
        <v>0</v>
      </c>
      <c r="Y28" s="122">
        <f t="shared" si="26"/>
        <v>0</v>
      </c>
      <c r="Z28" s="122">
        <f t="shared" si="26"/>
        <v>0</v>
      </c>
    </row>
    <row r="29" spans="1:26" ht="18.5" x14ac:dyDescent="0.45">
      <c r="A29" s="107" t="s">
        <v>132</v>
      </c>
      <c r="B29" s="120">
        <v>0</v>
      </c>
      <c r="C29" s="118">
        <v>0</v>
      </c>
      <c r="D29" s="120"/>
      <c r="E29" s="118">
        <v>0</v>
      </c>
      <c r="F29" s="121">
        <v>0.16907</v>
      </c>
      <c r="G29" s="280">
        <f t="shared" si="22"/>
        <v>0</v>
      </c>
      <c r="H29" s="122">
        <v>55.077673821860515</v>
      </c>
      <c r="I29" s="214">
        <f t="shared" si="23"/>
        <v>0</v>
      </c>
      <c r="J29" s="286">
        <v>57.49</v>
      </c>
      <c r="K29" s="122">
        <f t="shared" si="24"/>
        <v>55.190399999999997</v>
      </c>
      <c r="L29" s="122">
        <f t="shared" si="24"/>
        <v>52.982783999999995</v>
      </c>
      <c r="M29" s="122">
        <f t="shared" si="25"/>
        <v>50.863472639999991</v>
      </c>
      <c r="N29" s="122">
        <f t="shared" si="25"/>
        <v>48.828933734399989</v>
      </c>
      <c r="O29" s="122">
        <f t="shared" ref="O29:P34" si="27">N29*$B$93</f>
        <v>46.87577638502399</v>
      </c>
      <c r="P29" s="122">
        <f t="shared" si="27"/>
        <v>45.00074532962303</v>
      </c>
      <c r="Q29" s="122">
        <f t="shared" ref="Q29:Z34" si="28">P29*$B$93</f>
        <v>43.200715516438109</v>
      </c>
      <c r="R29" s="122">
        <f t="shared" si="28"/>
        <v>41.472686895780583</v>
      </c>
      <c r="S29" s="122">
        <f t="shared" si="28"/>
        <v>39.813779419949356</v>
      </c>
      <c r="T29" s="122">
        <f t="shared" si="28"/>
        <v>38.22122824315138</v>
      </c>
      <c r="U29" s="122">
        <f t="shared" si="28"/>
        <v>36.692379113425325</v>
      </c>
      <c r="V29" s="122">
        <f t="shared" si="28"/>
        <v>35.224683948888313</v>
      </c>
      <c r="W29" s="122">
        <f t="shared" si="28"/>
        <v>33.815696590932781</v>
      </c>
      <c r="X29" s="122">
        <f t="shared" si="28"/>
        <v>32.463068727295472</v>
      </c>
      <c r="Y29" s="122">
        <f t="shared" si="28"/>
        <v>31.164545978203652</v>
      </c>
      <c r="Z29" s="122">
        <f t="shared" si="28"/>
        <v>29.917964139075504</v>
      </c>
    </row>
    <row r="30" spans="1:26" ht="18.5" x14ac:dyDescent="0.45">
      <c r="A30" s="107" t="s">
        <v>143</v>
      </c>
      <c r="B30" s="120">
        <v>0</v>
      </c>
      <c r="C30" s="118">
        <v>0</v>
      </c>
      <c r="D30" s="120"/>
      <c r="E30" s="118">
        <v>0</v>
      </c>
      <c r="F30" s="121">
        <v>0.16907</v>
      </c>
      <c r="G30" s="280">
        <f t="shared" si="22"/>
        <v>0</v>
      </c>
      <c r="H30" s="122">
        <v>58.937284527617258</v>
      </c>
      <c r="I30" s="214">
        <f t="shared" si="23"/>
        <v>0</v>
      </c>
      <c r="J30" s="286">
        <v>58.84</v>
      </c>
      <c r="K30" s="122">
        <f t="shared" si="24"/>
        <v>56.486400000000003</v>
      </c>
      <c r="L30" s="122">
        <f t="shared" si="24"/>
        <v>54.226944000000003</v>
      </c>
      <c r="M30" s="122">
        <f t="shared" si="25"/>
        <v>52.057866240000003</v>
      </c>
      <c r="N30" s="122">
        <f t="shared" si="25"/>
        <v>49.975551590400002</v>
      </c>
      <c r="O30" s="122">
        <f t="shared" si="27"/>
        <v>47.976529526783999</v>
      </c>
      <c r="P30" s="122">
        <f t="shared" si="27"/>
        <v>46.057468345712635</v>
      </c>
      <c r="Q30" s="122">
        <f t="shared" si="28"/>
        <v>44.215169611884129</v>
      </c>
      <c r="R30" s="122">
        <f t="shared" si="28"/>
        <v>42.446562827408762</v>
      </c>
      <c r="S30" s="122">
        <f t="shared" si="28"/>
        <v>40.748700314312408</v>
      </c>
      <c r="T30" s="122">
        <f t="shared" si="28"/>
        <v>39.11875230173991</v>
      </c>
      <c r="U30" s="122">
        <f t="shared" si="28"/>
        <v>37.554002209670315</v>
      </c>
      <c r="V30" s="122">
        <f t="shared" si="28"/>
        <v>36.051842121283499</v>
      </c>
      <c r="W30" s="122">
        <f t="shared" si="28"/>
        <v>34.609768436432155</v>
      </c>
      <c r="X30" s="122">
        <f t="shared" si="28"/>
        <v>33.225377698974867</v>
      </c>
      <c r="Y30" s="122">
        <f t="shared" si="28"/>
        <v>31.896362591015873</v>
      </c>
      <c r="Z30" s="122">
        <f t="shared" si="28"/>
        <v>30.620508087375235</v>
      </c>
    </row>
    <row r="31" spans="1:26" ht="18.5" x14ac:dyDescent="0.45">
      <c r="A31" s="107" t="s">
        <v>138</v>
      </c>
      <c r="B31" s="120">
        <v>0</v>
      </c>
      <c r="C31" s="118">
        <v>0</v>
      </c>
      <c r="D31" s="120"/>
      <c r="E31" s="118">
        <v>0</v>
      </c>
      <c r="F31" s="121">
        <v>0.16907</v>
      </c>
      <c r="G31" s="280">
        <f t="shared" si="22"/>
        <v>0</v>
      </c>
      <c r="H31" s="122">
        <v>60.791707026181044</v>
      </c>
      <c r="I31" s="214">
        <f t="shared" si="23"/>
        <v>0</v>
      </c>
      <c r="J31" s="286">
        <v>57.5</v>
      </c>
      <c r="K31" s="122">
        <f t="shared" si="24"/>
        <v>55.199999999999996</v>
      </c>
      <c r="L31" s="122">
        <f t="shared" si="24"/>
        <v>52.991999999999997</v>
      </c>
      <c r="M31" s="122">
        <f t="shared" si="25"/>
        <v>50.872319999999995</v>
      </c>
      <c r="N31" s="122">
        <f t="shared" si="25"/>
        <v>48.837427199999993</v>
      </c>
      <c r="O31" s="122">
        <f t="shared" si="27"/>
        <v>46.883930111999994</v>
      </c>
      <c r="P31" s="122">
        <f t="shared" si="27"/>
        <v>45.008572907519991</v>
      </c>
      <c r="Q31" s="122">
        <f t="shared" si="28"/>
        <v>43.208229991219191</v>
      </c>
      <c r="R31" s="122">
        <f t="shared" si="28"/>
        <v>41.479900791570422</v>
      </c>
      <c r="S31" s="122">
        <f t="shared" si="28"/>
        <v>39.820704759907606</v>
      </c>
      <c r="T31" s="122">
        <f t="shared" si="28"/>
        <v>38.227876569511302</v>
      </c>
      <c r="U31" s="122">
        <f t="shared" si="28"/>
        <v>36.698761506730847</v>
      </c>
      <c r="V31" s="122">
        <f t="shared" si="28"/>
        <v>35.230811046461611</v>
      </c>
      <c r="W31" s="122">
        <f t="shared" si="28"/>
        <v>33.821578604603147</v>
      </c>
      <c r="X31" s="122">
        <f t="shared" si="28"/>
        <v>32.46871546041902</v>
      </c>
      <c r="Y31" s="122">
        <f t="shared" si="28"/>
        <v>31.169966842002257</v>
      </c>
      <c r="Z31" s="122">
        <f t="shared" si="28"/>
        <v>29.923168168322164</v>
      </c>
    </row>
    <row r="32" spans="1:26" ht="18.5" x14ac:dyDescent="0.45">
      <c r="A32" s="107" t="s">
        <v>139</v>
      </c>
      <c r="B32" s="120">
        <v>0</v>
      </c>
      <c r="C32" s="118">
        <v>0</v>
      </c>
      <c r="D32" s="120"/>
      <c r="E32" s="118">
        <v>0</v>
      </c>
      <c r="F32" s="121">
        <v>0.16907</v>
      </c>
      <c r="G32" s="280">
        <f t="shared" si="22"/>
        <v>0</v>
      </c>
      <c r="H32" s="122">
        <v>56.957220995836941</v>
      </c>
      <c r="I32" s="214">
        <f t="shared" si="23"/>
        <v>0</v>
      </c>
      <c r="J32" s="286">
        <v>53.46</v>
      </c>
      <c r="K32" s="122">
        <f t="shared" si="24"/>
        <v>51.321599999999997</v>
      </c>
      <c r="L32" s="122">
        <f t="shared" si="24"/>
        <v>49.268735999999997</v>
      </c>
      <c r="M32" s="122">
        <f t="shared" si="25"/>
        <v>47.297986559999998</v>
      </c>
      <c r="N32" s="122">
        <f t="shared" si="25"/>
        <v>45.406067097599994</v>
      </c>
      <c r="O32" s="122">
        <f t="shared" si="27"/>
        <v>43.589824413695993</v>
      </c>
      <c r="P32" s="122">
        <f t="shared" si="27"/>
        <v>41.846231437148155</v>
      </c>
      <c r="Q32" s="122">
        <f t="shared" si="28"/>
        <v>40.172382179662229</v>
      </c>
      <c r="R32" s="122">
        <f t="shared" si="28"/>
        <v>38.565486892475739</v>
      </c>
      <c r="S32" s="122">
        <f t="shared" si="28"/>
        <v>37.022867416776705</v>
      </c>
      <c r="T32" s="122">
        <f t="shared" si="28"/>
        <v>35.541952720105634</v>
      </c>
      <c r="U32" s="122">
        <f t="shared" si="28"/>
        <v>34.120274611301404</v>
      </c>
      <c r="V32" s="122">
        <f t="shared" si="28"/>
        <v>32.755463626849348</v>
      </c>
      <c r="W32" s="122">
        <f t="shared" si="28"/>
        <v>31.445245081775372</v>
      </c>
      <c r="X32" s="122">
        <f t="shared" si="28"/>
        <v>30.187435278504356</v>
      </c>
      <c r="Y32" s="122">
        <f t="shared" si="28"/>
        <v>28.979937867364182</v>
      </c>
      <c r="Z32" s="122">
        <f t="shared" si="28"/>
        <v>27.820740352669613</v>
      </c>
    </row>
    <row r="33" spans="1:26" ht="18.5" x14ac:dyDescent="0.45">
      <c r="A33" s="107" t="s">
        <v>146</v>
      </c>
      <c r="B33" s="120">
        <v>1</v>
      </c>
      <c r="C33" s="118">
        <v>60030</v>
      </c>
      <c r="D33" s="120"/>
      <c r="E33" s="118">
        <v>60030</v>
      </c>
      <c r="F33" s="121">
        <v>0.16907</v>
      </c>
      <c r="G33" s="280">
        <v>0</v>
      </c>
      <c r="H33" s="122">
        <v>49.940173813436203</v>
      </c>
      <c r="I33" s="214">
        <f t="shared" si="23"/>
        <v>0</v>
      </c>
      <c r="J33" s="286">
        <v>46.02</v>
      </c>
      <c r="K33" s="122">
        <f t="shared" si="24"/>
        <v>44.179200000000002</v>
      </c>
      <c r="L33" s="122">
        <f t="shared" si="24"/>
        <v>42.412031999999996</v>
      </c>
      <c r="M33" s="122">
        <f t="shared" si="25"/>
        <v>40.715550719999996</v>
      </c>
      <c r="N33" s="122">
        <f t="shared" si="25"/>
        <v>39.086928691199994</v>
      </c>
      <c r="O33" s="122">
        <f t="shared" si="27"/>
        <v>37.523451543551992</v>
      </c>
      <c r="P33" s="122">
        <f t="shared" si="27"/>
        <v>36.022513481809909</v>
      </c>
      <c r="Q33" s="122">
        <f t="shared" si="28"/>
        <v>34.581612942537511</v>
      </c>
      <c r="R33" s="122">
        <f t="shared" si="28"/>
        <v>33.198348424836013</v>
      </c>
      <c r="S33" s="122">
        <f t="shared" si="28"/>
        <v>31.87041448784257</v>
      </c>
      <c r="T33" s="122">
        <f t="shared" si="28"/>
        <v>30.595597908328866</v>
      </c>
      <c r="U33" s="122">
        <f t="shared" si="28"/>
        <v>29.37177399199571</v>
      </c>
      <c r="V33" s="122">
        <f t="shared" si="28"/>
        <v>28.19690303231588</v>
      </c>
      <c r="W33" s="122">
        <f t="shared" si="28"/>
        <v>27.069026911023244</v>
      </c>
      <c r="X33" s="122">
        <f t="shared" si="28"/>
        <v>25.986265834582312</v>
      </c>
      <c r="Y33" s="122">
        <f t="shared" si="28"/>
        <v>24.946815201199019</v>
      </c>
      <c r="Z33" s="122">
        <f t="shared" si="28"/>
        <v>23.948942593151056</v>
      </c>
    </row>
    <row r="34" spans="1:26" ht="18.5" x14ac:dyDescent="0.45">
      <c r="A34" s="107" t="s">
        <v>147</v>
      </c>
      <c r="B34" s="120">
        <v>0</v>
      </c>
      <c r="C34" s="118">
        <v>0</v>
      </c>
      <c r="D34" s="120"/>
      <c r="E34" s="118">
        <v>0</v>
      </c>
      <c r="F34" s="121">
        <v>0.16907</v>
      </c>
      <c r="G34" s="280">
        <f t="shared" si="22"/>
        <v>0</v>
      </c>
      <c r="H34" s="122">
        <v>39.27374417956252</v>
      </c>
      <c r="I34" s="214">
        <f t="shared" si="23"/>
        <v>0</v>
      </c>
      <c r="J34" s="286">
        <v>33.99</v>
      </c>
      <c r="K34" s="122">
        <f t="shared" si="24"/>
        <v>32.630400000000002</v>
      </c>
      <c r="L34" s="122">
        <f t="shared" si="24"/>
        <v>31.325184</v>
      </c>
      <c r="M34" s="122">
        <f t="shared" si="25"/>
        <v>30.072176639999999</v>
      </c>
      <c r="N34" s="122">
        <f t="shared" si="25"/>
        <v>28.869289574399996</v>
      </c>
      <c r="O34" s="122">
        <f t="shared" si="27"/>
        <v>27.714517991423996</v>
      </c>
      <c r="P34" s="122">
        <f t="shared" si="27"/>
        <v>26.605937271767036</v>
      </c>
      <c r="Q34" s="122">
        <f t="shared" si="28"/>
        <v>25.541699780896355</v>
      </c>
      <c r="R34" s="122">
        <f t="shared" si="28"/>
        <v>24.5200317896605</v>
      </c>
      <c r="S34" s="122">
        <f t="shared" si="28"/>
        <v>23.539230518074078</v>
      </c>
      <c r="T34" s="122">
        <f t="shared" si="28"/>
        <v>22.597661297351113</v>
      </c>
      <c r="U34" s="122">
        <f t="shared" si="28"/>
        <v>21.693754845457068</v>
      </c>
      <c r="V34" s="122">
        <f t="shared" si="28"/>
        <v>20.826004651638783</v>
      </c>
      <c r="W34" s="122">
        <f t="shared" si="28"/>
        <v>19.99296446557323</v>
      </c>
      <c r="X34" s="122">
        <f t="shared" si="28"/>
        <v>19.193245886950301</v>
      </c>
      <c r="Y34" s="122">
        <f t="shared" si="28"/>
        <v>18.42551605147229</v>
      </c>
      <c r="Z34" s="122">
        <f t="shared" si="28"/>
        <v>17.688495409413399</v>
      </c>
    </row>
    <row r="35" spans="1:26" ht="18.5" x14ac:dyDescent="0.45">
      <c r="A35" s="116" t="s">
        <v>148</v>
      </c>
      <c r="B35" s="120">
        <v>0.7</v>
      </c>
      <c r="C35" s="118">
        <f>C26*0.7</f>
        <v>126062.99999999999</v>
      </c>
      <c r="D35" s="120">
        <v>0.7</v>
      </c>
      <c r="E35" s="118">
        <f>E26*0.7</f>
        <v>151200</v>
      </c>
      <c r="F35" s="121">
        <v>0.16907</v>
      </c>
      <c r="G35" s="280"/>
      <c r="H35" s="123"/>
      <c r="I35" s="214"/>
      <c r="J35" s="287"/>
      <c r="K35" s="123"/>
      <c r="L35" s="123"/>
      <c r="M35" s="123"/>
      <c r="N35" s="123"/>
      <c r="O35" s="123"/>
      <c r="P35" s="123"/>
      <c r="Q35" s="123"/>
      <c r="R35" s="123"/>
      <c r="S35" s="123"/>
      <c r="T35" s="123"/>
      <c r="U35" s="123"/>
      <c r="V35" s="123"/>
      <c r="W35" s="123"/>
      <c r="X35" s="123"/>
      <c r="Y35" s="123"/>
      <c r="Z35" s="123"/>
    </row>
    <row r="36" spans="1:26" ht="18.5" x14ac:dyDescent="0.45">
      <c r="A36" s="107" t="s">
        <v>131</v>
      </c>
      <c r="B36" s="120">
        <v>0</v>
      </c>
      <c r="C36" s="118">
        <v>0</v>
      </c>
      <c r="D36" s="120"/>
      <c r="E36" s="118">
        <v>0</v>
      </c>
      <c r="F36" s="121">
        <v>0.16907</v>
      </c>
      <c r="G36" s="280">
        <f t="shared" ref="G36:G42" si="29">F36*E36*8760/1000</f>
        <v>0</v>
      </c>
      <c r="H36" s="122"/>
      <c r="I36" s="214">
        <f t="shared" ref="I36:I42" si="30">H36*G36*20*0.95</f>
        <v>0</v>
      </c>
      <c r="J36" s="286">
        <v>0</v>
      </c>
      <c r="K36" s="122">
        <f t="shared" ref="K36:Z42" si="31">J36*$B$93</f>
        <v>0</v>
      </c>
      <c r="L36" s="122">
        <f t="shared" si="31"/>
        <v>0</v>
      </c>
      <c r="M36" s="122">
        <f t="shared" si="31"/>
        <v>0</v>
      </c>
      <c r="N36" s="122">
        <f t="shared" si="31"/>
        <v>0</v>
      </c>
      <c r="O36" s="122">
        <f t="shared" si="31"/>
        <v>0</v>
      </c>
      <c r="P36" s="122">
        <f t="shared" si="31"/>
        <v>0</v>
      </c>
      <c r="Q36" s="122">
        <f t="shared" si="31"/>
        <v>0</v>
      </c>
      <c r="R36" s="122">
        <f t="shared" si="31"/>
        <v>0</v>
      </c>
      <c r="S36" s="122">
        <f t="shared" si="31"/>
        <v>0</v>
      </c>
      <c r="T36" s="122">
        <f t="shared" si="31"/>
        <v>0</v>
      </c>
      <c r="U36" s="122">
        <f t="shared" si="31"/>
        <v>0</v>
      </c>
      <c r="V36" s="122">
        <f t="shared" si="31"/>
        <v>0</v>
      </c>
      <c r="W36" s="122">
        <f t="shared" si="31"/>
        <v>0</v>
      </c>
      <c r="X36" s="122">
        <f t="shared" si="31"/>
        <v>0</v>
      </c>
      <c r="Y36" s="122">
        <f t="shared" si="31"/>
        <v>0</v>
      </c>
      <c r="Z36" s="122">
        <f t="shared" si="31"/>
        <v>0</v>
      </c>
    </row>
    <row r="37" spans="1:26" ht="18.5" x14ac:dyDescent="0.45">
      <c r="A37" s="107" t="s">
        <v>132</v>
      </c>
      <c r="B37" s="120">
        <v>0</v>
      </c>
      <c r="C37" s="118">
        <v>0</v>
      </c>
      <c r="D37" s="120"/>
      <c r="E37" s="118">
        <v>0</v>
      </c>
      <c r="F37" s="121">
        <v>0.16907</v>
      </c>
      <c r="G37" s="280">
        <f t="shared" si="29"/>
        <v>0</v>
      </c>
      <c r="H37" s="122">
        <v>63.483238917691097</v>
      </c>
      <c r="I37" s="214">
        <f t="shared" si="30"/>
        <v>0</v>
      </c>
      <c r="J37" s="286">
        <v>70.91</v>
      </c>
      <c r="K37" s="122">
        <f t="shared" si="31"/>
        <v>68.073599999999999</v>
      </c>
      <c r="L37" s="122">
        <f t="shared" si="31"/>
        <v>65.350656000000001</v>
      </c>
      <c r="M37" s="122">
        <f t="shared" si="31"/>
        <v>62.73662976</v>
      </c>
      <c r="N37" s="122">
        <f t="shared" si="31"/>
        <v>60.227164569599999</v>
      </c>
      <c r="O37" s="122">
        <f t="shared" si="31"/>
        <v>57.818077986816</v>
      </c>
      <c r="P37" s="122">
        <f t="shared" si="31"/>
        <v>55.505354867343357</v>
      </c>
      <c r="Q37" s="122">
        <f t="shared" si="31"/>
        <v>53.285140672649618</v>
      </c>
      <c r="R37" s="122">
        <f t="shared" si="31"/>
        <v>51.15373504574363</v>
      </c>
      <c r="S37" s="122">
        <f t="shared" si="31"/>
        <v>49.107585643913886</v>
      </c>
      <c r="T37" s="122">
        <f t="shared" si="31"/>
        <v>47.143282218157331</v>
      </c>
      <c r="U37" s="122">
        <f t="shared" si="31"/>
        <v>45.257550929431034</v>
      </c>
      <c r="V37" s="122">
        <f t="shared" si="31"/>
        <v>43.447248892253789</v>
      </c>
      <c r="W37" s="122">
        <f t="shared" si="31"/>
        <v>41.709358936563639</v>
      </c>
      <c r="X37" s="122">
        <f t="shared" si="31"/>
        <v>40.040984579101092</v>
      </c>
      <c r="Y37" s="122">
        <f t="shared" si="31"/>
        <v>38.439345195937044</v>
      </c>
      <c r="Z37" s="122">
        <f t="shared" si="31"/>
        <v>36.901771388099561</v>
      </c>
    </row>
    <row r="38" spans="1:26" ht="18.5" x14ac:dyDescent="0.45">
      <c r="A38" s="107" t="s">
        <v>143</v>
      </c>
      <c r="B38" s="120">
        <v>0</v>
      </c>
      <c r="C38" s="118">
        <v>0</v>
      </c>
      <c r="D38" s="120"/>
      <c r="E38" s="118">
        <v>0</v>
      </c>
      <c r="F38" s="121">
        <v>0.16907</v>
      </c>
      <c r="G38" s="280">
        <f t="shared" si="29"/>
        <v>0</v>
      </c>
      <c r="H38" s="122">
        <v>71.924928931643677</v>
      </c>
      <c r="I38" s="214">
        <f t="shared" si="30"/>
        <v>0</v>
      </c>
      <c r="J38" s="286">
        <v>72.150000000000006</v>
      </c>
      <c r="K38" s="122">
        <f t="shared" si="31"/>
        <v>69.263999999999996</v>
      </c>
      <c r="L38" s="122">
        <f t="shared" si="31"/>
        <v>66.493439999999993</v>
      </c>
      <c r="M38" s="122">
        <f t="shared" si="31"/>
        <v>63.833702399999993</v>
      </c>
      <c r="N38" s="122">
        <f t="shared" si="31"/>
        <v>61.280354303999992</v>
      </c>
      <c r="O38" s="122">
        <f t="shared" si="31"/>
        <v>58.829140131839992</v>
      </c>
      <c r="P38" s="122">
        <f t="shared" si="31"/>
        <v>56.475974526566389</v>
      </c>
      <c r="Q38" s="122">
        <f t="shared" si="31"/>
        <v>54.216935545503731</v>
      </c>
      <c r="R38" s="122">
        <f t="shared" si="31"/>
        <v>52.048258123683581</v>
      </c>
      <c r="S38" s="122">
        <f t="shared" si="31"/>
        <v>49.966327798736238</v>
      </c>
      <c r="T38" s="122">
        <f t="shared" si="31"/>
        <v>47.967674686786786</v>
      </c>
      <c r="U38" s="122">
        <f t="shared" si="31"/>
        <v>46.048967699315313</v>
      </c>
      <c r="V38" s="122">
        <f t="shared" si="31"/>
        <v>44.207008991342697</v>
      </c>
      <c r="W38" s="122">
        <f t="shared" si="31"/>
        <v>42.438728631688988</v>
      </c>
      <c r="X38" s="122">
        <f t="shared" si="31"/>
        <v>40.74117948642143</v>
      </c>
      <c r="Y38" s="122">
        <f t="shared" si="31"/>
        <v>39.11153230696457</v>
      </c>
      <c r="Z38" s="122">
        <f t="shared" si="31"/>
        <v>37.547071014685983</v>
      </c>
    </row>
    <row r="39" spans="1:26" ht="18.5" x14ac:dyDescent="0.45">
      <c r="A39" s="107" t="s">
        <v>138</v>
      </c>
      <c r="B39" s="120">
        <v>0</v>
      </c>
      <c r="C39" s="118">
        <v>0</v>
      </c>
      <c r="D39" s="120"/>
      <c r="E39" s="118">
        <v>0</v>
      </c>
      <c r="F39" s="121">
        <v>0.16907</v>
      </c>
      <c r="G39" s="280">
        <f t="shared" si="29"/>
        <v>0</v>
      </c>
      <c r="H39" s="122">
        <v>73.219775072570968</v>
      </c>
      <c r="I39" s="214">
        <f t="shared" si="30"/>
        <v>0</v>
      </c>
      <c r="J39" s="286">
        <v>69.58</v>
      </c>
      <c r="K39" s="122">
        <f t="shared" si="31"/>
        <v>66.79679999999999</v>
      </c>
      <c r="L39" s="122">
        <f t="shared" si="31"/>
        <v>64.124927999999983</v>
      </c>
      <c r="M39" s="122">
        <f t="shared" si="31"/>
        <v>61.559930879999982</v>
      </c>
      <c r="N39" s="122">
        <f t="shared" si="31"/>
        <v>59.097533644799981</v>
      </c>
      <c r="O39" s="122">
        <f t="shared" si="31"/>
        <v>56.733632299007979</v>
      </c>
      <c r="P39" s="122">
        <f t="shared" si="31"/>
        <v>54.464287007047659</v>
      </c>
      <c r="Q39" s="122">
        <f t="shared" si="31"/>
        <v>52.285715526765749</v>
      </c>
      <c r="R39" s="122">
        <f t="shared" si="31"/>
        <v>50.194286905695115</v>
      </c>
      <c r="S39" s="122">
        <f t="shared" si="31"/>
        <v>48.186515429467306</v>
      </c>
      <c r="T39" s="122">
        <f t="shared" si="31"/>
        <v>46.25905481228861</v>
      </c>
      <c r="U39" s="122">
        <f t="shared" si="31"/>
        <v>44.408692619797066</v>
      </c>
      <c r="V39" s="122">
        <f t="shared" si="31"/>
        <v>42.632344915005184</v>
      </c>
      <c r="W39" s="122">
        <f t="shared" si="31"/>
        <v>40.927051118404975</v>
      </c>
      <c r="X39" s="122">
        <f t="shared" si="31"/>
        <v>39.289969073668772</v>
      </c>
      <c r="Y39" s="122">
        <f t="shared" si="31"/>
        <v>37.718370310722023</v>
      </c>
      <c r="Z39" s="122">
        <f t="shared" si="31"/>
        <v>36.209635498293139</v>
      </c>
    </row>
    <row r="40" spans="1:26" ht="18.5" x14ac:dyDescent="0.45">
      <c r="A40" s="107" t="s">
        <v>139</v>
      </c>
      <c r="B40" s="120">
        <v>0</v>
      </c>
      <c r="C40" s="118">
        <v>0</v>
      </c>
      <c r="D40" s="120"/>
      <c r="E40" s="118">
        <v>0</v>
      </c>
      <c r="F40" s="121">
        <v>0.16907</v>
      </c>
      <c r="G40" s="280">
        <f t="shared" si="29"/>
        <v>0</v>
      </c>
      <c r="H40" s="122">
        <v>65.197995661828443</v>
      </c>
      <c r="I40" s="214">
        <f t="shared" si="30"/>
        <v>0</v>
      </c>
      <c r="J40" s="286">
        <v>64.2</v>
      </c>
      <c r="K40" s="122">
        <f t="shared" si="31"/>
        <v>61.631999999999998</v>
      </c>
      <c r="L40" s="122">
        <f t="shared" si="31"/>
        <v>59.166719999999998</v>
      </c>
      <c r="M40" s="122">
        <f t="shared" si="31"/>
        <v>56.800051199999999</v>
      </c>
      <c r="N40" s="122">
        <f t="shared" si="31"/>
        <v>54.528049151999994</v>
      </c>
      <c r="O40" s="122">
        <f t="shared" si="31"/>
        <v>52.346927185919995</v>
      </c>
      <c r="P40" s="122">
        <f t="shared" si="31"/>
        <v>50.253050098483193</v>
      </c>
      <c r="Q40" s="122">
        <f t="shared" si="31"/>
        <v>48.242928094543863</v>
      </c>
      <c r="R40" s="122">
        <f t="shared" si="31"/>
        <v>46.313210970762107</v>
      </c>
      <c r="S40" s="122">
        <f t="shared" si="31"/>
        <v>44.460682531931624</v>
      </c>
      <c r="T40" s="122">
        <f t="shared" si="31"/>
        <v>42.682255230654356</v>
      </c>
      <c r="U40" s="122">
        <f t="shared" si="31"/>
        <v>40.974965021428183</v>
      </c>
      <c r="V40" s="122">
        <f t="shared" si="31"/>
        <v>39.335966420571054</v>
      </c>
      <c r="W40" s="122">
        <f t="shared" si="31"/>
        <v>37.76252776374821</v>
      </c>
      <c r="X40" s="122">
        <f t="shared" si="31"/>
        <v>36.252026653198278</v>
      </c>
      <c r="Y40" s="122">
        <f t="shared" si="31"/>
        <v>34.801945587070342</v>
      </c>
      <c r="Z40" s="122">
        <f t="shared" si="31"/>
        <v>33.409867763587528</v>
      </c>
    </row>
    <row r="41" spans="1:26" ht="18.5" x14ac:dyDescent="0.45">
      <c r="A41" s="107" t="s">
        <v>146</v>
      </c>
      <c r="B41" s="120">
        <v>1</v>
      </c>
      <c r="C41" s="118">
        <v>140070</v>
      </c>
      <c r="D41" s="120"/>
      <c r="E41" s="118">
        <v>140070</v>
      </c>
      <c r="F41" s="121">
        <v>0.16907</v>
      </c>
      <c r="G41" s="280">
        <v>0</v>
      </c>
      <c r="H41" s="122">
        <v>56.08315719566987</v>
      </c>
      <c r="I41" s="214">
        <f t="shared" si="30"/>
        <v>0</v>
      </c>
      <c r="J41" s="286">
        <v>54.24</v>
      </c>
      <c r="K41" s="122">
        <f t="shared" si="31"/>
        <v>52.070399999999999</v>
      </c>
      <c r="L41" s="122">
        <f t="shared" si="31"/>
        <v>49.987583999999998</v>
      </c>
      <c r="M41" s="122">
        <f t="shared" si="31"/>
        <v>47.98808064</v>
      </c>
      <c r="N41" s="122">
        <f t="shared" si="31"/>
        <v>46.068557414399997</v>
      </c>
      <c r="O41" s="122">
        <f t="shared" si="31"/>
        <v>44.225815117823998</v>
      </c>
      <c r="P41" s="122">
        <f t="shared" si="31"/>
        <v>42.456782513111037</v>
      </c>
      <c r="Q41" s="122">
        <f t="shared" si="31"/>
        <v>40.75851121258659</v>
      </c>
      <c r="R41" s="122">
        <f t="shared" si="31"/>
        <v>39.128170764083123</v>
      </c>
      <c r="S41" s="122">
        <f t="shared" si="31"/>
        <v>37.563043933519793</v>
      </c>
      <c r="T41" s="122">
        <f t="shared" si="31"/>
        <v>36.060522176178999</v>
      </c>
      <c r="U41" s="122">
        <f t="shared" si="31"/>
        <v>34.618101289131836</v>
      </c>
      <c r="V41" s="122">
        <f t="shared" si="31"/>
        <v>33.233377237566565</v>
      </c>
      <c r="W41" s="122">
        <f t="shared" si="31"/>
        <v>31.904042148063901</v>
      </c>
      <c r="X41" s="122">
        <f t="shared" si="31"/>
        <v>30.627880462141345</v>
      </c>
      <c r="Y41" s="122">
        <f t="shared" si="31"/>
        <v>29.40276524365569</v>
      </c>
      <c r="Z41" s="122">
        <f t="shared" si="31"/>
        <v>28.226654633909462</v>
      </c>
    </row>
    <row r="42" spans="1:26" ht="18.5" x14ac:dyDescent="0.45">
      <c r="A42" s="107" t="s">
        <v>147</v>
      </c>
      <c r="B42" s="117">
        <v>0</v>
      </c>
      <c r="C42" s="118">
        <v>0</v>
      </c>
      <c r="D42" s="120"/>
      <c r="E42" s="118">
        <v>0</v>
      </c>
      <c r="F42" s="121">
        <v>0.16907</v>
      </c>
      <c r="G42" s="280">
        <f t="shared" si="29"/>
        <v>0</v>
      </c>
      <c r="H42" s="122">
        <v>42.387634377523071</v>
      </c>
      <c r="I42" s="214">
        <f t="shared" si="30"/>
        <v>0</v>
      </c>
      <c r="J42" s="286">
        <v>39.979999999999997</v>
      </c>
      <c r="K42" s="122">
        <f t="shared" si="31"/>
        <v>38.380799999999994</v>
      </c>
      <c r="L42" s="122">
        <f t="shared" si="31"/>
        <v>36.845567999999993</v>
      </c>
      <c r="M42" s="122">
        <f t="shared" si="31"/>
        <v>35.371745279999992</v>
      </c>
      <c r="N42" s="122">
        <f t="shared" si="31"/>
        <v>33.956875468799993</v>
      </c>
      <c r="O42" s="122">
        <f t="shared" si="31"/>
        <v>32.598600450047989</v>
      </c>
      <c r="P42" s="122">
        <f t="shared" si="31"/>
        <v>31.294656432046068</v>
      </c>
      <c r="Q42" s="122">
        <f t="shared" si="31"/>
        <v>30.042870174764225</v>
      </c>
      <c r="R42" s="122">
        <f t="shared" si="31"/>
        <v>28.841155367773656</v>
      </c>
      <c r="S42" s="122">
        <f t="shared" si="31"/>
        <v>27.68750915306271</v>
      </c>
      <c r="T42" s="122">
        <f t="shared" si="31"/>
        <v>26.580008786940201</v>
      </c>
      <c r="U42" s="122">
        <f t="shared" si="31"/>
        <v>25.516808435462593</v>
      </c>
      <c r="V42" s="122">
        <f t="shared" si="31"/>
        <v>24.49613609804409</v>
      </c>
      <c r="W42" s="122">
        <f t="shared" si="31"/>
        <v>23.516290654122326</v>
      </c>
      <c r="X42" s="122">
        <f t="shared" si="31"/>
        <v>22.575639027957433</v>
      </c>
      <c r="Y42" s="122">
        <f t="shared" si="31"/>
        <v>21.672613466839135</v>
      </c>
      <c r="Z42" s="122">
        <f t="shared" si="31"/>
        <v>20.805708928165568</v>
      </c>
    </row>
    <row r="43" spans="1:26" ht="18.5" x14ac:dyDescent="0.45">
      <c r="A43" s="111" t="s">
        <v>149</v>
      </c>
      <c r="B43" s="113">
        <v>0.13</v>
      </c>
      <c r="C43" s="114">
        <f>B4*B43</f>
        <v>86710</v>
      </c>
      <c r="D43" s="113">
        <v>0.13</v>
      </c>
      <c r="E43" s="114">
        <f>D4*D43</f>
        <v>104000</v>
      </c>
      <c r="F43" s="114"/>
      <c r="G43" s="278"/>
      <c r="H43" s="115"/>
      <c r="I43" s="213">
        <f>SUM(I45:I74)</f>
        <v>282955695.61369365</v>
      </c>
      <c r="J43" s="131"/>
      <c r="K43" s="115"/>
      <c r="L43" s="115"/>
      <c r="M43" s="115"/>
      <c r="N43" s="115"/>
      <c r="O43" s="115"/>
      <c r="P43" s="115"/>
      <c r="Q43" s="123"/>
      <c r="R43" s="123"/>
      <c r="S43" s="123"/>
      <c r="T43" s="123"/>
      <c r="U43" s="123"/>
      <c r="V43" s="123"/>
      <c r="W43" s="123"/>
      <c r="X43" s="123"/>
      <c r="Y43" s="123"/>
      <c r="Z43" s="123"/>
    </row>
    <row r="44" spans="1:26" ht="18.5" x14ac:dyDescent="0.45">
      <c r="A44" s="116" t="s">
        <v>150</v>
      </c>
      <c r="B44" s="117"/>
      <c r="C44" s="118">
        <f>C43*0.3</f>
        <v>26013</v>
      </c>
      <c r="D44" s="117"/>
      <c r="E44" s="118">
        <f>E43*0.3</f>
        <v>31200</v>
      </c>
      <c r="F44" s="124"/>
      <c r="G44" s="281">
        <v>49000</v>
      </c>
      <c r="H44" s="123"/>
      <c r="I44" s="212"/>
      <c r="J44" s="132"/>
      <c r="K44" s="123"/>
      <c r="L44" s="123"/>
      <c r="M44" s="123"/>
      <c r="N44" s="123"/>
      <c r="O44" s="123"/>
      <c r="P44" s="123"/>
      <c r="Q44" s="122">
        <f t="shared" ref="Q44:Z50" si="32">P44*$B$93</f>
        <v>0</v>
      </c>
      <c r="R44" s="122">
        <f t="shared" si="32"/>
        <v>0</v>
      </c>
      <c r="S44" s="122">
        <f t="shared" si="32"/>
        <v>0</v>
      </c>
      <c r="T44" s="122">
        <f t="shared" si="32"/>
        <v>0</v>
      </c>
      <c r="U44" s="122">
        <f t="shared" si="32"/>
        <v>0</v>
      </c>
      <c r="V44" s="122">
        <f t="shared" si="32"/>
        <v>0</v>
      </c>
      <c r="W44" s="122">
        <f t="shared" si="32"/>
        <v>0</v>
      </c>
      <c r="X44" s="122">
        <f t="shared" si="32"/>
        <v>0</v>
      </c>
      <c r="Y44" s="122">
        <f t="shared" si="32"/>
        <v>0</v>
      </c>
      <c r="Z44" s="122">
        <f t="shared" si="32"/>
        <v>0</v>
      </c>
    </row>
    <row r="45" spans="1:26" ht="18.5" x14ac:dyDescent="0.45">
      <c r="A45" s="107" t="s">
        <v>151</v>
      </c>
      <c r="B45" s="120">
        <v>4.6296296296296294E-2</v>
      </c>
      <c r="C45" s="118">
        <f t="shared" ref="C45:C50" si="33">$C$44*B45</f>
        <v>1204.3055555555554</v>
      </c>
      <c r="D45" s="120">
        <v>4.6296296296296294E-2</v>
      </c>
      <c r="E45" s="118">
        <f t="shared" ref="E45:E50" si="34">$E$44*D45</f>
        <v>1444.4444444444443</v>
      </c>
      <c r="F45" s="121">
        <v>0.16907</v>
      </c>
      <c r="G45" s="280">
        <f>F45*D45*$G$44*8760/1000</f>
        <v>3359.7966111111109</v>
      </c>
      <c r="H45" s="122">
        <v>74.95</v>
      </c>
      <c r="I45" s="214">
        <f t="shared" ref="I45:I50" si="35">H45*G45*20*0.95</f>
        <v>4784518.3640527772</v>
      </c>
      <c r="J45" s="286">
        <v>77.17</v>
      </c>
      <c r="K45" s="122">
        <f t="shared" ref="K45:P50" si="36">J45*$B$93</f>
        <v>74.083200000000005</v>
      </c>
      <c r="L45" s="122">
        <f t="shared" si="36"/>
        <v>71.119872000000001</v>
      </c>
      <c r="M45" s="122">
        <f t="shared" si="36"/>
        <v>68.275077119999992</v>
      </c>
      <c r="N45" s="122">
        <f t="shared" si="36"/>
        <v>65.544074035199984</v>
      </c>
      <c r="O45" s="122">
        <f t="shared" si="36"/>
        <v>62.922311073791981</v>
      </c>
      <c r="P45" s="122">
        <f t="shared" si="36"/>
        <v>60.405418630840302</v>
      </c>
      <c r="Q45" s="122">
        <f t="shared" si="32"/>
        <v>57.98920188560669</v>
      </c>
      <c r="R45" s="122">
        <f t="shared" si="32"/>
        <v>55.669633810182418</v>
      </c>
      <c r="S45" s="122">
        <f t="shared" si="32"/>
        <v>53.442848457775121</v>
      </c>
      <c r="T45" s="122">
        <f t="shared" si="32"/>
        <v>51.305134519464112</v>
      </c>
      <c r="U45" s="122">
        <f t="shared" si="32"/>
        <v>49.252929138685545</v>
      </c>
      <c r="V45" s="122">
        <f t="shared" si="32"/>
        <v>47.282811973138124</v>
      </c>
      <c r="W45" s="122">
        <f t="shared" si="32"/>
        <v>45.391499494212596</v>
      </c>
      <c r="X45" s="122">
        <f t="shared" si="32"/>
        <v>43.575839514444091</v>
      </c>
      <c r="Y45" s="122">
        <f t="shared" si="32"/>
        <v>41.832805933866325</v>
      </c>
      <c r="Z45" s="122">
        <f t="shared" si="32"/>
        <v>40.159493696511667</v>
      </c>
    </row>
    <row r="46" spans="1:26" ht="18.5" x14ac:dyDescent="0.45">
      <c r="A46" s="107" t="s">
        <v>143</v>
      </c>
      <c r="B46" s="120">
        <v>5.5555555555555552E-2</v>
      </c>
      <c r="C46" s="118">
        <f t="shared" si="33"/>
        <v>1445.1666666666665</v>
      </c>
      <c r="D46" s="120">
        <v>5.5555555555555552E-2</v>
      </c>
      <c r="E46" s="118">
        <f t="shared" si="34"/>
        <v>1733.3333333333333</v>
      </c>
      <c r="F46" s="121">
        <v>0.16907</v>
      </c>
      <c r="G46" s="280">
        <f t="shared" ref="G46:G49" si="37">F46*D46*$G$44*8760/1000</f>
        <v>4031.7559333333334</v>
      </c>
      <c r="H46" s="122">
        <v>65.569999999999993</v>
      </c>
      <c r="I46" s="214">
        <f t="shared" si="35"/>
        <v>5022882.4944246663</v>
      </c>
      <c r="J46" s="286">
        <v>68.569999999999993</v>
      </c>
      <c r="K46" s="122">
        <f t="shared" si="36"/>
        <v>65.827199999999991</v>
      </c>
      <c r="L46" s="122">
        <f t="shared" si="36"/>
        <v>63.19411199999999</v>
      </c>
      <c r="M46" s="122">
        <f t="shared" si="36"/>
        <v>60.666347519999988</v>
      </c>
      <c r="N46" s="122">
        <f t="shared" si="36"/>
        <v>58.239693619199983</v>
      </c>
      <c r="O46" s="122">
        <f t="shared" si="36"/>
        <v>55.910105874431984</v>
      </c>
      <c r="P46" s="122">
        <f t="shared" si="36"/>
        <v>53.673701639454706</v>
      </c>
      <c r="Q46" s="122">
        <f t="shared" si="32"/>
        <v>51.526753573876512</v>
      </c>
      <c r="R46" s="122">
        <f t="shared" si="32"/>
        <v>49.465683430921452</v>
      </c>
      <c r="S46" s="122">
        <f t="shared" si="32"/>
        <v>47.487056093684593</v>
      </c>
      <c r="T46" s="122">
        <f t="shared" si="32"/>
        <v>45.587573849937208</v>
      </c>
      <c r="U46" s="122">
        <f t="shared" si="32"/>
        <v>43.764070895939717</v>
      </c>
      <c r="V46" s="122">
        <f t="shared" si="32"/>
        <v>42.013508060102126</v>
      </c>
      <c r="W46" s="122">
        <f t="shared" si="32"/>
        <v>40.332967737698041</v>
      </c>
      <c r="X46" s="122">
        <f t="shared" si="32"/>
        <v>38.719649028190119</v>
      </c>
      <c r="Y46" s="122">
        <f t="shared" si="32"/>
        <v>37.170863067062513</v>
      </c>
      <c r="Z46" s="122">
        <f t="shared" si="32"/>
        <v>35.684028544380013</v>
      </c>
    </row>
    <row r="47" spans="1:26" ht="18.5" x14ac:dyDescent="0.45">
      <c r="A47" s="107" t="s">
        <v>138</v>
      </c>
      <c r="B47" s="120">
        <v>0.21296296296296297</v>
      </c>
      <c r="C47" s="118">
        <f t="shared" si="33"/>
        <v>5539.8055555555557</v>
      </c>
      <c r="D47" s="120">
        <v>0.21296296296296297</v>
      </c>
      <c r="E47" s="118">
        <f t="shared" si="34"/>
        <v>6644.4444444444443</v>
      </c>
      <c r="F47" s="121">
        <v>0.16907</v>
      </c>
      <c r="G47" s="280">
        <f t="shared" si="37"/>
        <v>15455.064411111111</v>
      </c>
      <c r="H47" s="122">
        <v>66.400000000000006</v>
      </c>
      <c r="I47" s="214">
        <f t="shared" si="35"/>
        <v>19498109.261057779</v>
      </c>
      <c r="J47" s="286">
        <v>65.81</v>
      </c>
      <c r="K47" s="122">
        <f t="shared" si="36"/>
        <v>63.177599999999998</v>
      </c>
      <c r="L47" s="122">
        <f t="shared" si="36"/>
        <v>60.650495999999997</v>
      </c>
      <c r="M47" s="122">
        <f t="shared" si="36"/>
        <v>58.224476159999995</v>
      </c>
      <c r="N47" s="122">
        <f t="shared" si="36"/>
        <v>55.895497113599994</v>
      </c>
      <c r="O47" s="122">
        <f t="shared" si="36"/>
        <v>53.659677229055994</v>
      </c>
      <c r="P47" s="122">
        <f t="shared" si="36"/>
        <v>51.513290139893755</v>
      </c>
      <c r="Q47" s="122">
        <f t="shared" si="32"/>
        <v>49.452758534298006</v>
      </c>
      <c r="R47" s="122">
        <f t="shared" si="32"/>
        <v>47.474648192926082</v>
      </c>
      <c r="S47" s="122">
        <f t="shared" si="32"/>
        <v>45.57566226520904</v>
      </c>
      <c r="T47" s="122">
        <f t="shared" si="32"/>
        <v>43.752635774600677</v>
      </c>
      <c r="U47" s="122">
        <f t="shared" si="32"/>
        <v>42.002530343616648</v>
      </c>
      <c r="V47" s="122">
        <f t="shared" si="32"/>
        <v>40.322429129871978</v>
      </c>
      <c r="W47" s="122">
        <f t="shared" si="32"/>
        <v>38.709531964677097</v>
      </c>
      <c r="X47" s="122">
        <f t="shared" si="32"/>
        <v>37.161150686090011</v>
      </c>
      <c r="Y47" s="122">
        <f t="shared" si="32"/>
        <v>35.674704658646412</v>
      </c>
      <c r="Z47" s="122">
        <f t="shared" si="32"/>
        <v>34.247716472300553</v>
      </c>
    </row>
    <row r="48" spans="1:26" ht="18.5" x14ac:dyDescent="0.45">
      <c r="A48" s="107" t="s">
        <v>139</v>
      </c>
      <c r="B48" s="120">
        <v>0.45370370370370372</v>
      </c>
      <c r="C48" s="118">
        <f t="shared" si="33"/>
        <v>11802.194444444445</v>
      </c>
      <c r="D48" s="120">
        <v>0.45370370370370372</v>
      </c>
      <c r="E48" s="118">
        <f t="shared" si="34"/>
        <v>14155.555555555557</v>
      </c>
      <c r="F48" s="121">
        <v>0.16907</v>
      </c>
      <c r="G48" s="280">
        <f t="shared" si="37"/>
        <v>32926.006788888888</v>
      </c>
      <c r="H48" s="122">
        <v>58.94</v>
      </c>
      <c r="I48" s="214">
        <f t="shared" si="35"/>
        <v>36872517.962605111</v>
      </c>
      <c r="J48" s="286">
        <v>57.72</v>
      </c>
      <c r="K48" s="122">
        <f t="shared" si="36"/>
        <v>55.411199999999994</v>
      </c>
      <c r="L48" s="122">
        <f t="shared" si="36"/>
        <v>53.194751999999994</v>
      </c>
      <c r="M48" s="122">
        <f t="shared" si="36"/>
        <v>51.06696191999999</v>
      </c>
      <c r="N48" s="122">
        <f t="shared" si="36"/>
        <v>49.024283443199991</v>
      </c>
      <c r="O48" s="122">
        <f t="shared" si="36"/>
        <v>47.063312105471987</v>
      </c>
      <c r="P48" s="122">
        <f t="shared" si="36"/>
        <v>45.180779621253109</v>
      </c>
      <c r="Q48" s="122">
        <f t="shared" si="32"/>
        <v>43.373548436402984</v>
      </c>
      <c r="R48" s="122">
        <f t="shared" si="32"/>
        <v>41.638606498946864</v>
      </c>
      <c r="S48" s="122">
        <f t="shared" si="32"/>
        <v>39.973062238988987</v>
      </c>
      <c r="T48" s="122">
        <f t="shared" si="32"/>
        <v>38.374139749429425</v>
      </c>
      <c r="U48" s="122">
        <f t="shared" si="32"/>
        <v>36.839174159452249</v>
      </c>
      <c r="V48" s="122">
        <f t="shared" si="32"/>
        <v>35.365607193074155</v>
      </c>
      <c r="W48" s="122">
        <f t="shared" si="32"/>
        <v>33.950982905351189</v>
      </c>
      <c r="X48" s="122">
        <f t="shared" si="32"/>
        <v>32.592943589137143</v>
      </c>
      <c r="Y48" s="122">
        <f t="shared" si="32"/>
        <v>31.289225845571657</v>
      </c>
      <c r="Z48" s="122">
        <f t="shared" si="32"/>
        <v>30.037656811748789</v>
      </c>
    </row>
    <row r="49" spans="1:26" ht="18.5" x14ac:dyDescent="0.45">
      <c r="A49" s="107" t="s">
        <v>140</v>
      </c>
      <c r="B49" s="120">
        <v>0.23148148148148148</v>
      </c>
      <c r="C49" s="118">
        <f t="shared" si="33"/>
        <v>6021.5277777777774</v>
      </c>
      <c r="D49" s="120">
        <v>0.23148148148148148</v>
      </c>
      <c r="E49" s="118">
        <f t="shared" si="34"/>
        <v>7222.2222222222226</v>
      </c>
      <c r="F49" s="121">
        <v>0.16907</v>
      </c>
      <c r="G49" s="280">
        <f t="shared" si="37"/>
        <v>16798.983055555556</v>
      </c>
      <c r="H49" s="122">
        <v>56.73</v>
      </c>
      <c r="I49" s="214">
        <f t="shared" si="35"/>
        <v>18107119.866091665</v>
      </c>
      <c r="J49" s="286">
        <v>54.51</v>
      </c>
      <c r="K49" s="122">
        <f t="shared" si="36"/>
        <v>52.329599999999999</v>
      </c>
      <c r="L49" s="122">
        <f t="shared" si="36"/>
        <v>50.236415999999998</v>
      </c>
      <c r="M49" s="122">
        <f t="shared" si="36"/>
        <v>48.226959359999995</v>
      </c>
      <c r="N49" s="122">
        <f t="shared" si="36"/>
        <v>46.297880985599996</v>
      </c>
      <c r="O49" s="122">
        <f t="shared" si="36"/>
        <v>44.445965746175993</v>
      </c>
      <c r="P49" s="122">
        <f t="shared" si="36"/>
        <v>42.668127116328954</v>
      </c>
      <c r="Q49" s="122">
        <f t="shared" si="32"/>
        <v>40.961402031675796</v>
      </c>
      <c r="R49" s="122">
        <f t="shared" si="32"/>
        <v>39.322945950408766</v>
      </c>
      <c r="S49" s="122">
        <f t="shared" si="32"/>
        <v>37.750028112392414</v>
      </c>
      <c r="T49" s="122">
        <f t="shared" si="32"/>
        <v>36.240026987896719</v>
      </c>
      <c r="U49" s="122">
        <f t="shared" si="32"/>
        <v>34.790425908380847</v>
      </c>
      <c r="V49" s="122">
        <f t="shared" si="32"/>
        <v>33.398808872045613</v>
      </c>
      <c r="W49" s="122">
        <f t="shared" si="32"/>
        <v>32.062856517163787</v>
      </c>
      <c r="X49" s="122">
        <f t="shared" si="32"/>
        <v>30.780342256477233</v>
      </c>
      <c r="Y49" s="122">
        <f t="shared" si="32"/>
        <v>29.549128566218144</v>
      </c>
      <c r="Z49" s="122">
        <f t="shared" si="32"/>
        <v>28.367163423569416</v>
      </c>
    </row>
    <row r="50" spans="1:26" ht="18.5" x14ac:dyDescent="0.45">
      <c r="A50" s="107" t="s">
        <v>141</v>
      </c>
      <c r="B50" s="120">
        <v>0</v>
      </c>
      <c r="C50" s="118">
        <f t="shared" si="33"/>
        <v>0</v>
      </c>
      <c r="D50" s="120">
        <v>0</v>
      </c>
      <c r="E50" s="118">
        <f t="shared" si="34"/>
        <v>0</v>
      </c>
      <c r="F50" s="121">
        <v>0.16900000000000001</v>
      </c>
      <c r="G50" s="280">
        <f t="shared" ref="G50" si="38">F50*E50*8760/1000</f>
        <v>0</v>
      </c>
      <c r="H50" s="122">
        <v>45.72</v>
      </c>
      <c r="I50" s="214">
        <f t="shared" si="35"/>
        <v>0</v>
      </c>
      <c r="J50" s="286">
        <v>42.15</v>
      </c>
      <c r="K50" s="122">
        <f t="shared" si="36"/>
        <v>40.463999999999999</v>
      </c>
      <c r="L50" s="122">
        <f t="shared" si="36"/>
        <v>38.845439999999996</v>
      </c>
      <c r="M50" s="122">
        <f t="shared" si="36"/>
        <v>37.291622399999994</v>
      </c>
      <c r="N50" s="122">
        <f t="shared" si="36"/>
        <v>35.799957503999991</v>
      </c>
      <c r="O50" s="122">
        <f t="shared" si="36"/>
        <v>34.367959203839987</v>
      </c>
      <c r="P50" s="122">
        <f t="shared" si="36"/>
        <v>32.993240835686386</v>
      </c>
      <c r="Q50" s="122">
        <f t="shared" si="32"/>
        <v>31.673511202258929</v>
      </c>
      <c r="R50" s="122">
        <f t="shared" si="32"/>
        <v>30.40657075416857</v>
      </c>
      <c r="S50" s="122">
        <f t="shared" si="32"/>
        <v>29.190307924001825</v>
      </c>
      <c r="T50" s="122">
        <f t="shared" si="32"/>
        <v>28.022695607041751</v>
      </c>
      <c r="U50" s="122">
        <f t="shared" si="32"/>
        <v>26.901787782760081</v>
      </c>
      <c r="V50" s="122">
        <f t="shared" si="32"/>
        <v>25.825716271449679</v>
      </c>
      <c r="W50" s="122">
        <f t="shared" si="32"/>
        <v>24.792687620591689</v>
      </c>
      <c r="X50" s="122">
        <f t="shared" si="32"/>
        <v>23.80098011576802</v>
      </c>
      <c r="Y50" s="122">
        <f t="shared" si="32"/>
        <v>22.848940911137298</v>
      </c>
      <c r="Z50" s="122">
        <f t="shared" si="32"/>
        <v>21.934983274691806</v>
      </c>
    </row>
    <row r="51" spans="1:26" ht="18.5" x14ac:dyDescent="0.45">
      <c r="A51" s="116" t="s">
        <v>152</v>
      </c>
      <c r="B51" s="125"/>
      <c r="C51" s="118">
        <f>C43*0.7</f>
        <v>60696.999999999993</v>
      </c>
      <c r="D51" s="125"/>
      <c r="E51" s="118">
        <f>E43*0.7</f>
        <v>72800</v>
      </c>
      <c r="F51" s="126"/>
      <c r="G51" s="281">
        <v>115000</v>
      </c>
      <c r="H51" s="123"/>
      <c r="I51" s="215"/>
      <c r="J51" s="287"/>
      <c r="K51" s="123"/>
      <c r="L51" s="123"/>
      <c r="M51" s="123"/>
      <c r="N51" s="123"/>
      <c r="O51" s="123"/>
      <c r="P51" s="123"/>
      <c r="Q51" s="123"/>
      <c r="R51" s="123"/>
      <c r="S51" s="123"/>
      <c r="T51" s="123"/>
      <c r="U51" s="123"/>
      <c r="V51" s="123"/>
      <c r="W51" s="123"/>
      <c r="X51" s="123"/>
      <c r="Y51" s="123"/>
      <c r="Z51" s="123"/>
    </row>
    <row r="52" spans="1:26" ht="18.5" x14ac:dyDescent="0.45">
      <c r="A52" s="107" t="s">
        <v>151</v>
      </c>
      <c r="B52" s="120">
        <v>4.6296296296296294E-2</v>
      </c>
      <c r="C52" s="118">
        <f t="shared" ref="C52:C57" si="39">$C$51*B52</f>
        <v>2810.0462962962956</v>
      </c>
      <c r="D52" s="120">
        <v>4.6296296296296294E-2</v>
      </c>
      <c r="E52" s="118">
        <f t="shared" ref="E52:E57" si="40">$E$51*D52</f>
        <v>3370.37037037037</v>
      </c>
      <c r="F52" s="121">
        <v>0.16907</v>
      </c>
      <c r="G52" s="280">
        <f>F52*D52*$G$51*8760/1000</f>
        <v>7885.2369444444439</v>
      </c>
      <c r="H52" s="122">
        <v>81.16</v>
      </c>
      <c r="I52" s="214">
        <f t="shared" ref="I52:I57" si="41">H52*G52*20*0.95</f>
        <v>12159350.777811108</v>
      </c>
      <c r="J52" s="286">
        <v>93.17</v>
      </c>
      <c r="K52" s="122">
        <f t="shared" ref="K52:Z57" si="42">J52*$B$93</f>
        <v>89.443200000000004</v>
      </c>
      <c r="L52" s="122">
        <f t="shared" si="42"/>
        <v>85.865471999999997</v>
      </c>
      <c r="M52" s="122">
        <f t="shared" si="42"/>
        <v>82.430853119999995</v>
      </c>
      <c r="N52" s="122">
        <f t="shared" si="42"/>
        <v>79.133618995199996</v>
      </c>
      <c r="O52" s="122">
        <f t="shared" si="42"/>
        <v>75.968274235391988</v>
      </c>
      <c r="P52" s="122">
        <f t="shared" si="42"/>
        <v>72.929543265976307</v>
      </c>
      <c r="Q52" s="122">
        <f t="shared" si="42"/>
        <v>70.012361535337249</v>
      </c>
      <c r="R52" s="122">
        <f t="shared" si="42"/>
        <v>67.211867073923756</v>
      </c>
      <c r="S52" s="122">
        <f t="shared" si="42"/>
        <v>64.523392390966805</v>
      </c>
      <c r="T52" s="122">
        <f t="shared" si="42"/>
        <v>61.942456695328133</v>
      </c>
      <c r="U52" s="122">
        <f t="shared" si="42"/>
        <v>59.464758427515008</v>
      </c>
      <c r="V52" s="122">
        <f t="shared" si="42"/>
        <v>57.086168090414404</v>
      </c>
      <c r="W52" s="122">
        <f t="shared" si="42"/>
        <v>54.802721366797826</v>
      </c>
      <c r="X52" s="122">
        <f t="shared" si="42"/>
        <v>52.610612512125911</v>
      </c>
      <c r="Y52" s="122">
        <f t="shared" si="42"/>
        <v>50.506188011640873</v>
      </c>
      <c r="Z52" s="122">
        <f t="shared" si="42"/>
        <v>48.485940491175235</v>
      </c>
    </row>
    <row r="53" spans="1:26" ht="18.5" x14ac:dyDescent="0.45">
      <c r="A53" s="107" t="s">
        <v>143</v>
      </c>
      <c r="B53" s="120">
        <v>5.5555555555555552E-2</v>
      </c>
      <c r="C53" s="118">
        <f t="shared" si="39"/>
        <v>3372.0555555555547</v>
      </c>
      <c r="D53" s="120">
        <v>5.5555555555555552E-2</v>
      </c>
      <c r="E53" s="118">
        <f t="shared" si="40"/>
        <v>4044.4444444444443</v>
      </c>
      <c r="F53" s="121">
        <v>0.16907</v>
      </c>
      <c r="G53" s="280">
        <f t="shared" ref="G53:G56" si="43">F53*D53*$G$51*8760/1000</f>
        <v>9462.2843333333331</v>
      </c>
      <c r="H53" s="122">
        <v>70.42</v>
      </c>
      <c r="I53" s="214">
        <f t="shared" si="41"/>
        <v>12660347.192313332</v>
      </c>
      <c r="J53" s="286">
        <v>84.96</v>
      </c>
      <c r="K53" s="122">
        <f t="shared" si="42"/>
        <v>81.561599999999984</v>
      </c>
      <c r="L53" s="122">
        <f t="shared" si="42"/>
        <v>78.299135999999976</v>
      </c>
      <c r="M53" s="122">
        <f t="shared" si="42"/>
        <v>75.167170559999974</v>
      </c>
      <c r="N53" s="122">
        <f t="shared" si="42"/>
        <v>72.160483737599975</v>
      </c>
      <c r="O53" s="122">
        <f t="shared" si="42"/>
        <v>69.274064388095979</v>
      </c>
      <c r="P53" s="122">
        <f t="shared" si="42"/>
        <v>66.50310181257214</v>
      </c>
      <c r="Q53" s="122">
        <f t="shared" si="42"/>
        <v>63.842977740069252</v>
      </c>
      <c r="R53" s="122">
        <f t="shared" si="42"/>
        <v>61.289258630466477</v>
      </c>
      <c r="S53" s="122">
        <f t="shared" si="42"/>
        <v>58.837688285247815</v>
      </c>
      <c r="T53" s="122">
        <f t="shared" si="42"/>
        <v>56.484180753837897</v>
      </c>
      <c r="U53" s="122">
        <f t="shared" si="42"/>
        <v>54.224813523684382</v>
      </c>
      <c r="V53" s="122">
        <f t="shared" si="42"/>
        <v>52.055820982737004</v>
      </c>
      <c r="W53" s="122">
        <f t="shared" si="42"/>
        <v>49.97358814342752</v>
      </c>
      <c r="X53" s="122">
        <f t="shared" si="42"/>
        <v>47.974644617690416</v>
      </c>
      <c r="Y53" s="122">
        <f t="shared" si="42"/>
        <v>46.0556588329828</v>
      </c>
      <c r="Z53" s="122">
        <f t="shared" si="42"/>
        <v>44.213432479663489</v>
      </c>
    </row>
    <row r="54" spans="1:26" ht="18.5" x14ac:dyDescent="0.45">
      <c r="A54" s="107" t="s">
        <v>138</v>
      </c>
      <c r="B54" s="120">
        <v>0.21296296296296297</v>
      </c>
      <c r="C54" s="118">
        <f t="shared" si="39"/>
        <v>12926.212962962962</v>
      </c>
      <c r="D54" s="120">
        <v>0.21296296296296297</v>
      </c>
      <c r="E54" s="118">
        <f t="shared" si="40"/>
        <v>15503.703703703704</v>
      </c>
      <c r="F54" s="121">
        <v>0.16907</v>
      </c>
      <c r="G54" s="280">
        <f t="shared" si="43"/>
        <v>36272.089944444437</v>
      </c>
      <c r="H54" s="122">
        <v>66.59</v>
      </c>
      <c r="I54" s="214">
        <f t="shared" si="41"/>
        <v>45891810.91861055</v>
      </c>
      <c r="J54" s="286">
        <v>76.91</v>
      </c>
      <c r="K54" s="122">
        <f t="shared" si="42"/>
        <v>73.83359999999999</v>
      </c>
      <c r="L54" s="122">
        <f t="shared" si="42"/>
        <v>70.880255999999989</v>
      </c>
      <c r="M54" s="122">
        <f t="shared" si="42"/>
        <v>68.045045759999994</v>
      </c>
      <c r="N54" s="122">
        <f t="shared" si="42"/>
        <v>65.323243929599997</v>
      </c>
      <c r="O54" s="122">
        <f t="shared" si="42"/>
        <v>62.710314172415991</v>
      </c>
      <c r="P54" s="122">
        <f t="shared" si="42"/>
        <v>60.201901605519346</v>
      </c>
      <c r="Q54" s="122">
        <f t="shared" si="42"/>
        <v>57.793825541298567</v>
      </c>
      <c r="R54" s="122">
        <f t="shared" si="42"/>
        <v>55.482072519646621</v>
      </c>
      <c r="S54" s="122">
        <f t="shared" si="42"/>
        <v>53.262789618860758</v>
      </c>
      <c r="T54" s="122">
        <f t="shared" si="42"/>
        <v>51.132278034106328</v>
      </c>
      <c r="U54" s="122">
        <f t="shared" si="42"/>
        <v>49.08698691274207</v>
      </c>
      <c r="V54" s="122">
        <f t="shared" si="42"/>
        <v>47.123507436232387</v>
      </c>
      <c r="W54" s="122">
        <f t="shared" si="42"/>
        <v>45.23856713878309</v>
      </c>
      <c r="X54" s="122">
        <f t="shared" si="42"/>
        <v>43.429024453231762</v>
      </c>
      <c r="Y54" s="122">
        <f t="shared" si="42"/>
        <v>41.691863475102487</v>
      </c>
      <c r="Z54" s="122">
        <f t="shared" si="42"/>
        <v>40.024188936098383</v>
      </c>
    </row>
    <row r="55" spans="1:26" ht="18.5" x14ac:dyDescent="0.45">
      <c r="A55" s="107" t="s">
        <v>139</v>
      </c>
      <c r="B55" s="120">
        <v>0.45370370370370372</v>
      </c>
      <c r="C55" s="118">
        <f t="shared" si="39"/>
        <v>27538.453703703701</v>
      </c>
      <c r="D55" s="120">
        <v>0.45370370370370372</v>
      </c>
      <c r="E55" s="118">
        <f t="shared" si="40"/>
        <v>33029.629629629628</v>
      </c>
      <c r="F55" s="121">
        <v>0.16907</v>
      </c>
      <c r="G55" s="280">
        <f t="shared" si="43"/>
        <v>77275.32205555556</v>
      </c>
      <c r="H55" s="122">
        <v>59.81</v>
      </c>
      <c r="I55" s="214">
        <f t="shared" si="41"/>
        <v>87814903.230712786</v>
      </c>
      <c r="J55" s="286">
        <v>66.88</v>
      </c>
      <c r="K55" s="122">
        <f t="shared" si="42"/>
        <v>64.204799999999992</v>
      </c>
      <c r="L55" s="122">
        <f t="shared" si="42"/>
        <v>61.636607999999988</v>
      </c>
      <c r="M55" s="122">
        <f t="shared" si="42"/>
        <v>59.171143679999986</v>
      </c>
      <c r="N55" s="122">
        <f t="shared" si="42"/>
        <v>56.804297932799983</v>
      </c>
      <c r="O55" s="122">
        <f t="shared" si="42"/>
        <v>54.532126015487982</v>
      </c>
      <c r="P55" s="122">
        <f t="shared" si="42"/>
        <v>52.350840974868461</v>
      </c>
      <c r="Q55" s="122">
        <f t="shared" si="42"/>
        <v>50.256807335873724</v>
      </c>
      <c r="R55" s="122">
        <f t="shared" si="42"/>
        <v>48.246535042438772</v>
      </c>
      <c r="S55" s="122">
        <f t="shared" si="42"/>
        <v>46.316673640741222</v>
      </c>
      <c r="T55" s="122">
        <f t="shared" si="42"/>
        <v>44.464006695111571</v>
      </c>
      <c r="U55" s="122">
        <f t="shared" si="42"/>
        <v>42.685446427307106</v>
      </c>
      <c r="V55" s="122">
        <f t="shared" si="42"/>
        <v>40.978028570214818</v>
      </c>
      <c r="W55" s="122">
        <f t="shared" si="42"/>
        <v>39.338907427406227</v>
      </c>
      <c r="X55" s="122">
        <f t="shared" si="42"/>
        <v>37.765351130309973</v>
      </c>
      <c r="Y55" s="122">
        <f t="shared" si="42"/>
        <v>36.254737085097574</v>
      </c>
      <c r="Z55" s="122">
        <f t="shared" si="42"/>
        <v>34.80454760169367</v>
      </c>
    </row>
    <row r="56" spans="1:26" ht="18.5" x14ac:dyDescent="0.45">
      <c r="A56" s="107" t="s">
        <v>140</v>
      </c>
      <c r="B56" s="120">
        <v>0.23148148148148148</v>
      </c>
      <c r="C56" s="118">
        <f t="shared" si="39"/>
        <v>14050.23148148148</v>
      </c>
      <c r="D56" s="120">
        <v>0.23148148148148148</v>
      </c>
      <c r="E56" s="118">
        <f t="shared" si="40"/>
        <v>16851.85185185185</v>
      </c>
      <c r="F56" s="121">
        <v>0.16907</v>
      </c>
      <c r="G56" s="280">
        <f t="shared" si="43"/>
        <v>39426.184722222213</v>
      </c>
      <c r="H56" s="122">
        <v>53.59</v>
      </c>
      <c r="I56" s="214">
        <f t="shared" si="41"/>
        <v>40144135.546013877</v>
      </c>
      <c r="J56" s="286">
        <v>61.04</v>
      </c>
      <c r="K56" s="122">
        <f t="shared" si="42"/>
        <v>58.598399999999998</v>
      </c>
      <c r="L56" s="122">
        <f t="shared" si="42"/>
        <v>56.254463999999999</v>
      </c>
      <c r="M56" s="122">
        <f t="shared" si="42"/>
        <v>54.004285439999997</v>
      </c>
      <c r="N56" s="122">
        <f t="shared" si="42"/>
        <v>51.844114022399992</v>
      </c>
      <c r="O56" s="122">
        <f t="shared" si="42"/>
        <v>49.77034946150399</v>
      </c>
      <c r="P56" s="122">
        <f t="shared" si="42"/>
        <v>47.77953548304383</v>
      </c>
      <c r="Q56" s="122">
        <f t="shared" si="42"/>
        <v>45.868354063722073</v>
      </c>
      <c r="R56" s="122">
        <f t="shared" si="42"/>
        <v>44.033619901173189</v>
      </c>
      <c r="S56" s="122">
        <f t="shared" si="42"/>
        <v>42.272275105126262</v>
      </c>
      <c r="T56" s="122">
        <f t="shared" si="42"/>
        <v>40.581384100921213</v>
      </c>
      <c r="U56" s="122">
        <f t="shared" si="42"/>
        <v>38.958128736884362</v>
      </c>
      <c r="V56" s="122">
        <f t="shared" si="42"/>
        <v>37.399803587408989</v>
      </c>
      <c r="W56" s="122">
        <f t="shared" si="42"/>
        <v>35.90381144391263</v>
      </c>
      <c r="X56" s="122">
        <f t="shared" si="42"/>
        <v>34.467658986156124</v>
      </c>
      <c r="Y56" s="122">
        <f t="shared" si="42"/>
        <v>33.088952626709876</v>
      </c>
      <c r="Z56" s="122">
        <f t="shared" si="42"/>
        <v>31.765394521641479</v>
      </c>
    </row>
    <row r="57" spans="1:26" ht="18.5" x14ac:dyDescent="0.45">
      <c r="A57" s="107" t="s">
        <v>141</v>
      </c>
      <c r="B57" s="120">
        <v>0</v>
      </c>
      <c r="C57" s="118">
        <f t="shared" si="39"/>
        <v>0</v>
      </c>
      <c r="D57" s="120">
        <v>0</v>
      </c>
      <c r="E57" s="118">
        <f t="shared" si="40"/>
        <v>0</v>
      </c>
      <c r="F57" s="121">
        <v>0.16900000000000001</v>
      </c>
      <c r="G57" s="280">
        <f t="shared" ref="G57" si="44">F57*E57*8760/1000</f>
        <v>0</v>
      </c>
      <c r="H57" s="122">
        <v>37.229999999999997</v>
      </c>
      <c r="I57" s="214">
        <f t="shared" si="41"/>
        <v>0</v>
      </c>
      <c r="J57" s="286">
        <v>46.74</v>
      </c>
      <c r="K57" s="122">
        <f t="shared" si="42"/>
        <v>44.870400000000004</v>
      </c>
      <c r="L57" s="122">
        <f t="shared" si="42"/>
        <v>43.075583999999999</v>
      </c>
      <c r="M57" s="122">
        <f t="shared" si="42"/>
        <v>41.35256064</v>
      </c>
      <c r="N57" s="122">
        <f t="shared" si="42"/>
        <v>39.698458214399999</v>
      </c>
      <c r="O57" s="122">
        <f t="shared" si="42"/>
        <v>38.110519885823997</v>
      </c>
      <c r="P57" s="122">
        <f t="shared" si="42"/>
        <v>36.586099090391038</v>
      </c>
      <c r="Q57" s="122">
        <f t="shared" si="42"/>
        <v>35.122655126775392</v>
      </c>
      <c r="R57" s="122">
        <f t="shared" si="42"/>
        <v>33.717748921704377</v>
      </c>
      <c r="S57" s="122">
        <f t="shared" si="42"/>
        <v>32.3690389648362</v>
      </c>
      <c r="T57" s="122">
        <f t="shared" si="42"/>
        <v>31.07427740624275</v>
      </c>
      <c r="U57" s="122">
        <f t="shared" si="42"/>
        <v>29.831306309993039</v>
      </c>
      <c r="V57" s="122">
        <f t="shared" si="42"/>
        <v>28.638054057593315</v>
      </c>
      <c r="W57" s="122">
        <f t="shared" si="42"/>
        <v>27.492531895289581</v>
      </c>
      <c r="X57" s="122">
        <f t="shared" si="42"/>
        <v>26.392830619477998</v>
      </c>
      <c r="Y57" s="122">
        <f t="shared" si="42"/>
        <v>25.337117394698875</v>
      </c>
      <c r="Z57" s="122">
        <f t="shared" si="42"/>
        <v>24.32363269891092</v>
      </c>
    </row>
    <row r="58" spans="1:26" ht="18.5" x14ac:dyDescent="0.45">
      <c r="A58" s="111" t="s">
        <v>153</v>
      </c>
      <c r="B58" s="113">
        <v>0.04</v>
      </c>
      <c r="C58" s="114">
        <f>B4*B58</f>
        <v>26680</v>
      </c>
      <c r="D58" s="113">
        <v>0.04</v>
      </c>
      <c r="E58" s="114">
        <f>D4*D58</f>
        <v>32000</v>
      </c>
      <c r="F58" s="111"/>
      <c r="G58" s="282"/>
      <c r="H58" s="115"/>
      <c r="I58" s="216"/>
      <c r="J58" s="131"/>
      <c r="K58" s="115"/>
      <c r="L58" s="115"/>
      <c r="M58" s="115"/>
      <c r="N58" s="115"/>
      <c r="O58" s="115"/>
      <c r="P58" s="115"/>
      <c r="Q58" s="123"/>
      <c r="R58" s="123"/>
      <c r="S58" s="123"/>
      <c r="T58" s="123"/>
      <c r="U58" s="123"/>
      <c r="V58" s="123"/>
      <c r="W58" s="123"/>
      <c r="X58" s="123"/>
      <c r="Y58" s="123"/>
      <c r="Z58" s="123"/>
    </row>
    <row r="59" spans="1:26" ht="18.5" x14ac:dyDescent="0.45">
      <c r="A59" s="116" t="s">
        <v>154</v>
      </c>
      <c r="B59" s="120">
        <v>0.3</v>
      </c>
      <c r="C59" s="118">
        <f>C58*0.3</f>
        <v>8004</v>
      </c>
      <c r="D59" s="120">
        <v>0.3</v>
      </c>
      <c r="E59" s="118">
        <f>E58*0.3</f>
        <v>9600</v>
      </c>
      <c r="F59" s="121">
        <v>0.16907</v>
      </c>
      <c r="G59" s="280"/>
      <c r="H59" s="123"/>
      <c r="I59" s="214">
        <f>SUM(I60:I74)</f>
        <v>0</v>
      </c>
      <c r="J59" s="132"/>
      <c r="K59" s="123"/>
      <c r="L59" s="123"/>
      <c r="M59" s="123"/>
      <c r="N59" s="123"/>
      <c r="O59" s="123"/>
      <c r="P59" s="123"/>
      <c r="Q59" s="123"/>
      <c r="R59" s="123"/>
      <c r="S59" s="123"/>
      <c r="T59" s="123"/>
      <c r="U59" s="123"/>
      <c r="V59" s="123"/>
      <c r="W59" s="123"/>
      <c r="X59" s="123"/>
      <c r="Y59" s="123"/>
      <c r="Z59" s="123"/>
    </row>
    <row r="60" spans="1:26" ht="18.5" x14ac:dyDescent="0.45">
      <c r="A60" s="107" t="s">
        <v>131</v>
      </c>
      <c r="B60" s="120">
        <v>0</v>
      </c>
      <c r="C60" s="118">
        <v>0</v>
      </c>
      <c r="D60" s="120"/>
      <c r="E60" s="118">
        <v>0</v>
      </c>
      <c r="F60" s="121">
        <v>0.16907</v>
      </c>
      <c r="G60" s="280">
        <f t="shared" ref="G60:G66" si="45">F60*E60*8760/1000</f>
        <v>0</v>
      </c>
      <c r="H60" s="122"/>
      <c r="I60" s="214">
        <f t="shared" ref="I60:I66" si="46">H60*G60*15*0.96</f>
        <v>0</v>
      </c>
      <c r="J60" s="286">
        <v>0</v>
      </c>
      <c r="K60" s="122">
        <f>J60*0.96</f>
        <v>0</v>
      </c>
      <c r="L60" s="122">
        <f t="shared" ref="K60:P66" si="47">K60*0.96</f>
        <v>0</v>
      </c>
      <c r="M60" s="122">
        <f t="shared" si="47"/>
        <v>0</v>
      </c>
      <c r="N60" s="122">
        <f t="shared" si="47"/>
        <v>0</v>
      </c>
      <c r="O60" s="122">
        <f t="shared" si="47"/>
        <v>0</v>
      </c>
      <c r="P60" s="122">
        <f t="shared" si="47"/>
        <v>0</v>
      </c>
      <c r="Q60" s="122">
        <f t="shared" ref="Q60:Z66" si="48">P60*$B$93</f>
        <v>0</v>
      </c>
      <c r="R60" s="122">
        <f t="shared" si="48"/>
        <v>0</v>
      </c>
      <c r="S60" s="122">
        <f t="shared" si="48"/>
        <v>0</v>
      </c>
      <c r="T60" s="122">
        <f t="shared" si="48"/>
        <v>0</v>
      </c>
      <c r="U60" s="122">
        <f t="shared" si="48"/>
        <v>0</v>
      </c>
      <c r="V60" s="122">
        <f t="shared" si="48"/>
        <v>0</v>
      </c>
      <c r="W60" s="122">
        <f t="shared" si="48"/>
        <v>0</v>
      </c>
      <c r="X60" s="122">
        <f t="shared" si="48"/>
        <v>0</v>
      </c>
      <c r="Y60" s="122">
        <f t="shared" si="48"/>
        <v>0</v>
      </c>
      <c r="Z60" s="122">
        <f t="shared" si="48"/>
        <v>0</v>
      </c>
    </row>
    <row r="61" spans="1:26" ht="18.5" x14ac:dyDescent="0.45">
      <c r="A61" s="107" t="s">
        <v>132</v>
      </c>
      <c r="B61" s="120">
        <v>0</v>
      </c>
      <c r="C61" s="118">
        <v>0</v>
      </c>
      <c r="D61" s="120"/>
      <c r="E61" s="118">
        <v>0</v>
      </c>
      <c r="F61" s="121">
        <v>0.16907</v>
      </c>
      <c r="G61" s="280">
        <f t="shared" si="45"/>
        <v>0</v>
      </c>
      <c r="H61" s="122">
        <v>71.101018017650617</v>
      </c>
      <c r="I61" s="214">
        <f t="shared" si="46"/>
        <v>0</v>
      </c>
      <c r="J61" s="286">
        <v>73.819999999999993</v>
      </c>
      <c r="K61" s="122">
        <f t="shared" si="47"/>
        <v>70.867199999999997</v>
      </c>
      <c r="L61" s="122">
        <f t="shared" si="47"/>
        <v>68.032511999999997</v>
      </c>
      <c r="M61" s="122">
        <f t="shared" si="47"/>
        <v>65.311211520000001</v>
      </c>
      <c r="N61" s="122">
        <f t="shared" si="47"/>
        <v>62.698763059199997</v>
      </c>
      <c r="O61" s="122">
        <f t="shared" si="47"/>
        <v>60.190812536831999</v>
      </c>
      <c r="P61" s="122">
        <f t="shared" si="47"/>
        <v>57.783180035358718</v>
      </c>
      <c r="Q61" s="122">
        <f t="shared" si="48"/>
        <v>55.471852833944368</v>
      </c>
      <c r="R61" s="122">
        <f t="shared" si="48"/>
        <v>53.25297872058659</v>
      </c>
      <c r="S61" s="122">
        <f t="shared" si="48"/>
        <v>51.122859571763122</v>
      </c>
      <c r="T61" s="122">
        <f t="shared" si="48"/>
        <v>49.077945188892599</v>
      </c>
      <c r="U61" s="122">
        <f t="shared" si="48"/>
        <v>47.114827381336895</v>
      </c>
      <c r="V61" s="122">
        <f t="shared" si="48"/>
        <v>45.230234286083416</v>
      </c>
      <c r="W61" s="122">
        <f t="shared" si="48"/>
        <v>43.421024914640078</v>
      </c>
      <c r="X61" s="122">
        <f t="shared" si="48"/>
        <v>41.684183918054472</v>
      </c>
      <c r="Y61" s="122">
        <f t="shared" si="48"/>
        <v>40.016816561332291</v>
      </c>
      <c r="Z61" s="122">
        <f t="shared" si="48"/>
        <v>38.416143898879</v>
      </c>
    </row>
    <row r="62" spans="1:26" ht="18.5" x14ac:dyDescent="0.45">
      <c r="A62" s="107" t="s">
        <v>143</v>
      </c>
      <c r="B62" s="120">
        <v>0</v>
      </c>
      <c r="C62" s="118">
        <v>0</v>
      </c>
      <c r="D62" s="120"/>
      <c r="E62" s="118">
        <v>0</v>
      </c>
      <c r="F62" s="121">
        <v>0.16907</v>
      </c>
      <c r="G62" s="280">
        <f t="shared" si="45"/>
        <v>0</v>
      </c>
      <c r="H62" s="122">
        <v>76.163110962617708</v>
      </c>
      <c r="I62" s="214">
        <f t="shared" si="46"/>
        <v>0</v>
      </c>
      <c r="J62" s="286">
        <v>75.400000000000006</v>
      </c>
      <c r="K62" s="122">
        <f t="shared" si="47"/>
        <v>72.384</v>
      </c>
      <c r="L62" s="122">
        <f t="shared" si="47"/>
        <v>69.488640000000004</v>
      </c>
      <c r="M62" s="122">
        <f t="shared" si="47"/>
        <v>66.709094399999998</v>
      </c>
      <c r="N62" s="122">
        <f t="shared" si="47"/>
        <v>64.040730623999991</v>
      </c>
      <c r="O62" s="122">
        <f t="shared" si="47"/>
        <v>61.47910139903999</v>
      </c>
      <c r="P62" s="122">
        <f t="shared" si="47"/>
        <v>59.019937343078389</v>
      </c>
      <c r="Q62" s="122">
        <f t="shared" si="48"/>
        <v>56.659139849355249</v>
      </c>
      <c r="R62" s="122">
        <f t="shared" si="48"/>
        <v>54.392774255381035</v>
      </c>
      <c r="S62" s="122">
        <f t="shared" si="48"/>
        <v>52.217063285165793</v>
      </c>
      <c r="T62" s="122">
        <f t="shared" si="48"/>
        <v>50.12838075375916</v>
      </c>
      <c r="U62" s="122">
        <f t="shared" si="48"/>
        <v>48.123245523608794</v>
      </c>
      <c r="V62" s="122">
        <f t="shared" si="48"/>
        <v>46.198315702664438</v>
      </c>
      <c r="W62" s="122">
        <f t="shared" si="48"/>
        <v>44.350383074557861</v>
      </c>
      <c r="X62" s="122">
        <f t="shared" si="48"/>
        <v>42.576367751575546</v>
      </c>
      <c r="Y62" s="122">
        <f t="shared" si="48"/>
        <v>40.873313041512525</v>
      </c>
      <c r="Z62" s="122">
        <f t="shared" si="48"/>
        <v>39.238380519852022</v>
      </c>
    </row>
    <row r="63" spans="1:26" ht="18.5" x14ac:dyDescent="0.45">
      <c r="A63" s="107" t="s">
        <v>138</v>
      </c>
      <c r="B63" s="120">
        <v>0</v>
      </c>
      <c r="C63" s="118">
        <v>0</v>
      </c>
      <c r="D63" s="120"/>
      <c r="E63" s="118">
        <v>0</v>
      </c>
      <c r="F63" s="121">
        <v>0.16907</v>
      </c>
      <c r="G63" s="280">
        <f t="shared" si="45"/>
        <v>0</v>
      </c>
      <c r="H63" s="122">
        <v>78.330099132419932</v>
      </c>
      <c r="I63" s="214">
        <f t="shared" si="46"/>
        <v>0</v>
      </c>
      <c r="J63" s="286">
        <v>73.28</v>
      </c>
      <c r="K63" s="122">
        <f t="shared" si="47"/>
        <v>70.348799999999997</v>
      </c>
      <c r="L63" s="122">
        <f t="shared" si="47"/>
        <v>67.534847999999997</v>
      </c>
      <c r="M63" s="122">
        <f t="shared" si="47"/>
        <v>64.833454079999996</v>
      </c>
      <c r="N63" s="122">
        <f t="shared" si="47"/>
        <v>62.240115916799994</v>
      </c>
      <c r="O63" s="122">
        <f t="shared" si="47"/>
        <v>59.750511280127995</v>
      </c>
      <c r="P63" s="122">
        <f t="shared" si="47"/>
        <v>57.36049082892287</v>
      </c>
      <c r="Q63" s="122">
        <f t="shared" si="48"/>
        <v>55.06607119576595</v>
      </c>
      <c r="R63" s="122">
        <f t="shared" si="48"/>
        <v>52.863428347935312</v>
      </c>
      <c r="S63" s="122">
        <f t="shared" si="48"/>
        <v>50.748891214017895</v>
      </c>
      <c r="T63" s="122">
        <f t="shared" si="48"/>
        <v>48.71893556545718</v>
      </c>
      <c r="U63" s="122">
        <f t="shared" si="48"/>
        <v>46.770178142838894</v>
      </c>
      <c r="V63" s="122">
        <f t="shared" si="48"/>
        <v>44.89937101712534</v>
      </c>
      <c r="W63" s="122">
        <f t="shared" si="48"/>
        <v>43.103396176440327</v>
      </c>
      <c r="X63" s="122">
        <f t="shared" si="48"/>
        <v>41.37926032938271</v>
      </c>
      <c r="Y63" s="122">
        <f t="shared" si="48"/>
        <v>39.724089916207397</v>
      </c>
      <c r="Z63" s="122">
        <f t="shared" si="48"/>
        <v>38.135126319559099</v>
      </c>
    </row>
    <row r="64" spans="1:26" ht="18.5" x14ac:dyDescent="0.45">
      <c r="A64" s="107" t="s">
        <v>139</v>
      </c>
      <c r="B64" s="120">
        <v>0</v>
      </c>
      <c r="C64" s="118">
        <v>0</v>
      </c>
      <c r="D64" s="120"/>
      <c r="E64" s="118">
        <v>0</v>
      </c>
      <c r="F64" s="121">
        <v>0.16907</v>
      </c>
      <c r="G64" s="280">
        <f t="shared" si="45"/>
        <v>0</v>
      </c>
      <c r="H64" s="122">
        <v>73.020557738315659</v>
      </c>
      <c r="I64" s="214">
        <f t="shared" si="46"/>
        <v>0</v>
      </c>
      <c r="J64" s="286">
        <v>67.73</v>
      </c>
      <c r="K64" s="122">
        <f t="shared" si="47"/>
        <v>65.020800000000008</v>
      </c>
      <c r="L64" s="122">
        <f t="shared" si="47"/>
        <v>62.419968000000004</v>
      </c>
      <c r="M64" s="122">
        <f t="shared" si="47"/>
        <v>59.923169280000003</v>
      </c>
      <c r="N64" s="122">
        <f t="shared" si="47"/>
        <v>57.526242508800003</v>
      </c>
      <c r="O64" s="122">
        <f t="shared" si="47"/>
        <v>55.225192808448</v>
      </c>
      <c r="P64" s="122">
        <f t="shared" si="47"/>
        <v>53.016185096110078</v>
      </c>
      <c r="Q64" s="122">
        <f t="shared" si="48"/>
        <v>50.89553769226567</v>
      </c>
      <c r="R64" s="122">
        <f t="shared" si="48"/>
        <v>48.859716184575042</v>
      </c>
      <c r="S64" s="122">
        <f t="shared" si="48"/>
        <v>46.905327537192036</v>
      </c>
      <c r="T64" s="122">
        <f t="shared" si="48"/>
        <v>45.029114435704351</v>
      </c>
      <c r="U64" s="122">
        <f t="shared" si="48"/>
        <v>43.227949858276176</v>
      </c>
      <c r="V64" s="122">
        <f t="shared" si="48"/>
        <v>41.498831863945128</v>
      </c>
      <c r="W64" s="122">
        <f t="shared" si="48"/>
        <v>39.838878589387321</v>
      </c>
      <c r="X64" s="122">
        <f t="shared" si="48"/>
        <v>38.245323445811827</v>
      </c>
      <c r="Y64" s="122">
        <f t="shared" si="48"/>
        <v>36.715510507979353</v>
      </c>
      <c r="Z64" s="122">
        <f t="shared" si="48"/>
        <v>35.246890087660177</v>
      </c>
    </row>
    <row r="65" spans="1:26" ht="18.5" x14ac:dyDescent="0.45">
      <c r="A65" s="107" t="s">
        <v>146</v>
      </c>
      <c r="B65" s="120">
        <v>1</v>
      </c>
      <c r="C65" s="118">
        <v>10005</v>
      </c>
      <c r="D65" s="120"/>
      <c r="E65" s="118">
        <v>10005</v>
      </c>
      <c r="F65" s="121">
        <v>0.16907</v>
      </c>
      <c r="G65" s="280">
        <v>0</v>
      </c>
      <c r="H65" s="122">
        <v>63.722290844711253</v>
      </c>
      <c r="I65" s="214">
        <f t="shared" si="46"/>
        <v>0</v>
      </c>
      <c r="J65" s="286">
        <v>57.93</v>
      </c>
      <c r="K65" s="122">
        <f t="shared" si="47"/>
        <v>55.6128</v>
      </c>
      <c r="L65" s="122">
        <f t="shared" si="47"/>
        <v>53.388287999999996</v>
      </c>
      <c r="M65" s="122">
        <f t="shared" si="47"/>
        <v>51.252756479999995</v>
      </c>
      <c r="N65" s="122">
        <f t="shared" si="47"/>
        <v>49.202646220799991</v>
      </c>
      <c r="O65" s="122">
        <f t="shared" si="47"/>
        <v>47.234540371967988</v>
      </c>
      <c r="P65" s="122">
        <f t="shared" si="47"/>
        <v>45.345158757089266</v>
      </c>
      <c r="Q65" s="122">
        <f t="shared" si="48"/>
        <v>43.531352406805695</v>
      </c>
      <c r="R65" s="122">
        <f t="shared" si="48"/>
        <v>41.790098310533466</v>
      </c>
      <c r="S65" s="122">
        <f t="shared" si="48"/>
        <v>40.118494378112125</v>
      </c>
      <c r="T65" s="122">
        <f t="shared" si="48"/>
        <v>38.513754602987639</v>
      </c>
      <c r="U65" s="122">
        <f t="shared" si="48"/>
        <v>36.973204418868129</v>
      </c>
      <c r="V65" s="122">
        <f t="shared" si="48"/>
        <v>35.494276242113401</v>
      </c>
      <c r="W65" s="122">
        <f t="shared" si="48"/>
        <v>34.074505192428866</v>
      </c>
      <c r="X65" s="122">
        <f t="shared" si="48"/>
        <v>32.71152498473171</v>
      </c>
      <c r="Y65" s="122">
        <f t="shared" si="48"/>
        <v>31.403063985342442</v>
      </c>
      <c r="Z65" s="122">
        <f t="shared" si="48"/>
        <v>30.146941425928745</v>
      </c>
    </row>
    <row r="66" spans="1:26" ht="18.5" x14ac:dyDescent="0.45">
      <c r="A66" s="107" t="s">
        <v>147</v>
      </c>
      <c r="B66" s="120">
        <v>0</v>
      </c>
      <c r="C66" s="118">
        <v>0</v>
      </c>
      <c r="D66" s="120"/>
      <c r="E66" s="118">
        <v>0</v>
      </c>
      <c r="F66" s="121">
        <v>0.16907</v>
      </c>
      <c r="G66" s="280">
        <f t="shared" si="45"/>
        <v>0</v>
      </c>
      <c r="H66" s="122">
        <v>49.328241998484785</v>
      </c>
      <c r="I66" s="214">
        <f t="shared" si="46"/>
        <v>0</v>
      </c>
      <c r="J66" s="286">
        <v>41.94</v>
      </c>
      <c r="K66" s="122">
        <f t="shared" si="47"/>
        <v>40.2624</v>
      </c>
      <c r="L66" s="122">
        <f t="shared" si="47"/>
        <v>38.651903999999995</v>
      </c>
      <c r="M66" s="122">
        <f t="shared" si="47"/>
        <v>37.105827839999996</v>
      </c>
      <c r="N66" s="122">
        <f t="shared" si="47"/>
        <v>35.621594726399998</v>
      </c>
      <c r="O66" s="122">
        <f t="shared" si="47"/>
        <v>34.196730937344</v>
      </c>
      <c r="P66" s="122">
        <f t="shared" si="47"/>
        <v>32.828861699850236</v>
      </c>
      <c r="Q66" s="122">
        <f t="shared" si="48"/>
        <v>31.515707231856226</v>
      </c>
      <c r="R66" s="122">
        <f t="shared" si="48"/>
        <v>30.255078942581974</v>
      </c>
      <c r="S66" s="122">
        <f t="shared" si="48"/>
        <v>29.044875784878695</v>
      </c>
      <c r="T66" s="122">
        <f t="shared" si="48"/>
        <v>27.883080753483547</v>
      </c>
      <c r="U66" s="122">
        <f t="shared" si="48"/>
        <v>26.767757523344205</v>
      </c>
      <c r="V66" s="122">
        <f t="shared" si="48"/>
        <v>25.697047222410436</v>
      </c>
      <c r="W66" s="122">
        <f t="shared" si="48"/>
        <v>24.66916533351402</v>
      </c>
      <c r="X66" s="122">
        <f t="shared" si="48"/>
        <v>23.68239872017346</v>
      </c>
      <c r="Y66" s="122">
        <f t="shared" si="48"/>
        <v>22.73510277136652</v>
      </c>
      <c r="Z66" s="122">
        <f t="shared" si="48"/>
        <v>21.825698660511858</v>
      </c>
    </row>
    <row r="67" spans="1:26" ht="18.5" x14ac:dyDescent="0.45">
      <c r="A67" s="116" t="s">
        <v>155</v>
      </c>
      <c r="B67" s="120">
        <v>0.7</v>
      </c>
      <c r="C67" s="118">
        <f>C58*0.7</f>
        <v>18676</v>
      </c>
      <c r="D67" s="120">
        <v>0.7</v>
      </c>
      <c r="E67" s="118">
        <f>E58*0.7</f>
        <v>22400</v>
      </c>
      <c r="F67" s="121">
        <v>0.16907</v>
      </c>
      <c r="G67" s="280"/>
      <c r="H67" s="123"/>
      <c r="I67" s="214">
        <f>H67*G67*15.96</f>
        <v>0</v>
      </c>
      <c r="J67" s="287"/>
      <c r="K67" s="123"/>
      <c r="L67" s="123"/>
      <c r="M67" s="123"/>
      <c r="N67" s="123"/>
      <c r="O67" s="123"/>
      <c r="P67" s="123"/>
      <c r="Q67" s="123"/>
      <c r="R67" s="123"/>
      <c r="S67" s="123"/>
      <c r="T67" s="123"/>
      <c r="U67" s="123"/>
      <c r="V67" s="123"/>
      <c r="W67" s="123"/>
      <c r="X67" s="123"/>
      <c r="Y67" s="123"/>
      <c r="Z67" s="123"/>
    </row>
    <row r="68" spans="1:26" ht="18.5" x14ac:dyDescent="0.45">
      <c r="A68" s="107" t="s">
        <v>131</v>
      </c>
      <c r="B68" s="120">
        <v>0</v>
      </c>
      <c r="C68" s="118">
        <v>0</v>
      </c>
      <c r="D68" s="120"/>
      <c r="E68" s="118">
        <v>0</v>
      </c>
      <c r="F68" s="121">
        <v>0.16907</v>
      </c>
      <c r="G68" s="280">
        <f t="shared" ref="G68:G74" si="49">F68*E68*8760/1000</f>
        <v>0</v>
      </c>
      <c r="H68" s="122"/>
      <c r="I68" s="214">
        <f t="shared" ref="I68:I74" si="50">H68*G68*15*0.96</f>
        <v>0</v>
      </c>
      <c r="J68" s="286">
        <v>0</v>
      </c>
      <c r="K68" s="122">
        <f t="shared" ref="K68:P74" si="51">J68*0.96</f>
        <v>0</v>
      </c>
      <c r="L68" s="122">
        <f t="shared" si="51"/>
        <v>0</v>
      </c>
      <c r="M68" s="122">
        <f t="shared" si="51"/>
        <v>0</v>
      </c>
      <c r="N68" s="122">
        <f t="shared" si="51"/>
        <v>0</v>
      </c>
      <c r="O68" s="122">
        <f t="shared" si="51"/>
        <v>0</v>
      </c>
      <c r="P68" s="122">
        <f t="shared" si="51"/>
        <v>0</v>
      </c>
      <c r="Q68" s="122">
        <f t="shared" ref="Q68:Z74" si="52">P68*$B$93</f>
        <v>0</v>
      </c>
      <c r="R68" s="122">
        <f t="shared" si="52"/>
        <v>0</v>
      </c>
      <c r="S68" s="122">
        <f t="shared" si="52"/>
        <v>0</v>
      </c>
      <c r="T68" s="122">
        <f t="shared" si="52"/>
        <v>0</v>
      </c>
      <c r="U68" s="122">
        <f t="shared" si="52"/>
        <v>0</v>
      </c>
      <c r="V68" s="122">
        <f t="shared" si="52"/>
        <v>0</v>
      </c>
      <c r="W68" s="122">
        <f t="shared" si="52"/>
        <v>0</v>
      </c>
      <c r="X68" s="122">
        <f t="shared" si="52"/>
        <v>0</v>
      </c>
      <c r="Y68" s="122">
        <f t="shared" si="52"/>
        <v>0</v>
      </c>
      <c r="Z68" s="122">
        <f t="shared" si="52"/>
        <v>0</v>
      </c>
    </row>
    <row r="69" spans="1:26" ht="18.5" x14ac:dyDescent="0.45">
      <c r="A69" s="107" t="s">
        <v>132</v>
      </c>
      <c r="B69" s="120">
        <v>0</v>
      </c>
      <c r="C69" s="118">
        <v>0</v>
      </c>
      <c r="D69" s="120"/>
      <c r="E69" s="118">
        <v>0</v>
      </c>
      <c r="F69" s="121">
        <v>0.16907</v>
      </c>
      <c r="G69" s="280">
        <f t="shared" si="49"/>
        <v>0</v>
      </c>
      <c r="H69" s="122">
        <v>82.366373483428873</v>
      </c>
      <c r="I69" s="214">
        <f t="shared" si="50"/>
        <v>0</v>
      </c>
      <c r="J69" s="286">
        <v>91.46</v>
      </c>
      <c r="K69" s="122">
        <f t="shared" si="51"/>
        <v>87.801599999999993</v>
      </c>
      <c r="L69" s="122">
        <f t="shared" si="51"/>
        <v>84.289535999999984</v>
      </c>
      <c r="M69" s="122">
        <f t="shared" si="51"/>
        <v>80.917954559999984</v>
      </c>
      <c r="N69" s="122">
        <f t="shared" si="51"/>
        <v>77.681236377599987</v>
      </c>
      <c r="O69" s="122">
        <f t="shared" si="51"/>
        <v>74.57398692249599</v>
      </c>
      <c r="P69" s="122">
        <f t="shared" si="51"/>
        <v>71.591027445596154</v>
      </c>
      <c r="Q69" s="122">
        <f t="shared" si="52"/>
        <v>68.72738634777231</v>
      </c>
      <c r="R69" s="122">
        <f t="shared" si="52"/>
        <v>65.978290893861413</v>
      </c>
      <c r="S69" s="122">
        <f t="shared" si="52"/>
        <v>63.339159258106953</v>
      </c>
      <c r="T69" s="122">
        <f t="shared" si="52"/>
        <v>60.805592887782673</v>
      </c>
      <c r="U69" s="122">
        <f t="shared" si="52"/>
        <v>58.373369172271367</v>
      </c>
      <c r="V69" s="122">
        <f t="shared" si="52"/>
        <v>56.038434405380514</v>
      </c>
      <c r="W69" s="122">
        <f t="shared" si="52"/>
        <v>53.796897029165294</v>
      </c>
      <c r="X69" s="122">
        <f t="shared" si="52"/>
        <v>51.645021147998683</v>
      </c>
      <c r="Y69" s="122">
        <f t="shared" si="52"/>
        <v>49.579220302078731</v>
      </c>
      <c r="Z69" s="122">
        <f t="shared" si="52"/>
        <v>47.596051489995581</v>
      </c>
    </row>
    <row r="70" spans="1:26" ht="18.5" x14ac:dyDescent="0.45">
      <c r="A70" s="107" t="s">
        <v>143</v>
      </c>
      <c r="B70" s="120">
        <v>0</v>
      </c>
      <c r="C70" s="118">
        <v>0</v>
      </c>
      <c r="D70" s="120"/>
      <c r="E70" s="118">
        <v>0</v>
      </c>
      <c r="F70" s="121">
        <v>0.16907</v>
      </c>
      <c r="G70" s="280">
        <f t="shared" si="49"/>
        <v>0</v>
      </c>
      <c r="H70" s="122">
        <v>93.60931583412021</v>
      </c>
      <c r="I70" s="214">
        <f t="shared" si="50"/>
        <v>0</v>
      </c>
      <c r="J70" s="286">
        <v>92.92</v>
      </c>
      <c r="K70" s="122">
        <f t="shared" si="51"/>
        <v>89.203199999999995</v>
      </c>
      <c r="L70" s="122">
        <f t="shared" si="51"/>
        <v>85.635071999999994</v>
      </c>
      <c r="M70" s="122">
        <f t="shared" si="51"/>
        <v>82.209669119999987</v>
      </c>
      <c r="N70" s="122">
        <f t="shared" si="51"/>
        <v>78.921282355199978</v>
      </c>
      <c r="O70" s="122">
        <f t="shared" si="51"/>
        <v>75.764431060991981</v>
      </c>
      <c r="P70" s="122">
        <f t="shared" si="51"/>
        <v>72.733853818552305</v>
      </c>
      <c r="Q70" s="122">
        <f t="shared" si="52"/>
        <v>69.824499665810208</v>
      </c>
      <c r="R70" s="122">
        <f t="shared" si="52"/>
        <v>67.031519679177791</v>
      </c>
      <c r="S70" s="122">
        <f t="shared" si="52"/>
        <v>64.350258892010672</v>
      </c>
      <c r="T70" s="122">
        <f t="shared" si="52"/>
        <v>61.776248536330243</v>
      </c>
      <c r="U70" s="122">
        <f t="shared" si="52"/>
        <v>59.305198594877034</v>
      </c>
      <c r="V70" s="122">
        <f t="shared" si="52"/>
        <v>56.932990651081951</v>
      </c>
      <c r="W70" s="122">
        <f t="shared" si="52"/>
        <v>54.655671025038671</v>
      </c>
      <c r="X70" s="122">
        <f t="shared" si="52"/>
        <v>52.469444184037123</v>
      </c>
      <c r="Y70" s="122">
        <f t="shared" si="52"/>
        <v>50.370666416675633</v>
      </c>
      <c r="Z70" s="122">
        <f t="shared" si="52"/>
        <v>48.355839760008607</v>
      </c>
    </row>
    <row r="71" spans="1:26" ht="18.5" x14ac:dyDescent="0.45">
      <c r="A71" s="107" t="s">
        <v>138</v>
      </c>
      <c r="B71" s="120">
        <v>0</v>
      </c>
      <c r="C71" s="118">
        <v>0</v>
      </c>
      <c r="D71" s="120"/>
      <c r="E71" s="118">
        <v>0</v>
      </c>
      <c r="F71" s="121">
        <v>0.16907</v>
      </c>
      <c r="G71" s="280">
        <f t="shared" si="49"/>
        <v>0</v>
      </c>
      <c r="H71" s="122">
        <v>95.124862440548199</v>
      </c>
      <c r="I71" s="214">
        <f t="shared" si="50"/>
        <v>0</v>
      </c>
      <c r="J71" s="286">
        <v>89.36</v>
      </c>
      <c r="K71" s="122">
        <f t="shared" si="51"/>
        <v>85.785600000000002</v>
      </c>
      <c r="L71" s="122">
        <f t="shared" si="51"/>
        <v>82.354175999999995</v>
      </c>
      <c r="M71" s="122">
        <f t="shared" si="51"/>
        <v>79.06000895999999</v>
      </c>
      <c r="N71" s="122">
        <f t="shared" si="51"/>
        <v>75.897608601599984</v>
      </c>
      <c r="O71" s="122">
        <f t="shared" si="51"/>
        <v>72.861704257535976</v>
      </c>
      <c r="P71" s="122">
        <f t="shared" si="51"/>
        <v>69.947236087234529</v>
      </c>
      <c r="Q71" s="122">
        <f t="shared" si="52"/>
        <v>67.149346643745147</v>
      </c>
      <c r="R71" s="122">
        <f t="shared" si="52"/>
        <v>64.463372777995346</v>
      </c>
      <c r="S71" s="122">
        <f t="shared" si="52"/>
        <v>61.884837866875529</v>
      </c>
      <c r="T71" s="122">
        <f t="shared" si="52"/>
        <v>59.409444352200502</v>
      </c>
      <c r="U71" s="122">
        <f t="shared" si="52"/>
        <v>57.033066578112482</v>
      </c>
      <c r="V71" s="122">
        <f t="shared" si="52"/>
        <v>54.751743914987983</v>
      </c>
      <c r="W71" s="122">
        <f t="shared" si="52"/>
        <v>52.561674158388463</v>
      </c>
      <c r="X71" s="122">
        <f t="shared" si="52"/>
        <v>50.459207192052922</v>
      </c>
      <c r="Y71" s="122">
        <f t="shared" si="52"/>
        <v>48.440838904370807</v>
      </c>
      <c r="Z71" s="122">
        <f t="shared" si="52"/>
        <v>46.503205348195976</v>
      </c>
    </row>
    <row r="72" spans="1:26" ht="18.5" x14ac:dyDescent="0.45">
      <c r="A72" s="107" t="s">
        <v>139</v>
      </c>
      <c r="B72" s="120">
        <v>0</v>
      </c>
      <c r="C72" s="118">
        <v>0</v>
      </c>
      <c r="D72" s="120"/>
      <c r="E72" s="118">
        <v>0</v>
      </c>
      <c r="F72" s="121">
        <v>0.16907</v>
      </c>
      <c r="G72" s="280">
        <f t="shared" si="49"/>
        <v>0</v>
      </c>
      <c r="H72" s="122">
        <v>84.098168080061313</v>
      </c>
      <c r="I72" s="214">
        <f t="shared" si="50"/>
        <v>0</v>
      </c>
      <c r="J72" s="286">
        <v>82.24</v>
      </c>
      <c r="K72" s="122">
        <f t="shared" si="51"/>
        <v>78.950399999999988</v>
      </c>
      <c r="L72" s="122">
        <f t="shared" si="51"/>
        <v>75.792383999999984</v>
      </c>
      <c r="M72" s="122">
        <f t="shared" si="51"/>
        <v>72.760688639999984</v>
      </c>
      <c r="N72" s="122">
        <f t="shared" si="51"/>
        <v>69.850261094399983</v>
      </c>
      <c r="O72" s="122">
        <f t="shared" si="51"/>
        <v>67.05625065062398</v>
      </c>
      <c r="P72" s="122">
        <f t="shared" si="51"/>
        <v>64.37400062459902</v>
      </c>
      <c r="Q72" s="122">
        <f t="shared" si="52"/>
        <v>61.799040599615054</v>
      </c>
      <c r="R72" s="122">
        <f t="shared" si="52"/>
        <v>59.32707897563045</v>
      </c>
      <c r="S72" s="122">
        <f t="shared" si="52"/>
        <v>56.953995816605229</v>
      </c>
      <c r="T72" s="122">
        <f t="shared" si="52"/>
        <v>54.67583598394102</v>
      </c>
      <c r="U72" s="122">
        <f t="shared" si="52"/>
        <v>52.488802544583379</v>
      </c>
      <c r="V72" s="122">
        <f t="shared" si="52"/>
        <v>50.389250442800041</v>
      </c>
      <c r="W72" s="122">
        <f t="shared" si="52"/>
        <v>48.37368042508804</v>
      </c>
      <c r="X72" s="122">
        <f t="shared" si="52"/>
        <v>46.438733208084514</v>
      </c>
      <c r="Y72" s="122">
        <f t="shared" si="52"/>
        <v>44.581183879761134</v>
      </c>
      <c r="Z72" s="122">
        <f t="shared" si="52"/>
        <v>42.797936524570687</v>
      </c>
    </row>
    <row r="73" spans="1:26" ht="18.5" x14ac:dyDescent="0.45">
      <c r="A73" s="107" t="s">
        <v>146</v>
      </c>
      <c r="B73" s="120">
        <v>1</v>
      </c>
      <c r="C73" s="118">
        <v>23345</v>
      </c>
      <c r="D73" s="120"/>
      <c r="E73" s="118">
        <v>23345</v>
      </c>
      <c r="F73" s="121">
        <v>0.16907</v>
      </c>
      <c r="G73" s="280">
        <v>0</v>
      </c>
      <c r="H73" s="122">
        <v>71.799662172322627</v>
      </c>
      <c r="I73" s="214">
        <f t="shared" si="50"/>
        <v>0</v>
      </c>
      <c r="J73" s="286">
        <v>68.95</v>
      </c>
      <c r="K73" s="122">
        <f t="shared" si="51"/>
        <v>66.192000000000007</v>
      </c>
      <c r="L73" s="122">
        <f t="shared" si="51"/>
        <v>63.544320000000006</v>
      </c>
      <c r="M73" s="122">
        <f t="shared" si="51"/>
        <v>61.002547200000002</v>
      </c>
      <c r="N73" s="122">
        <f t="shared" si="51"/>
        <v>58.562445312000001</v>
      </c>
      <c r="O73" s="122">
        <f t="shared" si="51"/>
        <v>56.219947499519996</v>
      </c>
      <c r="P73" s="122">
        <f t="shared" si="51"/>
        <v>53.971149599539196</v>
      </c>
      <c r="Q73" s="122">
        <f t="shared" si="52"/>
        <v>51.812303615557624</v>
      </c>
      <c r="R73" s="122">
        <f t="shared" si="52"/>
        <v>49.739811470935315</v>
      </c>
      <c r="S73" s="122">
        <f t="shared" si="52"/>
        <v>47.750219012097901</v>
      </c>
      <c r="T73" s="122">
        <f t="shared" si="52"/>
        <v>45.840210251613982</v>
      </c>
      <c r="U73" s="122">
        <f t="shared" si="52"/>
        <v>44.006601841549418</v>
      </c>
      <c r="V73" s="122">
        <f t="shared" si="52"/>
        <v>42.246337767887439</v>
      </c>
      <c r="W73" s="122">
        <f t="shared" si="52"/>
        <v>40.556484257171938</v>
      </c>
      <c r="X73" s="122">
        <f t="shared" si="52"/>
        <v>38.934224886885062</v>
      </c>
      <c r="Y73" s="122">
        <f t="shared" si="52"/>
        <v>37.376855891409654</v>
      </c>
      <c r="Z73" s="122">
        <f t="shared" si="52"/>
        <v>35.881781655753265</v>
      </c>
    </row>
    <row r="74" spans="1:26" ht="18.5" x14ac:dyDescent="0.45">
      <c r="A74" s="107" t="s">
        <v>147</v>
      </c>
      <c r="B74" s="120">
        <v>0</v>
      </c>
      <c r="C74" s="118">
        <v>0</v>
      </c>
      <c r="D74" s="120"/>
      <c r="E74" s="118">
        <v>0</v>
      </c>
      <c r="F74" s="121">
        <v>0.16907</v>
      </c>
      <c r="G74" s="280">
        <f t="shared" si="49"/>
        <v>0</v>
      </c>
      <c r="H74" s="122">
        <v>53.313352637016976</v>
      </c>
      <c r="I74" s="214">
        <f t="shared" si="50"/>
        <v>0</v>
      </c>
      <c r="J74" s="286">
        <v>49.79</v>
      </c>
      <c r="K74" s="122">
        <f t="shared" si="51"/>
        <v>47.798400000000001</v>
      </c>
      <c r="L74" s="122">
        <f t="shared" si="51"/>
        <v>45.886463999999997</v>
      </c>
      <c r="M74" s="122">
        <f t="shared" si="51"/>
        <v>44.051005439999997</v>
      </c>
      <c r="N74" s="122">
        <f t="shared" si="51"/>
        <v>42.288965222399995</v>
      </c>
      <c r="O74" s="122">
        <f t="shared" si="51"/>
        <v>40.597406613503992</v>
      </c>
      <c r="P74" s="122">
        <f t="shared" si="51"/>
        <v>38.973510348963828</v>
      </c>
      <c r="Q74" s="122">
        <f t="shared" si="52"/>
        <v>37.414569935005275</v>
      </c>
      <c r="R74" s="122">
        <f t="shared" si="52"/>
        <v>35.91798713760506</v>
      </c>
      <c r="S74" s="122">
        <f t="shared" si="52"/>
        <v>34.481267652100854</v>
      </c>
      <c r="T74" s="122">
        <f t="shared" si="52"/>
        <v>33.102016946016818</v>
      </c>
      <c r="U74" s="122">
        <f t="shared" si="52"/>
        <v>31.777936268176145</v>
      </c>
      <c r="V74" s="122">
        <f t="shared" si="52"/>
        <v>30.506818817449098</v>
      </c>
      <c r="W74" s="122">
        <f t="shared" si="52"/>
        <v>29.286546064751132</v>
      </c>
      <c r="X74" s="122">
        <f t="shared" si="52"/>
        <v>28.115084222161087</v>
      </c>
      <c r="Y74" s="122">
        <f t="shared" si="52"/>
        <v>26.990480853274644</v>
      </c>
      <c r="Z74" s="122">
        <f t="shared" si="52"/>
        <v>25.910861619143656</v>
      </c>
    </row>
    <row r="75" spans="1:26" ht="18.5" x14ac:dyDescent="0.45">
      <c r="A75" s="127" t="s">
        <v>156</v>
      </c>
      <c r="B75" s="113">
        <v>0.2</v>
      </c>
      <c r="C75" s="114">
        <f>B4*B75</f>
        <v>133400</v>
      </c>
      <c r="D75" s="113">
        <v>0.2</v>
      </c>
      <c r="E75" s="114">
        <f>D4*D75</f>
        <v>160000</v>
      </c>
      <c r="F75" s="111"/>
      <c r="G75" s="282"/>
      <c r="H75" s="111"/>
      <c r="I75" s="216">
        <f>SUM(I77:I87)</f>
        <v>0</v>
      </c>
      <c r="J75" s="284"/>
      <c r="K75" s="111"/>
      <c r="L75" s="111"/>
      <c r="M75" s="111"/>
      <c r="N75" s="111"/>
      <c r="O75" s="111"/>
      <c r="P75" s="111"/>
      <c r="Q75" s="111"/>
      <c r="R75" s="111"/>
      <c r="S75" s="111"/>
      <c r="T75" s="111"/>
      <c r="U75" s="111"/>
      <c r="V75" s="111"/>
      <c r="W75" s="111"/>
      <c r="X75" s="111"/>
      <c r="Y75" s="111"/>
      <c r="Z75" s="111"/>
    </row>
    <row r="76" spans="1:26" ht="18.5" x14ac:dyDescent="0.45">
      <c r="A76" s="116" t="s">
        <v>157</v>
      </c>
      <c r="B76" s="117"/>
      <c r="C76" s="118">
        <f>C75*0.3</f>
        <v>40020</v>
      </c>
      <c r="D76" s="117"/>
      <c r="E76" s="118">
        <f>E75*0.3</f>
        <v>48000</v>
      </c>
      <c r="F76" s="118"/>
      <c r="G76" s="281">
        <v>0</v>
      </c>
      <c r="H76" s="123"/>
      <c r="I76" s="212"/>
      <c r="J76" s="287"/>
      <c r="K76" s="123"/>
      <c r="L76" s="123"/>
      <c r="M76" s="123"/>
      <c r="N76" s="123"/>
      <c r="O76" s="123"/>
      <c r="P76" s="123"/>
      <c r="Q76" s="123"/>
      <c r="R76" s="123"/>
      <c r="S76" s="123"/>
      <c r="T76" s="123"/>
      <c r="U76" s="123"/>
      <c r="V76" s="123"/>
      <c r="W76" s="123"/>
      <c r="X76" s="123"/>
      <c r="Y76" s="123"/>
      <c r="Z76" s="123"/>
    </row>
    <row r="77" spans="1:26" ht="18.5" x14ac:dyDescent="0.45">
      <c r="A77" s="107" t="s">
        <v>137</v>
      </c>
      <c r="B77" s="120">
        <v>8.2589858081657974E-2</v>
      </c>
      <c r="C77" s="118">
        <f>$C$76*B77</f>
        <v>3305.2461204279521</v>
      </c>
      <c r="D77" s="120">
        <v>8.2589858081657974E-2</v>
      </c>
      <c r="E77" s="118">
        <f>$E$76*D77</f>
        <v>3964.3131879195826</v>
      </c>
      <c r="F77" s="121">
        <v>0.15196999999999999</v>
      </c>
      <c r="G77" s="280">
        <f>F77*D77*$G$76*8760/1000</f>
        <v>0</v>
      </c>
      <c r="H77" s="122">
        <f>H15</f>
        <v>59.27799510161713</v>
      </c>
      <c r="I77" s="214">
        <f>H77*G77*15*0.96</f>
        <v>0</v>
      </c>
      <c r="J77" s="286">
        <f>J15</f>
        <v>55.89</v>
      </c>
      <c r="K77" s="122">
        <f>J77*$B$93</f>
        <v>53.654399999999995</v>
      </c>
      <c r="L77" s="122">
        <f t="shared" ref="K77:Z81" si="53">K77*$B$93</f>
        <v>51.508223999999991</v>
      </c>
      <c r="M77" s="122">
        <f t="shared" si="53"/>
        <v>49.447895039999992</v>
      </c>
      <c r="N77" s="122">
        <f t="shared" si="53"/>
        <v>47.469979238399993</v>
      </c>
      <c r="O77" s="122">
        <f t="shared" si="53"/>
        <v>45.571180068863995</v>
      </c>
      <c r="P77" s="122">
        <f t="shared" si="53"/>
        <v>43.748332866109436</v>
      </c>
      <c r="Q77" s="122">
        <f t="shared" si="53"/>
        <v>41.998399551465056</v>
      </c>
      <c r="R77" s="122">
        <f t="shared" si="53"/>
        <v>40.318463569406454</v>
      </c>
      <c r="S77" s="122">
        <f t="shared" si="53"/>
        <v>38.705725026630198</v>
      </c>
      <c r="T77" s="122">
        <f t="shared" si="53"/>
        <v>37.157496025564988</v>
      </c>
      <c r="U77" s="122">
        <f t="shared" si="53"/>
        <v>35.671196184542389</v>
      </c>
      <c r="V77" s="122">
        <f t="shared" si="53"/>
        <v>34.244348337160694</v>
      </c>
      <c r="W77" s="122">
        <f t="shared" si="53"/>
        <v>32.874574403674266</v>
      </c>
      <c r="X77" s="122">
        <f t="shared" si="53"/>
        <v>31.559591427527295</v>
      </c>
      <c r="Y77" s="122">
        <f t="shared" si="53"/>
        <v>30.297207770426201</v>
      </c>
      <c r="Z77" s="122">
        <f t="shared" si="53"/>
        <v>29.085319459609153</v>
      </c>
    </row>
    <row r="78" spans="1:26" ht="18.5" x14ac:dyDescent="0.45">
      <c r="A78" s="107" t="s">
        <v>138</v>
      </c>
      <c r="B78" s="120">
        <v>6.3796727298494463E-2</v>
      </c>
      <c r="C78" s="118">
        <f>$C$76*B78</f>
        <v>2553.1450264857485</v>
      </c>
      <c r="D78" s="120">
        <v>6.3796727298494463E-2</v>
      </c>
      <c r="E78" s="118">
        <f>$E$76*D78</f>
        <v>3062.2429103277341</v>
      </c>
      <c r="F78" s="121">
        <v>0.14819000000000002</v>
      </c>
      <c r="G78" s="280">
        <f t="shared" ref="G78:G81" si="54">F78*D78*$G$76*8760/1000</f>
        <v>0</v>
      </c>
      <c r="H78" s="122">
        <f>H16</f>
        <v>60.436049575549703</v>
      </c>
      <c r="I78" s="214">
        <f>H78*G78*15*0.96</f>
        <v>0</v>
      </c>
      <c r="J78" s="286">
        <f t="shared" ref="J78:J81" si="55">J16</f>
        <v>53.63</v>
      </c>
      <c r="K78" s="122">
        <f t="shared" si="53"/>
        <v>51.4848</v>
      </c>
      <c r="L78" s="122">
        <f t="shared" si="53"/>
        <v>49.425407999999997</v>
      </c>
      <c r="M78" s="122">
        <f t="shared" si="53"/>
        <v>47.448391679999993</v>
      </c>
      <c r="N78" s="122">
        <f t="shared" si="53"/>
        <v>45.550456012799991</v>
      </c>
      <c r="O78" s="122">
        <f t="shared" si="53"/>
        <v>43.72843777228799</v>
      </c>
      <c r="P78" s="122">
        <f t="shared" si="53"/>
        <v>41.979300261396467</v>
      </c>
      <c r="Q78" s="122">
        <f t="shared" si="53"/>
        <v>40.30012825094061</v>
      </c>
      <c r="R78" s="122">
        <f t="shared" si="53"/>
        <v>38.688123120902986</v>
      </c>
      <c r="S78" s="122">
        <f t="shared" si="53"/>
        <v>37.140598196066868</v>
      </c>
      <c r="T78" s="122">
        <f t="shared" si="53"/>
        <v>35.654974268224194</v>
      </c>
      <c r="U78" s="122">
        <f t="shared" si="53"/>
        <v>34.228775297495226</v>
      </c>
      <c r="V78" s="122">
        <f t="shared" si="53"/>
        <v>32.859624285595416</v>
      </c>
      <c r="W78" s="122">
        <f t="shared" si="53"/>
        <v>31.545239314171599</v>
      </c>
      <c r="X78" s="122">
        <f t="shared" si="53"/>
        <v>30.283429741604735</v>
      </c>
      <c r="Y78" s="122">
        <f t="shared" si="53"/>
        <v>29.072092551940543</v>
      </c>
      <c r="Z78" s="122">
        <f t="shared" si="53"/>
        <v>27.909208849862921</v>
      </c>
    </row>
    <row r="79" spans="1:26" ht="18.5" x14ac:dyDescent="0.45">
      <c r="A79" s="107" t="s">
        <v>139</v>
      </c>
      <c r="B79" s="120">
        <v>0.14809231752718796</v>
      </c>
      <c r="C79" s="118">
        <f>$C$76*B79</f>
        <v>5926.6545474380619</v>
      </c>
      <c r="D79" s="120">
        <v>0.14809231752718796</v>
      </c>
      <c r="E79" s="118">
        <f>$E$76*D79</f>
        <v>7108.431241305022</v>
      </c>
      <c r="F79" s="121">
        <v>0.15303</v>
      </c>
      <c r="G79" s="280">
        <f t="shared" si="54"/>
        <v>0</v>
      </c>
      <c r="H79" s="122">
        <f>H17</f>
        <v>53.394693513735859</v>
      </c>
      <c r="I79" s="214">
        <f>H79*G79*15*0.96</f>
        <v>0</v>
      </c>
      <c r="J79" s="286">
        <f t="shared" si="55"/>
        <v>46.58</v>
      </c>
      <c r="K79" s="122">
        <f t="shared" si="53"/>
        <v>44.716799999999999</v>
      </c>
      <c r="L79" s="122">
        <f t="shared" si="53"/>
        <v>42.928128000000001</v>
      </c>
      <c r="M79" s="122">
        <f t="shared" si="53"/>
        <v>41.211002880000002</v>
      </c>
      <c r="N79" s="122">
        <f t="shared" si="53"/>
        <v>39.562562764799999</v>
      </c>
      <c r="O79" s="122">
        <f t="shared" si="53"/>
        <v>37.980060254207999</v>
      </c>
      <c r="P79" s="122">
        <f t="shared" si="53"/>
        <v>36.46085784403968</v>
      </c>
      <c r="Q79" s="122">
        <f t="shared" si="53"/>
        <v>35.002423530278094</v>
      </c>
      <c r="R79" s="122">
        <f t="shared" si="53"/>
        <v>33.602326589066969</v>
      </c>
      <c r="S79" s="122">
        <f t="shared" si="53"/>
        <v>32.258233525504288</v>
      </c>
      <c r="T79" s="122">
        <f t="shared" si="53"/>
        <v>30.967904184484116</v>
      </c>
      <c r="U79" s="122">
        <f t="shared" si="53"/>
        <v>29.72918801710475</v>
      </c>
      <c r="V79" s="122">
        <f t="shared" si="53"/>
        <v>28.54002049642056</v>
      </c>
      <c r="W79" s="122">
        <f t="shared" si="53"/>
        <v>27.398419676563737</v>
      </c>
      <c r="X79" s="122">
        <f t="shared" si="53"/>
        <v>26.302482889501185</v>
      </c>
      <c r="Y79" s="122">
        <f t="shared" si="53"/>
        <v>25.250383573921138</v>
      </c>
      <c r="Z79" s="122">
        <f t="shared" si="53"/>
        <v>24.24036823096429</v>
      </c>
    </row>
    <row r="80" spans="1:26" ht="18.5" x14ac:dyDescent="0.45">
      <c r="A80" s="107" t="s">
        <v>140</v>
      </c>
      <c r="B80" s="120">
        <v>0.7055190579627767</v>
      </c>
      <c r="C80" s="118">
        <f>$C$76*B80</f>
        <v>28234.872699670323</v>
      </c>
      <c r="D80" s="120">
        <v>0.7055190579627767</v>
      </c>
      <c r="E80" s="118">
        <f>$E$76*D80</f>
        <v>33864.91478221328</v>
      </c>
      <c r="F80" s="121">
        <v>0.14410999999999999</v>
      </c>
      <c r="G80" s="280">
        <f t="shared" si="54"/>
        <v>0</v>
      </c>
      <c r="H80" s="122">
        <f>H18</f>
        <v>50.013495974809175</v>
      </c>
      <c r="I80" s="214">
        <f>H80*G80*15*0.96</f>
        <v>0</v>
      </c>
      <c r="J80" s="286">
        <f t="shared" si="55"/>
        <v>43.77</v>
      </c>
      <c r="K80" s="122">
        <f t="shared" si="53"/>
        <v>42.019200000000005</v>
      </c>
      <c r="L80" s="122">
        <f t="shared" si="53"/>
        <v>40.338432000000005</v>
      </c>
      <c r="M80" s="122">
        <f t="shared" si="53"/>
        <v>38.724894720000002</v>
      </c>
      <c r="N80" s="122">
        <f t="shared" si="53"/>
        <v>37.175898931200003</v>
      </c>
      <c r="O80" s="122">
        <f t="shared" si="53"/>
        <v>35.688862973951998</v>
      </c>
      <c r="P80" s="122">
        <f t="shared" si="53"/>
        <v>34.261308454993916</v>
      </c>
      <c r="Q80" s="122">
        <f t="shared" si="53"/>
        <v>32.890856116794161</v>
      </c>
      <c r="R80" s="122">
        <f t="shared" si="53"/>
        <v>31.575221872122395</v>
      </c>
      <c r="S80" s="122">
        <f t="shared" si="53"/>
        <v>30.312212997237499</v>
      </c>
      <c r="T80" s="122">
        <f t="shared" si="53"/>
        <v>29.099724477347998</v>
      </c>
      <c r="U80" s="122">
        <f t="shared" si="53"/>
        <v>27.935735498254076</v>
      </c>
      <c r="V80" s="122">
        <f t="shared" si="53"/>
        <v>26.818306078323911</v>
      </c>
      <c r="W80" s="122">
        <f t="shared" si="53"/>
        <v>25.745573835190953</v>
      </c>
      <c r="X80" s="122">
        <f t="shared" si="53"/>
        <v>24.715750881783315</v>
      </c>
      <c r="Y80" s="122">
        <f t="shared" si="53"/>
        <v>23.72712084651198</v>
      </c>
      <c r="Z80" s="122">
        <f t="shared" si="53"/>
        <v>22.778036012651501</v>
      </c>
    </row>
    <row r="81" spans="1:26" ht="18.5" x14ac:dyDescent="0.45">
      <c r="A81" s="107" t="s">
        <v>141</v>
      </c>
      <c r="B81" s="120">
        <v>0</v>
      </c>
      <c r="C81" s="118">
        <f>$C$76*B81</f>
        <v>0</v>
      </c>
      <c r="D81" s="120">
        <v>0</v>
      </c>
      <c r="E81" s="118">
        <f>$E$76*D81</f>
        <v>0</v>
      </c>
      <c r="F81" s="121">
        <v>0.14399999999999999</v>
      </c>
      <c r="G81" s="280">
        <f t="shared" si="54"/>
        <v>0</v>
      </c>
      <c r="H81" s="122">
        <f>H19</f>
        <v>40.157397457835735</v>
      </c>
      <c r="I81" s="214">
        <f>H81*G81*15*0.96</f>
        <v>0</v>
      </c>
      <c r="J81" s="286">
        <f t="shared" si="55"/>
        <v>33.03</v>
      </c>
      <c r="K81" s="122">
        <f t="shared" si="53"/>
        <v>31.7088</v>
      </c>
      <c r="L81" s="122">
        <f t="shared" si="53"/>
        <v>30.440448</v>
      </c>
      <c r="M81" s="122">
        <f t="shared" si="53"/>
        <v>29.222830079999998</v>
      </c>
      <c r="N81" s="122">
        <f t="shared" si="53"/>
        <v>28.053916876799995</v>
      </c>
      <c r="O81" s="122">
        <f t="shared" si="53"/>
        <v>26.931760201727993</v>
      </c>
      <c r="P81" s="122">
        <f t="shared" si="53"/>
        <v>25.854489793658871</v>
      </c>
      <c r="Q81" s="122">
        <f t="shared" si="53"/>
        <v>24.820310201912516</v>
      </c>
      <c r="R81" s="122">
        <f t="shared" si="53"/>
        <v>23.827497793836013</v>
      </c>
      <c r="S81" s="122">
        <f t="shared" si="53"/>
        <v>22.874397882082572</v>
      </c>
      <c r="T81" s="122">
        <f t="shared" si="53"/>
        <v>21.959421966799269</v>
      </c>
      <c r="U81" s="122">
        <f t="shared" si="53"/>
        <v>21.081045088127297</v>
      </c>
      <c r="V81" s="122">
        <f t="shared" si="53"/>
        <v>20.237803284602204</v>
      </c>
      <c r="W81" s="122">
        <f t="shared" si="53"/>
        <v>19.428291153218115</v>
      </c>
      <c r="X81" s="122">
        <f t="shared" si="53"/>
        <v>18.651159507089389</v>
      </c>
      <c r="Y81" s="122">
        <f t="shared" si="53"/>
        <v>17.905113126805812</v>
      </c>
      <c r="Z81" s="122">
        <f t="shared" si="53"/>
        <v>17.18890860173358</v>
      </c>
    </row>
    <row r="82" spans="1:26" ht="18.5" x14ac:dyDescent="0.45">
      <c r="A82" s="116" t="s">
        <v>158</v>
      </c>
      <c r="B82" s="117"/>
      <c r="C82" s="118">
        <f>C75*0.7</f>
        <v>93380</v>
      </c>
      <c r="D82" s="117"/>
      <c r="E82" s="118">
        <f>E75*0.7</f>
        <v>112000</v>
      </c>
      <c r="F82" s="118"/>
      <c r="G82" s="281">
        <v>0</v>
      </c>
      <c r="H82" s="123"/>
      <c r="I82" s="212"/>
      <c r="J82" s="287"/>
      <c r="K82" s="123"/>
      <c r="L82" s="123"/>
      <c r="M82" s="123"/>
      <c r="N82" s="123"/>
      <c r="O82" s="123"/>
      <c r="P82" s="123"/>
      <c r="Q82" s="123"/>
      <c r="R82" s="123"/>
      <c r="S82" s="123"/>
      <c r="T82" s="123"/>
      <c r="U82" s="123"/>
      <c r="V82" s="123"/>
      <c r="W82" s="123"/>
      <c r="X82" s="123"/>
      <c r="Y82" s="123"/>
      <c r="Z82" s="123"/>
    </row>
    <row r="83" spans="1:26" ht="18.5" x14ac:dyDescent="0.45">
      <c r="A83" s="107" t="s">
        <v>143</v>
      </c>
      <c r="B83" s="120">
        <v>3.7818107834294019E-2</v>
      </c>
      <c r="C83" s="118">
        <f>$C$82*B83</f>
        <v>3531.4549095663756</v>
      </c>
      <c r="D83" s="120">
        <v>3.7818107834294019E-2</v>
      </c>
      <c r="E83" s="118">
        <f>$E$82*D83</f>
        <v>4235.6280774409306</v>
      </c>
      <c r="F83" s="121">
        <v>0.14305999999999999</v>
      </c>
      <c r="G83" s="280">
        <f>F83*D83*$G$82*8760/1000</f>
        <v>0</v>
      </c>
      <c r="H83" s="122">
        <f>H21</f>
        <v>69.473498635179098</v>
      </c>
      <c r="I83" s="214">
        <f>H83*G83*15*0.96</f>
        <v>0</v>
      </c>
      <c r="J83" s="286">
        <v>70.23</v>
      </c>
      <c r="K83" s="122">
        <f>J83*$B$93</f>
        <v>67.4208</v>
      </c>
      <c r="L83" s="122">
        <f t="shared" ref="K83:Z87" si="56">K83*$B$93</f>
        <v>64.723967999999999</v>
      </c>
      <c r="M83" s="122">
        <f t="shared" si="56"/>
        <v>62.135009279999998</v>
      </c>
      <c r="N83" s="122">
        <f t="shared" si="56"/>
        <v>59.649608908799998</v>
      </c>
      <c r="O83" s="122">
        <f t="shared" si="56"/>
        <v>57.263624552447993</v>
      </c>
      <c r="P83" s="122">
        <f t="shared" si="56"/>
        <v>54.973079570350073</v>
      </c>
      <c r="Q83" s="122">
        <f t="shared" si="56"/>
        <v>52.774156387536067</v>
      </c>
      <c r="R83" s="122">
        <f t="shared" si="56"/>
        <v>50.663190132034622</v>
      </c>
      <c r="S83" s="122">
        <f t="shared" si="56"/>
        <v>48.636662526753234</v>
      </c>
      <c r="T83" s="122">
        <f t="shared" si="56"/>
        <v>46.691196025683105</v>
      </c>
      <c r="U83" s="122">
        <f t="shared" si="56"/>
        <v>44.823548184655778</v>
      </c>
      <c r="V83" s="122">
        <f t="shared" si="56"/>
        <v>43.030606257269547</v>
      </c>
      <c r="W83" s="122">
        <f t="shared" si="56"/>
        <v>41.309382006978765</v>
      </c>
      <c r="X83" s="122">
        <f t="shared" si="56"/>
        <v>39.657006726699613</v>
      </c>
      <c r="Y83" s="122">
        <f t="shared" si="56"/>
        <v>38.070726457631629</v>
      </c>
      <c r="Z83" s="122">
        <f t="shared" si="56"/>
        <v>36.547897399326359</v>
      </c>
    </row>
    <row r="84" spans="1:26" ht="18.5" x14ac:dyDescent="0.45">
      <c r="A84" s="107" t="s">
        <v>138</v>
      </c>
      <c r="B84" s="120">
        <v>2.9448996157951057E-2</v>
      </c>
      <c r="C84" s="118">
        <f>$C$82*B84</f>
        <v>2749.9472612294699</v>
      </c>
      <c r="D84" s="120">
        <v>2.9448996157951057E-2</v>
      </c>
      <c r="E84" s="118">
        <f>$E$82*D84</f>
        <v>3298.2875696905185</v>
      </c>
      <c r="F84" s="121">
        <v>0.14176</v>
      </c>
      <c r="G84" s="280">
        <f t="shared" ref="G84:G86" si="57">F84*D84*$G$82*8760/1000</f>
        <v>0</v>
      </c>
      <c r="H84" s="122">
        <f>H22</f>
        <v>65.962856644973385</v>
      </c>
      <c r="I84" s="214">
        <f>H84*G84*15*0.96</f>
        <v>0</v>
      </c>
      <c r="J84" s="286">
        <v>63.34</v>
      </c>
      <c r="K84" s="122">
        <f t="shared" si="56"/>
        <v>60.806400000000004</v>
      </c>
      <c r="L84" s="122">
        <f t="shared" si="56"/>
        <v>58.374144000000001</v>
      </c>
      <c r="M84" s="122">
        <f t="shared" si="56"/>
        <v>56.039178239999998</v>
      </c>
      <c r="N84" s="122">
        <f t="shared" si="56"/>
        <v>53.797611110399998</v>
      </c>
      <c r="O84" s="122">
        <f t="shared" si="56"/>
        <v>51.645706665983994</v>
      </c>
      <c r="P84" s="122">
        <f t="shared" si="56"/>
        <v>49.579878399344629</v>
      </c>
      <c r="Q84" s="122">
        <f t="shared" si="56"/>
        <v>47.596683263370842</v>
      </c>
      <c r="R84" s="122">
        <f t="shared" si="56"/>
        <v>45.692815932836005</v>
      </c>
      <c r="S84" s="122">
        <f t="shared" si="56"/>
        <v>43.865103295522566</v>
      </c>
      <c r="T84" s="122">
        <f t="shared" si="56"/>
        <v>42.110499163701661</v>
      </c>
      <c r="U84" s="122">
        <f t="shared" si="56"/>
        <v>40.426079197153591</v>
      </c>
      <c r="V84" s="122">
        <f t="shared" si="56"/>
        <v>38.809036029267446</v>
      </c>
      <c r="W84" s="122">
        <f t="shared" si="56"/>
        <v>37.25667458809675</v>
      </c>
      <c r="X84" s="122">
        <f t="shared" si="56"/>
        <v>35.766407604572876</v>
      </c>
      <c r="Y84" s="122">
        <f t="shared" si="56"/>
        <v>34.335751300389958</v>
      </c>
      <c r="Z84" s="122">
        <f t="shared" si="56"/>
        <v>32.962321248374359</v>
      </c>
    </row>
    <row r="85" spans="1:26" ht="18.5" x14ac:dyDescent="0.45">
      <c r="A85" s="107" t="s">
        <v>139</v>
      </c>
      <c r="B85" s="120">
        <v>0.1091491177452943</v>
      </c>
      <c r="C85" s="118">
        <f>$C$82*B85</f>
        <v>10192.344615055583</v>
      </c>
      <c r="D85" s="120">
        <v>0.1091491177452943</v>
      </c>
      <c r="E85" s="118">
        <f>$E$82*D85</f>
        <v>12224.701187472961</v>
      </c>
      <c r="F85" s="121">
        <v>0.14119000000000001</v>
      </c>
      <c r="G85" s="280">
        <f t="shared" si="57"/>
        <v>0</v>
      </c>
      <c r="H85" s="122">
        <f>H23</f>
        <v>58.357776139219837</v>
      </c>
      <c r="I85" s="214">
        <f>H85*G85*15*0.96</f>
        <v>0</v>
      </c>
      <c r="J85" s="286">
        <v>54.6</v>
      </c>
      <c r="K85" s="122">
        <f t="shared" si="56"/>
        <v>52.415999999999997</v>
      </c>
      <c r="L85" s="122">
        <f t="shared" si="56"/>
        <v>50.319359999999996</v>
      </c>
      <c r="M85" s="122">
        <f t="shared" si="56"/>
        <v>48.306585599999991</v>
      </c>
      <c r="N85" s="122">
        <f t="shared" si="56"/>
        <v>46.374322175999993</v>
      </c>
      <c r="O85" s="122">
        <f t="shared" si="56"/>
        <v>44.519349288959994</v>
      </c>
      <c r="P85" s="122">
        <f t="shared" si="56"/>
        <v>42.73857531740159</v>
      </c>
      <c r="Q85" s="122">
        <f t="shared" si="56"/>
        <v>41.029032304705524</v>
      </c>
      <c r="R85" s="122">
        <f t="shared" si="56"/>
        <v>39.387871012517301</v>
      </c>
      <c r="S85" s="122">
        <f t="shared" si="56"/>
        <v>37.812356172016607</v>
      </c>
      <c r="T85" s="122">
        <f t="shared" si="56"/>
        <v>36.299861925135943</v>
      </c>
      <c r="U85" s="122">
        <f t="shared" si="56"/>
        <v>34.847867448130501</v>
      </c>
      <c r="V85" s="122">
        <f t="shared" si="56"/>
        <v>33.453952750205282</v>
      </c>
      <c r="W85" s="122">
        <f t="shared" si="56"/>
        <v>32.115794640197066</v>
      </c>
      <c r="X85" s="122">
        <f t="shared" si="56"/>
        <v>30.831162854589181</v>
      </c>
      <c r="Y85" s="122">
        <f t="shared" si="56"/>
        <v>29.597916340405611</v>
      </c>
      <c r="Z85" s="122">
        <f t="shared" si="56"/>
        <v>28.413999686789385</v>
      </c>
    </row>
    <row r="86" spans="1:26" ht="18.5" x14ac:dyDescent="0.45">
      <c r="A86" s="107" t="s">
        <v>140</v>
      </c>
      <c r="B86" s="120">
        <v>0.82358343106844789</v>
      </c>
      <c r="C86" s="118">
        <f>$C$82*B86</f>
        <v>76906.220793171669</v>
      </c>
      <c r="D86" s="120">
        <v>0.82358343106844789</v>
      </c>
      <c r="E86" s="118">
        <f>$E$82*D86</f>
        <v>92241.344279666169</v>
      </c>
      <c r="F86" s="121">
        <v>0.1497</v>
      </c>
      <c r="G86" s="280">
        <f t="shared" si="57"/>
        <v>0</v>
      </c>
      <c r="H86" s="122">
        <f>H24</f>
        <v>52.055130885781359</v>
      </c>
      <c r="I86" s="214">
        <f>H86*G86*15*0.96</f>
        <v>0</v>
      </c>
      <c r="J86" s="286">
        <v>49.49</v>
      </c>
      <c r="K86" s="122">
        <f t="shared" si="56"/>
        <v>47.510399999999997</v>
      </c>
      <c r="L86" s="122">
        <f t="shared" si="56"/>
        <v>45.609983999999997</v>
      </c>
      <c r="M86" s="122">
        <f t="shared" si="56"/>
        <v>43.785584639999996</v>
      </c>
      <c r="N86" s="122">
        <f t="shared" si="56"/>
        <v>42.034161254399997</v>
      </c>
      <c r="O86" s="122">
        <f t="shared" si="56"/>
        <v>40.352794804223997</v>
      </c>
      <c r="P86" s="122">
        <f t="shared" si="56"/>
        <v>38.738683012055034</v>
      </c>
      <c r="Q86" s="122">
        <f t="shared" si="56"/>
        <v>37.18913569157283</v>
      </c>
      <c r="R86" s="122">
        <f t="shared" si="56"/>
        <v>35.701570263909915</v>
      </c>
      <c r="S86" s="122">
        <f t="shared" si="56"/>
        <v>34.273507453353517</v>
      </c>
      <c r="T86" s="122">
        <f t="shared" si="56"/>
        <v>32.902567155219373</v>
      </c>
      <c r="U86" s="122">
        <f t="shared" si="56"/>
        <v>31.586464469010597</v>
      </c>
      <c r="V86" s="122">
        <f t="shared" si="56"/>
        <v>30.323005890250172</v>
      </c>
      <c r="W86" s="122">
        <f t="shared" si="56"/>
        <v>29.110085654640166</v>
      </c>
      <c r="X86" s="122">
        <f t="shared" si="56"/>
        <v>27.945682228454558</v>
      </c>
      <c r="Y86" s="122">
        <f t="shared" si="56"/>
        <v>26.827854939316374</v>
      </c>
      <c r="Z86" s="122">
        <f t="shared" si="56"/>
        <v>25.754740741743717</v>
      </c>
    </row>
    <row r="87" spans="1:26" ht="18.5" x14ac:dyDescent="0.45">
      <c r="A87" s="107" t="s">
        <v>141</v>
      </c>
      <c r="B87" s="120">
        <v>0</v>
      </c>
      <c r="C87" s="118">
        <f>$C$82*B87</f>
        <v>0</v>
      </c>
      <c r="D87" s="120">
        <v>0</v>
      </c>
      <c r="E87" s="118">
        <f>$E$82*D87</f>
        <v>0</v>
      </c>
      <c r="F87" s="121">
        <v>0.15</v>
      </c>
      <c r="G87" s="280">
        <f>F87*E87*8760/1000</f>
        <v>0</v>
      </c>
      <c r="H87" s="122">
        <f>H25</f>
        <v>39.558961261811675</v>
      </c>
      <c r="I87" s="214">
        <f>H87*G87*15*0.96</f>
        <v>0</v>
      </c>
      <c r="J87" s="286">
        <v>37.049999999999997</v>
      </c>
      <c r="K87" s="122">
        <f t="shared" si="56"/>
        <v>35.567999999999998</v>
      </c>
      <c r="L87" s="122">
        <f t="shared" si="56"/>
        <v>34.14528</v>
      </c>
      <c r="M87" s="122">
        <f t="shared" si="56"/>
        <v>32.779468799999997</v>
      </c>
      <c r="N87" s="122">
        <f t="shared" si="56"/>
        <v>31.468290047999997</v>
      </c>
      <c r="O87" s="122">
        <f t="shared" si="56"/>
        <v>30.209558446079996</v>
      </c>
      <c r="P87" s="122">
        <f t="shared" si="56"/>
        <v>29.001176108236795</v>
      </c>
      <c r="Q87" s="122">
        <f t="shared" si="56"/>
        <v>27.841129063907321</v>
      </c>
      <c r="R87" s="122">
        <f t="shared" si="56"/>
        <v>26.727483901351025</v>
      </c>
      <c r="S87" s="122">
        <f t="shared" si="56"/>
        <v>25.658384545296983</v>
      </c>
      <c r="T87" s="122">
        <f t="shared" si="56"/>
        <v>24.632049163485103</v>
      </c>
      <c r="U87" s="122">
        <f t="shared" si="56"/>
        <v>23.646767196945699</v>
      </c>
      <c r="V87" s="122">
        <f t="shared" si="56"/>
        <v>22.700896509067871</v>
      </c>
      <c r="W87" s="122">
        <f t="shared" si="56"/>
        <v>21.792860648705155</v>
      </c>
      <c r="X87" s="122">
        <f t="shared" si="56"/>
        <v>20.921146222756949</v>
      </c>
      <c r="Y87" s="122">
        <f t="shared" si="56"/>
        <v>20.08430037384667</v>
      </c>
      <c r="Z87" s="122">
        <f t="shared" si="56"/>
        <v>19.280928358892801</v>
      </c>
    </row>
    <row r="88" spans="1:26" ht="18.5" x14ac:dyDescent="0.45">
      <c r="A88" s="106"/>
      <c r="B88" s="106"/>
      <c r="C88" s="106"/>
      <c r="D88" s="106"/>
      <c r="E88" s="106"/>
      <c r="F88" s="106"/>
      <c r="G88" s="275"/>
      <c r="H88" s="106"/>
      <c r="I88" s="210" t="s">
        <v>159</v>
      </c>
      <c r="J88" s="288"/>
      <c r="K88" s="106"/>
      <c r="L88" s="106"/>
      <c r="M88" s="106"/>
      <c r="N88" s="106"/>
      <c r="O88" s="106"/>
      <c r="P88" s="106"/>
    </row>
    <row r="89" spans="1:26" ht="18.5" x14ac:dyDescent="0.45">
      <c r="A89" s="106"/>
      <c r="B89" s="106"/>
      <c r="C89" s="106"/>
      <c r="D89" s="106"/>
      <c r="E89" s="106"/>
      <c r="F89" s="106"/>
      <c r="G89" s="275"/>
      <c r="H89" s="128"/>
      <c r="I89" s="210"/>
      <c r="J89" s="133"/>
      <c r="K89" s="128"/>
      <c r="L89" s="128"/>
      <c r="M89" s="128"/>
      <c r="N89" s="128"/>
      <c r="O89" s="128"/>
      <c r="P89" s="128"/>
      <c r="Q89" s="128"/>
      <c r="R89" s="128"/>
      <c r="S89" s="128"/>
      <c r="T89" s="128"/>
      <c r="U89" s="128"/>
      <c r="V89" s="128"/>
      <c r="W89" s="128"/>
      <c r="X89" s="128"/>
      <c r="Y89" s="128"/>
      <c r="Z89" s="128"/>
    </row>
    <row r="90" spans="1:26" ht="18.5" x14ac:dyDescent="0.45">
      <c r="A90" s="106"/>
      <c r="B90" s="106"/>
      <c r="C90" s="106"/>
      <c r="D90" s="106"/>
      <c r="E90" s="106"/>
      <c r="F90" s="106"/>
      <c r="G90" s="275"/>
      <c r="H90" s="128"/>
      <c r="I90" s="210"/>
      <c r="J90" s="133"/>
      <c r="K90" s="128"/>
      <c r="L90" s="128"/>
      <c r="M90" s="128"/>
      <c r="N90" s="128"/>
      <c r="O90" s="128"/>
      <c r="P90" s="128"/>
      <c r="Q90" s="128"/>
      <c r="R90" s="128"/>
      <c r="S90" s="128"/>
      <c r="T90" s="128"/>
      <c r="U90" s="128"/>
      <c r="V90" s="128"/>
      <c r="W90" s="128"/>
      <c r="X90" s="128"/>
      <c r="Y90" s="128"/>
      <c r="Z90" s="128"/>
    </row>
    <row r="91" spans="1:26" ht="18.5" x14ac:dyDescent="0.45">
      <c r="A91" s="106"/>
      <c r="B91" s="106"/>
      <c r="C91" s="106"/>
      <c r="D91" s="106"/>
      <c r="E91" s="106"/>
      <c r="F91" s="106"/>
      <c r="G91" s="275"/>
      <c r="H91" s="106"/>
      <c r="I91" s="210"/>
      <c r="J91" s="129"/>
      <c r="K91" s="106"/>
      <c r="L91" s="106"/>
      <c r="M91" s="106"/>
      <c r="N91" s="106"/>
      <c r="O91" s="106"/>
      <c r="P91" s="106"/>
    </row>
    <row r="92" spans="1:26" ht="37" x14ac:dyDescent="0.45">
      <c r="A92" s="2" t="s">
        <v>160</v>
      </c>
      <c r="B92" s="2" t="s">
        <v>161</v>
      </c>
      <c r="C92" s="106"/>
      <c r="D92" s="126" t="s">
        <v>83</v>
      </c>
      <c r="E92" s="106"/>
      <c r="F92" s="106"/>
      <c r="G92" s="275"/>
      <c r="H92" s="106"/>
      <c r="I92" s="210"/>
      <c r="J92" s="129"/>
      <c r="K92" s="106"/>
      <c r="L92" s="106"/>
      <c r="M92" s="106"/>
      <c r="N92" s="106"/>
      <c r="O92" s="106"/>
      <c r="P92" s="106"/>
    </row>
    <row r="93" spans="1:26" ht="18.5" x14ac:dyDescent="0.45">
      <c r="A93" s="107">
        <v>2023</v>
      </c>
      <c r="B93" s="107">
        <v>0.96</v>
      </c>
      <c r="C93" s="106"/>
      <c r="D93" s="107">
        <v>0.995</v>
      </c>
      <c r="E93" s="106"/>
      <c r="F93" s="106"/>
      <c r="G93" s="275"/>
      <c r="H93" s="106"/>
      <c r="I93" s="210"/>
      <c r="J93" s="129"/>
      <c r="K93" s="106"/>
      <c r="L93" s="106"/>
      <c r="M93" s="106"/>
      <c r="N93" s="106"/>
      <c r="O93" s="106"/>
      <c r="P93" s="106"/>
    </row>
    <row r="96" spans="1:26" x14ac:dyDescent="0.35">
      <c r="I96" s="217"/>
      <c r="J96"/>
    </row>
    <row r="97" spans="9:10" x14ac:dyDescent="0.35">
      <c r="I97" s="217"/>
      <c r="J97"/>
    </row>
    <row r="98" spans="9:10" x14ac:dyDescent="0.35">
      <c r="I98" s="217"/>
      <c r="J98"/>
    </row>
    <row r="99" spans="9:10" x14ac:dyDescent="0.35">
      <c r="I99" s="217"/>
      <c r="J99"/>
    </row>
    <row r="100" spans="9:10" x14ac:dyDescent="0.35">
      <c r="I100" s="217"/>
      <c r="J100"/>
    </row>
    <row r="101" spans="9:10" x14ac:dyDescent="0.35">
      <c r="I101" s="217"/>
      <c r="J101"/>
    </row>
    <row r="102" spans="9:10" x14ac:dyDescent="0.35">
      <c r="I102" s="217"/>
      <c r="J102"/>
    </row>
    <row r="103" spans="9:10" x14ac:dyDescent="0.35">
      <c r="I103" s="217"/>
      <c r="J103"/>
    </row>
  </sheetData>
  <printOptions horizontalCentered="1" verticalCentered="1"/>
  <pageMargins left="0.25" right="0.25" top="0.75" bottom="0.75" header="0.3" footer="0.3"/>
  <pageSetup scale="49" fitToHeight="2" orientation="landscape" r:id="rId1"/>
  <headerFooter>
    <oddHeader>&amp;A</oddHeader>
  </headerFooter>
  <rowBreaks count="1" manualBreakCount="1">
    <brk id="57" max="16383" man="1"/>
  </rowBreaks>
  <customProperties>
    <customPr name="GUID" r:id="rId2"/>
  </customProperties>
  <ignoredErrors>
    <ignoredError sqref="I67 I77:I81 I83:I87"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2F2CA-7C17-4904-A133-2C85BDF3CD36}">
  <sheetPr>
    <tabColor theme="7" tint="0.59999389629810485"/>
    <pageSetUpPr fitToPage="1"/>
  </sheetPr>
  <dimension ref="B3:X123"/>
  <sheetViews>
    <sheetView zoomScaleNormal="100" workbookViewId="0">
      <selection activeCell="L3" sqref="L3"/>
    </sheetView>
  </sheetViews>
  <sheetFormatPr defaultColWidth="9.1796875" defaultRowHeight="14.5" x14ac:dyDescent="0.35"/>
  <cols>
    <col min="1" max="1" width="15.453125" customWidth="1"/>
    <col min="2" max="2" width="45.1796875" bestFit="1" customWidth="1"/>
    <col min="3" max="3" width="11.453125" bestFit="1" customWidth="1"/>
    <col min="4" max="4" width="9.453125" bestFit="1" customWidth="1"/>
    <col min="5" max="5" width="17.453125" bestFit="1" customWidth="1"/>
    <col min="6" max="11" width="16.453125" bestFit="1" customWidth="1"/>
    <col min="12" max="13" width="15.54296875" bestFit="1" customWidth="1"/>
    <col min="14" max="21" width="16.453125" bestFit="1" customWidth="1"/>
    <col min="22" max="23" width="15.54296875" bestFit="1" customWidth="1"/>
    <col min="24" max="24" width="16.453125" bestFit="1" customWidth="1"/>
  </cols>
  <sheetData>
    <row r="3" spans="2:24" x14ac:dyDescent="0.35">
      <c r="B3" s="148" t="s">
        <v>162</v>
      </c>
      <c r="C3" s="31"/>
    </row>
    <row r="4" spans="2:24" ht="15.5" x14ac:dyDescent="0.35">
      <c r="B4" s="221"/>
      <c r="C4" s="221"/>
      <c r="D4" s="221"/>
      <c r="E4" s="221"/>
      <c r="F4" s="220" t="s">
        <v>23</v>
      </c>
      <c r="G4" s="220" t="s">
        <v>24</v>
      </c>
      <c r="H4" s="220" t="s">
        <v>25</v>
      </c>
      <c r="I4" s="220" t="s">
        <v>26</v>
      </c>
      <c r="J4" s="220" t="s">
        <v>27</v>
      </c>
      <c r="K4" s="220" t="s">
        <v>28</v>
      </c>
      <c r="L4" s="220" t="s">
        <v>29</v>
      </c>
      <c r="M4" s="220" t="s">
        <v>30</v>
      </c>
      <c r="N4" s="220" t="s">
        <v>31</v>
      </c>
      <c r="O4" s="220" t="s">
        <v>32</v>
      </c>
      <c r="P4" s="220" t="s">
        <v>33</v>
      </c>
      <c r="Q4" s="220" t="s">
        <v>34</v>
      </c>
      <c r="R4" s="220" t="s">
        <v>35</v>
      </c>
      <c r="S4" s="220" t="s">
        <v>36</v>
      </c>
      <c r="T4" s="220" t="s">
        <v>37</v>
      </c>
      <c r="U4" s="220" t="s">
        <v>38</v>
      </c>
      <c r="V4" s="220" t="s">
        <v>39</v>
      </c>
      <c r="W4" s="220" t="s">
        <v>40</v>
      </c>
      <c r="X4" s="220" t="s">
        <v>163</v>
      </c>
    </row>
    <row r="5" spans="2:24" ht="15.5" x14ac:dyDescent="0.35">
      <c r="B5" s="179"/>
      <c r="C5" s="220" t="s">
        <v>164</v>
      </c>
      <c r="D5" s="220" t="s">
        <v>165</v>
      </c>
      <c r="E5" s="220" t="s">
        <v>166</v>
      </c>
      <c r="F5" s="220">
        <v>2025</v>
      </c>
      <c r="G5" s="220">
        <f t="shared" ref="G5:X5" si="0">F5+1</f>
        <v>2026</v>
      </c>
      <c r="H5" s="220">
        <f t="shared" si="0"/>
        <v>2027</v>
      </c>
      <c r="I5" s="220">
        <f t="shared" si="0"/>
        <v>2028</v>
      </c>
      <c r="J5" s="220">
        <f t="shared" si="0"/>
        <v>2029</v>
      </c>
      <c r="K5" s="220">
        <f t="shared" si="0"/>
        <v>2030</v>
      </c>
      <c r="L5" s="220">
        <f t="shared" si="0"/>
        <v>2031</v>
      </c>
      <c r="M5" s="220">
        <f t="shared" si="0"/>
        <v>2032</v>
      </c>
      <c r="N5" s="220">
        <f t="shared" si="0"/>
        <v>2033</v>
      </c>
      <c r="O5" s="220">
        <f t="shared" si="0"/>
        <v>2034</v>
      </c>
      <c r="P5" s="220">
        <f t="shared" si="0"/>
        <v>2035</v>
      </c>
      <c r="Q5" s="220">
        <f t="shared" si="0"/>
        <v>2036</v>
      </c>
      <c r="R5" s="220">
        <f t="shared" si="0"/>
        <v>2037</v>
      </c>
      <c r="S5" s="220">
        <f t="shared" si="0"/>
        <v>2038</v>
      </c>
      <c r="T5" s="220">
        <f t="shared" si="0"/>
        <v>2039</v>
      </c>
      <c r="U5" s="220">
        <f t="shared" si="0"/>
        <v>2040</v>
      </c>
      <c r="V5" s="220">
        <f t="shared" si="0"/>
        <v>2041</v>
      </c>
      <c r="W5" s="220">
        <f t="shared" si="0"/>
        <v>2042</v>
      </c>
      <c r="X5" s="220">
        <f t="shared" si="0"/>
        <v>2043</v>
      </c>
    </row>
    <row r="6" spans="2:24" x14ac:dyDescent="0.35">
      <c r="B6" s="162" t="s">
        <v>167</v>
      </c>
      <c r="C6" s="147"/>
      <c r="D6" s="100"/>
      <c r="E6" s="147">
        <f>SUM(E9:E62)</f>
        <v>14372308.445732476</v>
      </c>
      <c r="F6" s="153"/>
      <c r="G6" s="153"/>
      <c r="H6" s="153"/>
      <c r="I6" s="153"/>
      <c r="J6" s="153"/>
      <c r="K6" s="153"/>
      <c r="L6" s="153"/>
      <c r="M6" s="153"/>
      <c r="N6" s="153"/>
      <c r="O6" s="153"/>
      <c r="P6" s="153"/>
      <c r="Q6" s="153"/>
      <c r="R6" s="153"/>
      <c r="S6" s="153"/>
      <c r="T6" s="153"/>
      <c r="U6" s="153"/>
      <c r="V6" s="153"/>
      <c r="W6" s="153"/>
      <c r="X6" s="153"/>
    </row>
    <row r="7" spans="2:24" x14ac:dyDescent="0.35">
      <c r="B7" s="161" t="s">
        <v>128</v>
      </c>
      <c r="C7" s="160">
        <f>C9+C16+C29+C32+C47+C50</f>
        <v>667000</v>
      </c>
      <c r="D7" s="100"/>
      <c r="E7" s="147">
        <f>SUM(F7:X7)</f>
        <v>14372308.445732472</v>
      </c>
      <c r="F7" s="153">
        <f>F11+F12+F14+F15+F18+F19+F20+F21+F24+F25+F26+F27+F30+F31+F34+F35+F36+F37+F38+F41+F42+F43+F44+F45+F40+F48+F49+F52+F53+F54+F55+F58+F59+F60+F61</f>
        <v>602273.92248011334</v>
      </c>
      <c r="G7" s="153">
        <f>G11+G12+G14+G15+G18+G19+G20+G21+G24+G25+G26+G27+G30+G31+G34+G35+G36+G37+G38+G41+G42+G43+G44+G45+G40+G48+G49+G52+G53+G54+G55+G58+G59+G60+G61</f>
        <v>905499.92303171277</v>
      </c>
      <c r="H7" s="153">
        <f t="shared" ref="H7:X7" si="1">H11+H12+H14+H15+H18+H19+H20+H21+H24+H25+H26+H27+H30+H31+H34+H35+H36+H37+H38+H41+H42+H43+H44+H45+H40+H48+H49+H52+H53+H54+H55+H58+H59+H60+H61</f>
        <v>900972.42341655423</v>
      </c>
      <c r="I7" s="153">
        <f t="shared" si="1"/>
        <v>896467.56129947142</v>
      </c>
      <c r="J7" s="153">
        <f t="shared" si="1"/>
        <v>891985.22349297418</v>
      </c>
      <c r="K7" s="153">
        <f t="shared" si="1"/>
        <v>887525.29737550905</v>
      </c>
      <c r="L7" s="153">
        <f t="shared" si="1"/>
        <v>883087.67088863149</v>
      </c>
      <c r="M7" s="153">
        <f t="shared" si="1"/>
        <v>878672.23253418843</v>
      </c>
      <c r="N7" s="153">
        <f t="shared" si="1"/>
        <v>874278.87137151742</v>
      </c>
      <c r="O7" s="153">
        <f t="shared" si="1"/>
        <v>869907.47701465979</v>
      </c>
      <c r="P7" s="153">
        <f t="shared" si="1"/>
        <v>865557.93962958688</v>
      </c>
      <c r="Q7" s="153">
        <f t="shared" si="1"/>
        <v>861230.14993143862</v>
      </c>
      <c r="R7" s="153">
        <f t="shared" si="1"/>
        <v>856923.99918178155</v>
      </c>
      <c r="S7" s="153">
        <f t="shared" si="1"/>
        <v>852639.37918587239</v>
      </c>
      <c r="T7" s="153">
        <f t="shared" si="1"/>
        <v>848376.1822899431</v>
      </c>
      <c r="U7" s="153">
        <f t="shared" si="1"/>
        <v>404604.07633604377</v>
      </c>
      <c r="V7" s="153">
        <f t="shared" si="1"/>
        <v>365928.63251479471</v>
      </c>
      <c r="W7" s="153">
        <f t="shared" si="1"/>
        <v>364098.98935222079</v>
      </c>
      <c r="X7" s="153">
        <f t="shared" si="1"/>
        <v>362278.49440545967</v>
      </c>
    </row>
    <row r="8" spans="2:24" x14ac:dyDescent="0.35">
      <c r="B8" s="161" t="s">
        <v>128</v>
      </c>
      <c r="C8" s="160">
        <f>C10+C13+C17+C23+C30+C31+C33+C40+C48+C49+C51+C57</f>
        <v>667000</v>
      </c>
      <c r="D8" s="100"/>
      <c r="E8" s="147">
        <f>SUM(E9:E61)</f>
        <v>14372308.445732476</v>
      </c>
      <c r="F8" s="153">
        <f>F9+F16+F29+F32+F47+F50</f>
        <v>602273.92248011334</v>
      </c>
      <c r="G8" s="153"/>
      <c r="H8" s="153"/>
      <c r="I8" s="153"/>
      <c r="J8" s="153"/>
      <c r="K8" s="153"/>
      <c r="L8" s="153"/>
      <c r="M8" s="153"/>
      <c r="N8" s="153"/>
      <c r="O8" s="153"/>
      <c r="P8" s="153"/>
      <c r="Q8" s="153"/>
      <c r="R8" s="153"/>
      <c r="S8" s="153"/>
      <c r="T8" s="153"/>
      <c r="U8" s="159"/>
      <c r="V8" s="159"/>
      <c r="W8" s="159"/>
      <c r="X8" s="159"/>
    </row>
    <row r="9" spans="2:24" x14ac:dyDescent="0.35">
      <c r="B9" s="14" t="s">
        <v>129</v>
      </c>
      <c r="C9" s="79">
        <f>'ABP Future Assumptions'!C6</f>
        <v>120060</v>
      </c>
      <c r="D9" s="79"/>
      <c r="E9" s="155"/>
      <c r="F9" s="79">
        <f>SUM(F10:F15)</f>
        <v>145906.86007555202</v>
      </c>
      <c r="G9" s="79">
        <f t="shared" ref="G9:X9" si="2">SUM(G10:G15)</f>
        <v>145177.32577517425</v>
      </c>
      <c r="H9" s="79">
        <f>SUM(H10:H15)</f>
        <v>144451.43914629839</v>
      </c>
      <c r="I9" s="79">
        <f t="shared" si="2"/>
        <v>143729.18195056688</v>
      </c>
      <c r="J9" s="79">
        <f t="shared" si="2"/>
        <v>143010.53604081407</v>
      </c>
      <c r="K9" s="79">
        <f t="shared" si="2"/>
        <v>142295.48336060997</v>
      </c>
      <c r="L9" s="79">
        <f t="shared" si="2"/>
        <v>141584.00594380693</v>
      </c>
      <c r="M9" s="79">
        <f t="shared" si="2"/>
        <v>140876.08591408789</v>
      </c>
      <c r="N9" s="79">
        <f t="shared" si="2"/>
        <v>140171.70548451744</v>
      </c>
      <c r="O9" s="79">
        <f t="shared" si="2"/>
        <v>139470.84695709485</v>
      </c>
      <c r="P9" s="79">
        <f t="shared" si="2"/>
        <v>138773.49272230937</v>
      </c>
      <c r="Q9" s="79">
        <f t="shared" si="2"/>
        <v>138079.62525869784</v>
      </c>
      <c r="R9" s="79">
        <f t="shared" si="2"/>
        <v>137389.22713240434</v>
      </c>
      <c r="S9" s="79">
        <f t="shared" si="2"/>
        <v>136702.28099674231</v>
      </c>
      <c r="T9" s="79">
        <f t="shared" si="2"/>
        <v>136018.76959175861</v>
      </c>
      <c r="U9" s="79">
        <f t="shared" si="2"/>
        <v>0</v>
      </c>
      <c r="V9" s="79">
        <f t="shared" si="2"/>
        <v>0</v>
      </c>
      <c r="W9" s="79">
        <f t="shared" si="2"/>
        <v>0</v>
      </c>
      <c r="X9" s="79">
        <f t="shared" si="2"/>
        <v>0</v>
      </c>
    </row>
    <row r="10" spans="2:24" x14ac:dyDescent="0.35">
      <c r="B10" s="179" t="s">
        <v>130</v>
      </c>
      <c r="C10" s="174">
        <f>'ABP Future Assumptions'!C7</f>
        <v>36018</v>
      </c>
      <c r="D10" s="174"/>
      <c r="E10" s="154"/>
      <c r="F10" s="153"/>
      <c r="G10" s="153"/>
      <c r="H10" s="153"/>
      <c r="I10" s="153"/>
      <c r="J10" s="153"/>
      <c r="K10" s="153"/>
      <c r="L10" s="153"/>
      <c r="M10" s="153"/>
      <c r="N10" s="153"/>
      <c r="O10" s="153"/>
      <c r="P10" s="153"/>
      <c r="Q10" s="153"/>
      <c r="R10" s="153"/>
      <c r="S10" s="153"/>
      <c r="T10" s="153"/>
      <c r="U10" s="179"/>
      <c r="V10" s="179"/>
      <c r="W10" s="179"/>
      <c r="X10" s="179"/>
    </row>
    <row r="11" spans="2:24" x14ac:dyDescent="0.35">
      <c r="B11" s="221" t="s">
        <v>131</v>
      </c>
      <c r="C11" s="79">
        <f>'ABP Future Assumptions'!C8</f>
        <v>13686.84</v>
      </c>
      <c r="D11" s="151">
        <f>'ABP Future Assumptions'!F8</f>
        <v>0.14884</v>
      </c>
      <c r="E11" s="155">
        <f>SUM(F11:X11)</f>
        <v>258512.54410614632</v>
      </c>
      <c r="F11" s="13">
        <f>(C11*D11*8760)/1000</f>
        <v>17845.427566656002</v>
      </c>
      <c r="G11" s="13">
        <f>F11*'ABP Future Assumptions'!$D$93</f>
        <v>17756.200428822722</v>
      </c>
      <c r="H11" s="13">
        <f>G11*'ABP Future Assumptions'!$D$93</f>
        <v>17667.419426678607</v>
      </c>
      <c r="I11" s="13">
        <f>H11*'ABP Future Assumptions'!$D$93</f>
        <v>17579.082329545214</v>
      </c>
      <c r="J11" s="13">
        <f>I11*'ABP Future Assumptions'!$D$93</f>
        <v>17491.186917897488</v>
      </c>
      <c r="K11" s="13">
        <f>J11*'ABP Future Assumptions'!$D$93</f>
        <v>17403.730983308</v>
      </c>
      <c r="L11" s="13">
        <f>K11*'ABP Future Assumptions'!$D$93</f>
        <v>17316.712328391459</v>
      </c>
      <c r="M11" s="13">
        <f>L11*'ABP Future Assumptions'!$D$93</f>
        <v>17230.128766749502</v>
      </c>
      <c r="N11" s="13">
        <f>M11*'ABP Future Assumptions'!$D$93</f>
        <v>17143.978122915752</v>
      </c>
      <c r="O11" s="13">
        <f>N11*'ABP Future Assumptions'!$D$93</f>
        <v>17058.258232301174</v>
      </c>
      <c r="P11" s="13">
        <f>O11*'ABP Future Assumptions'!$D$93</f>
        <v>16972.966941139668</v>
      </c>
      <c r="Q11" s="13">
        <f>P11*'ABP Future Assumptions'!$D$93</f>
        <v>16888.102106433969</v>
      </c>
      <c r="R11" s="13">
        <f>Q11*'ABP Future Assumptions'!$D$93</f>
        <v>16803.661595901798</v>
      </c>
      <c r="S11" s="13">
        <f>R11*'ABP Future Assumptions'!$D$93</f>
        <v>16719.643287922288</v>
      </c>
      <c r="T11" s="13">
        <f>S11*'ABP Future Assumptions'!$D$93</f>
        <v>16636.045071482677</v>
      </c>
      <c r="U11" s="149"/>
      <c r="V11" s="149"/>
      <c r="W11" s="149"/>
      <c r="X11" s="149"/>
    </row>
    <row r="12" spans="2:24" x14ac:dyDescent="0.35">
      <c r="B12" s="221" t="s">
        <v>132</v>
      </c>
      <c r="C12" s="79">
        <f>'ABP Future Assumptions'!C9</f>
        <v>22331.16</v>
      </c>
      <c r="D12" s="151">
        <f>'ABP Future Assumptions'!F9</f>
        <v>0.15130000000000002</v>
      </c>
      <c r="E12" s="155">
        <f>SUM(F12:X12)</f>
        <v>428754.78635520238</v>
      </c>
      <c r="F12" s="13">
        <f>(C12*D12*8760)/1000</f>
        <v>29597.451490080002</v>
      </c>
      <c r="G12" s="13">
        <f>F12*'ABP Future Assumptions'!$D$93</f>
        <v>29449.464232629602</v>
      </c>
      <c r="H12" s="13">
        <f>G12*'ABP Future Assumptions'!$D$93</f>
        <v>29302.216911466454</v>
      </c>
      <c r="I12" s="13">
        <f>H12*'ABP Future Assumptions'!$D$93</f>
        <v>29155.705826909121</v>
      </c>
      <c r="J12" s="13">
        <f>I12*'ABP Future Assumptions'!$D$93</f>
        <v>29009.927297774575</v>
      </c>
      <c r="K12" s="13">
        <f>J12*'ABP Future Assumptions'!$D$93</f>
        <v>28864.877661285704</v>
      </c>
      <c r="L12" s="13">
        <f>K12*'ABP Future Assumptions'!$D$93</f>
        <v>28720.553272979276</v>
      </c>
      <c r="M12" s="13">
        <f>L12*'ABP Future Assumptions'!$D$93</f>
        <v>28576.950506614379</v>
      </c>
      <c r="N12" s="13">
        <f>M12*'ABP Future Assumptions'!$D$93</f>
        <v>28434.065754081308</v>
      </c>
      <c r="O12" s="13">
        <f>N12*'ABP Future Assumptions'!$D$93</f>
        <v>28291.8954253109</v>
      </c>
      <c r="P12" s="13">
        <f>O12*'ABP Future Assumptions'!$D$93</f>
        <v>28150.435948184346</v>
      </c>
      <c r="Q12" s="13">
        <f>P12*'ABP Future Assumptions'!$D$93</f>
        <v>28009.683768443425</v>
      </c>
      <c r="R12" s="13">
        <f>Q12*'ABP Future Assumptions'!$D$93</f>
        <v>27869.635349601209</v>
      </c>
      <c r="S12" s="13">
        <f>R12*'ABP Future Assumptions'!$D$93</f>
        <v>27730.287172853201</v>
      </c>
      <c r="T12" s="13">
        <f>S12*'ABP Future Assumptions'!$D$93</f>
        <v>27591.635736988934</v>
      </c>
      <c r="U12" s="149"/>
      <c r="V12" s="149"/>
      <c r="W12" s="149"/>
      <c r="X12" s="149"/>
    </row>
    <row r="13" spans="2:24" x14ac:dyDescent="0.35">
      <c r="B13" s="179" t="s">
        <v>133</v>
      </c>
      <c r="C13" s="174">
        <f>'ABP Future Assumptions'!C10</f>
        <v>84042</v>
      </c>
      <c r="D13" s="151"/>
      <c r="E13" s="154"/>
      <c r="F13" s="153"/>
      <c r="G13" s="13"/>
      <c r="H13" s="153"/>
      <c r="I13" s="153"/>
      <c r="J13" s="153"/>
      <c r="K13" s="153"/>
      <c r="L13" s="153"/>
      <c r="M13" s="153"/>
      <c r="N13" s="153"/>
      <c r="O13" s="153"/>
      <c r="P13" s="153"/>
      <c r="Q13" s="153"/>
      <c r="R13" s="153"/>
      <c r="S13" s="153"/>
      <c r="T13" s="153"/>
      <c r="U13" s="179"/>
      <c r="V13" s="179"/>
      <c r="W13" s="179"/>
      <c r="X13" s="179"/>
    </row>
    <row r="14" spans="2:24" x14ac:dyDescent="0.35">
      <c r="B14" s="221" t="s">
        <v>134</v>
      </c>
      <c r="C14" s="79">
        <f>'ABP Future Assumptions'!C11</f>
        <v>31935.96</v>
      </c>
      <c r="D14" s="151">
        <f>'ABP Future Assumptions'!F11</f>
        <v>0.13464999999999999</v>
      </c>
      <c r="E14" s="155">
        <f>SUM(F14:X14)</f>
        <v>545688.87943932682</v>
      </c>
      <c r="F14" s="13">
        <f>(C14*D14*8760)/1000</f>
        <v>37669.550642640002</v>
      </c>
      <c r="G14" s="13">
        <f>F14*'ABP Future Assumptions'!$D$93</f>
        <v>37481.202889426801</v>
      </c>
      <c r="H14" s="13">
        <f>G14*'ABP Future Assumptions'!$D$93</f>
        <v>37293.796874979664</v>
      </c>
      <c r="I14" s="13">
        <f>H14*'ABP Future Assumptions'!$D$93</f>
        <v>37107.327890604764</v>
      </c>
      <c r="J14" s="13">
        <f>I14*'ABP Future Assumptions'!$D$93</f>
        <v>36921.791251151742</v>
      </c>
      <c r="K14" s="13">
        <f>J14*'ABP Future Assumptions'!$D$93</f>
        <v>36737.182294895982</v>
      </c>
      <c r="L14" s="13">
        <f>K14*'ABP Future Assumptions'!$D$93</f>
        <v>36553.496383421501</v>
      </c>
      <c r="M14" s="13">
        <f>L14*'ABP Future Assumptions'!$D$93</f>
        <v>36370.728901504393</v>
      </c>
      <c r="N14" s="13">
        <f>M14*'ABP Future Assumptions'!$D$93</f>
        <v>36188.875256996871</v>
      </c>
      <c r="O14" s="13">
        <f>N14*'ABP Future Assumptions'!$D$93</f>
        <v>36007.930880711887</v>
      </c>
      <c r="P14" s="13">
        <f>O14*'ABP Future Assumptions'!$D$93</f>
        <v>35827.891226308326</v>
      </c>
      <c r="Q14" s="13">
        <f>P14*'ABP Future Assumptions'!$D$93</f>
        <v>35648.751770176787</v>
      </c>
      <c r="R14" s="13">
        <f>Q14*'ABP Future Assumptions'!$D$93</f>
        <v>35470.508011325903</v>
      </c>
      <c r="S14" s="13">
        <f>R14*'ABP Future Assumptions'!$D$93</f>
        <v>35293.155471269274</v>
      </c>
      <c r="T14" s="13">
        <f>S14*'ABP Future Assumptions'!$D$93</f>
        <v>35116.689693912929</v>
      </c>
      <c r="U14" s="149"/>
      <c r="V14" s="149"/>
      <c r="W14" s="149"/>
      <c r="X14" s="149"/>
    </row>
    <row r="15" spans="2:24" x14ac:dyDescent="0.35">
      <c r="B15" s="221" t="s">
        <v>132</v>
      </c>
      <c r="C15" s="79">
        <f>'ABP Future Assumptions'!C12</f>
        <v>52106.04</v>
      </c>
      <c r="D15" s="151">
        <f>'ABP Future Assumptions'!F12</f>
        <v>0.13319</v>
      </c>
      <c r="E15" s="155">
        <f>SUM(F15:X15)</f>
        <v>880680.6564497595</v>
      </c>
      <c r="F15" s="13">
        <f>(C15*D15*8760)/1000</f>
        <v>60794.430376176009</v>
      </c>
      <c r="G15" s="13">
        <f>F15*'ABP Future Assumptions'!$D$93</f>
        <v>60490.458224295129</v>
      </c>
      <c r="H15" s="13">
        <f>G15*'ABP Future Assumptions'!$D$93</f>
        <v>60188.005933173656</v>
      </c>
      <c r="I15" s="13">
        <f>H15*'ABP Future Assumptions'!$D$93</f>
        <v>59887.065903507784</v>
      </c>
      <c r="J15" s="13">
        <f>I15*'ABP Future Assumptions'!$D$93</f>
        <v>59587.630573990245</v>
      </c>
      <c r="K15" s="13">
        <f>J15*'ABP Future Assumptions'!$D$93</f>
        <v>59289.692421120293</v>
      </c>
      <c r="L15" s="13">
        <f>K15*'ABP Future Assumptions'!$D$93</f>
        <v>58993.24395901469</v>
      </c>
      <c r="M15" s="13">
        <f>L15*'ABP Future Assumptions'!$D$93</f>
        <v>58698.277739219615</v>
      </c>
      <c r="N15" s="13">
        <f>M15*'ABP Future Assumptions'!$D$93</f>
        <v>58404.786350523515</v>
      </c>
      <c r="O15" s="13">
        <f>N15*'ABP Future Assumptions'!$D$93</f>
        <v>58112.762418770893</v>
      </c>
      <c r="P15" s="13">
        <f>O15*'ABP Future Assumptions'!$D$93</f>
        <v>57822.198606677041</v>
      </c>
      <c r="Q15" s="13">
        <f>P15*'ABP Future Assumptions'!$D$93</f>
        <v>57533.087613643656</v>
      </c>
      <c r="R15" s="13">
        <f>Q15*'ABP Future Assumptions'!$D$93</f>
        <v>57245.422175575441</v>
      </c>
      <c r="S15" s="13">
        <f>R15*'ABP Future Assumptions'!$D$93</f>
        <v>56959.19506469756</v>
      </c>
      <c r="T15" s="13">
        <f>S15*'ABP Future Assumptions'!$D$93</f>
        <v>56674.39908937407</v>
      </c>
      <c r="U15" s="149"/>
      <c r="V15" s="149"/>
      <c r="W15" s="149"/>
      <c r="X15" s="149"/>
    </row>
    <row r="16" spans="2:24" x14ac:dyDescent="0.35">
      <c r="B16" s="14" t="s">
        <v>135</v>
      </c>
      <c r="C16" s="79">
        <f>'ABP Future Assumptions'!C13</f>
        <v>120060</v>
      </c>
      <c r="D16" s="157"/>
      <c r="E16" s="154"/>
      <c r="F16" s="156">
        <f>SUM(F18:F27)</f>
        <v>155342.33973121329</v>
      </c>
      <c r="G16" s="156">
        <f t="shared" ref="G16:X16" si="3">SUM(G18:G27)</f>
        <v>154565.6280325572</v>
      </c>
      <c r="H16" s="156">
        <f t="shared" si="3"/>
        <v>153792.79989239443</v>
      </c>
      <c r="I16" s="156">
        <f t="shared" si="3"/>
        <v>153023.83589293246</v>
      </c>
      <c r="J16" s="156">
        <f t="shared" si="3"/>
        <v>152258.71671346779</v>
      </c>
      <c r="K16" s="156">
        <f t="shared" si="3"/>
        <v>151497.42312990045</v>
      </c>
      <c r="L16" s="156">
        <f t="shared" si="3"/>
        <v>150739.93601425094</v>
      </c>
      <c r="M16" s="156">
        <f t="shared" si="3"/>
        <v>149986.2363341797</v>
      </c>
      <c r="N16" s="156">
        <f t="shared" si="3"/>
        <v>149236.30515250878</v>
      </c>
      <c r="O16" s="156">
        <f t="shared" si="3"/>
        <v>148490.12362674624</v>
      </c>
      <c r="P16" s="156">
        <f t="shared" si="3"/>
        <v>147747.6730086125</v>
      </c>
      <c r="Q16" s="156">
        <f t="shared" si="3"/>
        <v>147008.93464356946</v>
      </c>
      <c r="R16" s="156">
        <f t="shared" si="3"/>
        <v>146273.88997035159</v>
      </c>
      <c r="S16" s="156">
        <f t="shared" si="3"/>
        <v>145542.52052049985</v>
      </c>
      <c r="T16" s="156">
        <f t="shared" si="3"/>
        <v>144814.80791789736</v>
      </c>
      <c r="U16" s="156">
        <f t="shared" si="3"/>
        <v>0</v>
      </c>
      <c r="V16" s="156">
        <f t="shared" si="3"/>
        <v>0</v>
      </c>
      <c r="W16" s="156">
        <f t="shared" si="3"/>
        <v>0</v>
      </c>
      <c r="X16" s="156">
        <f t="shared" si="3"/>
        <v>0</v>
      </c>
    </row>
    <row r="17" spans="2:24" x14ac:dyDescent="0.35">
      <c r="B17" s="179" t="s">
        <v>136</v>
      </c>
      <c r="C17" s="174">
        <f>'ABP Future Assumptions'!C14</f>
        <v>36018</v>
      </c>
      <c r="D17" s="104"/>
      <c r="E17" s="154"/>
      <c r="F17" s="153"/>
      <c r="G17" s="153"/>
      <c r="H17" s="153"/>
      <c r="I17" s="153"/>
      <c r="J17" s="153"/>
      <c r="K17" s="153"/>
      <c r="L17" s="153"/>
      <c r="M17" s="153"/>
      <c r="N17" s="153"/>
      <c r="O17" s="153"/>
      <c r="P17" s="153"/>
      <c r="Q17" s="153"/>
      <c r="R17" s="153"/>
      <c r="S17" s="153"/>
      <c r="T17" s="153"/>
      <c r="U17" s="179"/>
      <c r="V17" s="179"/>
      <c r="W17" s="179"/>
      <c r="X17" s="179"/>
    </row>
    <row r="18" spans="2:24" x14ac:dyDescent="0.35">
      <c r="B18" s="221" t="s">
        <v>137</v>
      </c>
      <c r="C18" s="79">
        <f>'ABP Future Assumptions'!C15</f>
        <v>2974.721508385157</v>
      </c>
      <c r="D18" s="151">
        <f>'ABP Future Assumptions'!F15</f>
        <v>0.15196999999999999</v>
      </c>
      <c r="E18" s="155">
        <f>SUM(F18:X18)</f>
        <v>57367.106726022539</v>
      </c>
      <c r="F18" s="13">
        <f>(C18*D18*8760)/1000</f>
        <v>3960.1194260326006</v>
      </c>
      <c r="G18" s="13">
        <f>F18*'ABP Future Assumptions'!$D$93</f>
        <v>3940.3188289024374</v>
      </c>
      <c r="H18" s="13">
        <f>G18*'ABP Future Assumptions'!$D$93</f>
        <v>3920.6172347579254</v>
      </c>
      <c r="I18" s="13">
        <f>H18*'ABP Future Assumptions'!$D$93</f>
        <v>3901.0141485841359</v>
      </c>
      <c r="J18" s="13">
        <f>I18*'ABP Future Assumptions'!$D$93</f>
        <v>3881.509077841215</v>
      </c>
      <c r="K18" s="13">
        <f>J18*'ABP Future Assumptions'!$D$93</f>
        <v>3862.101532452009</v>
      </c>
      <c r="L18" s="13">
        <f>K18*'ABP Future Assumptions'!$D$93</f>
        <v>3842.7910247897489</v>
      </c>
      <c r="M18" s="13">
        <f>L18*'ABP Future Assumptions'!$D$93</f>
        <v>3823.5770696658001</v>
      </c>
      <c r="N18" s="13">
        <f>M18*'ABP Future Assumptions'!$D$93</f>
        <v>3804.4591843174712</v>
      </c>
      <c r="O18" s="13">
        <f>N18*'ABP Future Assumptions'!$D$93</f>
        <v>3785.4368883958837</v>
      </c>
      <c r="P18" s="13">
        <f>O18*'ABP Future Assumptions'!$D$93</f>
        <v>3766.5097039539041</v>
      </c>
      <c r="Q18" s="13">
        <f>P18*'ABP Future Assumptions'!$D$93</f>
        <v>3747.6771554341344</v>
      </c>
      <c r="R18" s="13">
        <f>Q18*'ABP Future Assumptions'!$D$93</f>
        <v>3728.9387696569638</v>
      </c>
      <c r="S18" s="13">
        <f>R18*'ABP Future Assumptions'!$D$93</f>
        <v>3710.2940758086788</v>
      </c>
      <c r="T18" s="13">
        <f>S18*'ABP Future Assumptions'!$D$93</f>
        <v>3691.7426054296352</v>
      </c>
      <c r="U18" s="149"/>
      <c r="V18" s="149"/>
      <c r="W18" s="149"/>
      <c r="X18" s="149"/>
    </row>
    <row r="19" spans="2:24" x14ac:dyDescent="0.35">
      <c r="B19" s="221" t="s">
        <v>138</v>
      </c>
      <c r="C19" s="79">
        <f>'ABP Future Assumptions'!C16</f>
        <v>2297.8305238371736</v>
      </c>
      <c r="D19" s="151">
        <f>'ABP Future Assumptions'!F16</f>
        <v>0.14819000000000002</v>
      </c>
      <c r="E19" s="155">
        <f>SUM(F19:X19)</f>
        <v>43211.133850742874</v>
      </c>
      <c r="F19" s="13">
        <f>(C19*D19*8760)/1000</f>
        <v>2982.9158266682939</v>
      </c>
      <c r="G19" s="13">
        <f>F19*'ABP Future Assumptions'!$D$93</f>
        <v>2968.0012475349522</v>
      </c>
      <c r="H19" s="13">
        <f>G19*'ABP Future Assumptions'!$D$93</f>
        <v>2953.1612412972772</v>
      </c>
      <c r="I19" s="13">
        <f>H19*'ABP Future Assumptions'!$D$93</f>
        <v>2938.3954350907907</v>
      </c>
      <c r="J19" s="13">
        <f>I19*'ABP Future Assumptions'!$D$93</f>
        <v>2923.7034579153369</v>
      </c>
      <c r="K19" s="13">
        <f>J19*'ABP Future Assumptions'!$D$93</f>
        <v>2909.0849406257603</v>
      </c>
      <c r="L19" s="13">
        <f>K19*'ABP Future Assumptions'!$D$93</f>
        <v>2894.5395159226314</v>
      </c>
      <c r="M19" s="13">
        <f>L19*'ABP Future Assumptions'!$D$93</f>
        <v>2880.066818343018</v>
      </c>
      <c r="N19" s="13">
        <f>M19*'ABP Future Assumptions'!$D$93</f>
        <v>2865.6664842513028</v>
      </c>
      <c r="O19" s="13">
        <f>N19*'ABP Future Assumptions'!$D$93</f>
        <v>2851.3381518300462</v>
      </c>
      <c r="P19" s="13">
        <f>O19*'ABP Future Assumptions'!$D$93</f>
        <v>2837.0814610708958</v>
      </c>
      <c r="Q19" s="13">
        <f>P19*'ABP Future Assumptions'!$D$93</f>
        <v>2822.8960537655412</v>
      </c>
      <c r="R19" s="13">
        <f>Q19*'ABP Future Assumptions'!$D$93</f>
        <v>2808.7815734967135</v>
      </c>
      <c r="S19" s="13">
        <f>R19*'ABP Future Assumptions'!$D$93</f>
        <v>2794.7376656292299</v>
      </c>
      <c r="T19" s="13">
        <f>S19*'ABP Future Assumptions'!$D$93</f>
        <v>2780.7639773010837</v>
      </c>
      <c r="U19" s="149"/>
      <c r="V19" s="149"/>
      <c r="W19" s="149"/>
      <c r="X19" s="149"/>
    </row>
    <row r="20" spans="2:24" x14ac:dyDescent="0.35">
      <c r="B20" s="221" t="s">
        <v>139</v>
      </c>
      <c r="C20" s="79">
        <f>'ABP Future Assumptions'!C17</f>
        <v>5333.9890926942562</v>
      </c>
      <c r="D20" s="151">
        <f>'ABP Future Assumptions'!F17</f>
        <v>0.15303</v>
      </c>
      <c r="E20" s="155">
        <f>SUM(F20:X20)</f>
        <v>103582.75827684751</v>
      </c>
      <c r="F20" s="13">
        <f>(C20*D20*8760)/1000</f>
        <v>7150.4406734898175</v>
      </c>
      <c r="G20" s="13">
        <f>F20*'ABP Future Assumptions'!$D$93</f>
        <v>7114.688470122368</v>
      </c>
      <c r="H20" s="13">
        <f>G20*'ABP Future Assumptions'!$D$93</f>
        <v>7079.1150277717561</v>
      </c>
      <c r="I20" s="13">
        <f>H20*'ABP Future Assumptions'!$D$93</f>
        <v>7043.7194526328976</v>
      </c>
      <c r="J20" s="13">
        <f>I20*'ABP Future Assumptions'!$D$93</f>
        <v>7008.5008553697335</v>
      </c>
      <c r="K20" s="13">
        <f>J20*'ABP Future Assumptions'!$D$93</f>
        <v>6973.4583510928851</v>
      </c>
      <c r="L20" s="13">
        <f>K20*'ABP Future Assumptions'!$D$93</f>
        <v>6938.591059337421</v>
      </c>
      <c r="M20" s="13">
        <f>L20*'ABP Future Assumptions'!$D$93</f>
        <v>6903.8981040407343</v>
      </c>
      <c r="N20" s="13">
        <f>M20*'ABP Future Assumptions'!$D$93</f>
        <v>6869.378613520531</v>
      </c>
      <c r="O20" s="13">
        <f>N20*'ABP Future Assumptions'!$D$93</f>
        <v>6835.0317204529283</v>
      </c>
      <c r="P20" s="13">
        <f>O20*'ABP Future Assumptions'!$D$93</f>
        <v>6800.8565618506636</v>
      </c>
      <c r="Q20" s="13">
        <f>P20*'ABP Future Assumptions'!$D$93</f>
        <v>6766.8522790414099</v>
      </c>
      <c r="R20" s="13">
        <f>Q20*'ABP Future Assumptions'!$D$93</f>
        <v>6733.0180176462027</v>
      </c>
      <c r="S20" s="13">
        <f>R20*'ABP Future Assumptions'!$D$93</f>
        <v>6699.3529275579713</v>
      </c>
      <c r="T20" s="13">
        <f>S20*'ABP Future Assumptions'!$D$93</f>
        <v>6665.8561629201813</v>
      </c>
      <c r="U20" s="149"/>
      <c r="V20" s="149"/>
      <c r="W20" s="149"/>
      <c r="X20" s="149"/>
    </row>
    <row r="21" spans="2:24" x14ac:dyDescent="0.35">
      <c r="B21" s="221" t="s">
        <v>146</v>
      </c>
      <c r="C21" s="79">
        <f>'ABP Future Assumptions'!C18</f>
        <v>25411.385429703292</v>
      </c>
      <c r="D21" s="151">
        <f>'ABP Future Assumptions'!F18</f>
        <v>0.14410999999999999</v>
      </c>
      <c r="E21" s="155">
        <f>SUM(F21:X21)</f>
        <v>464709.1584885965</v>
      </c>
      <c r="F21" s="13">
        <f>(C21*D21*8760)/1000</f>
        <v>32079.424447444984</v>
      </c>
      <c r="G21" s="13">
        <f>F21*'ABP Future Assumptions'!$D$93</f>
        <v>31919.02732520776</v>
      </c>
      <c r="H21" s="13">
        <f>G21*'ABP Future Assumptions'!$D$93</f>
        <v>31759.432188581723</v>
      </c>
      <c r="I21" s="13">
        <f>H21*'ABP Future Assumptions'!$D$93</f>
        <v>31600.635027638815</v>
      </c>
      <c r="J21" s="13">
        <f>I21*'ABP Future Assumptions'!$D$93</f>
        <v>31442.631852500621</v>
      </c>
      <c r="K21" s="13">
        <f>J21*'ABP Future Assumptions'!$D$93</f>
        <v>31285.418693238116</v>
      </c>
      <c r="L21" s="13">
        <f>K21*'ABP Future Assumptions'!$D$93</f>
        <v>31128.991599771925</v>
      </c>
      <c r="M21" s="13">
        <f>L21*'ABP Future Assumptions'!$D$93</f>
        <v>30973.346641773067</v>
      </c>
      <c r="N21" s="13">
        <f>M21*'ABP Future Assumptions'!$D$93</f>
        <v>30818.479908564201</v>
      </c>
      <c r="O21" s="13">
        <f>N21*'ABP Future Assumptions'!$D$93</f>
        <v>30664.387509021381</v>
      </c>
      <c r="P21" s="13">
        <f>O21*'ABP Future Assumptions'!$D$93</f>
        <v>30511.065571476272</v>
      </c>
      <c r="Q21" s="13">
        <f>P21*'ABP Future Assumptions'!$D$93</f>
        <v>30358.51024361889</v>
      </c>
      <c r="R21" s="13">
        <f>Q21*'ABP Future Assumptions'!$D$93</f>
        <v>30206.717692400794</v>
      </c>
      <c r="S21" s="13">
        <f>R21*'ABP Future Assumptions'!$D$93</f>
        <v>30055.684103938791</v>
      </c>
      <c r="T21" s="13">
        <f>S21*'ABP Future Assumptions'!$D$93</f>
        <v>29905.405683419096</v>
      </c>
      <c r="U21" s="149"/>
      <c r="V21" s="149"/>
      <c r="W21" s="149"/>
      <c r="X21" s="149"/>
    </row>
    <row r="22" spans="2:24" x14ac:dyDescent="0.35">
      <c r="B22" s="221" t="s">
        <v>141</v>
      </c>
      <c r="C22" s="79">
        <f>'ABP Future Assumptions'!C19</f>
        <v>0</v>
      </c>
      <c r="D22" s="151">
        <f>'ABP Future Assumptions'!F19</f>
        <v>0</v>
      </c>
      <c r="E22" s="155"/>
      <c r="F22" s="13"/>
      <c r="G22" s="13"/>
      <c r="H22" s="13"/>
      <c r="I22" s="13"/>
      <c r="J22" s="13"/>
      <c r="K22" s="13"/>
      <c r="L22" s="13"/>
      <c r="M22" s="13"/>
      <c r="N22" s="13"/>
      <c r="O22" s="13"/>
      <c r="P22" s="13"/>
      <c r="Q22" s="13"/>
      <c r="R22" s="13"/>
      <c r="S22" s="13"/>
      <c r="T22" s="13"/>
      <c r="U22" s="149"/>
      <c r="V22" s="149"/>
      <c r="W22" s="149"/>
      <c r="X22" s="149"/>
    </row>
    <row r="23" spans="2:24" x14ac:dyDescent="0.35">
      <c r="B23" s="179" t="s">
        <v>142</v>
      </c>
      <c r="C23" s="174">
        <f>'ABP Future Assumptions'!C20</f>
        <v>84042</v>
      </c>
      <c r="D23" s="104"/>
      <c r="E23" s="154"/>
      <c r="F23" s="153"/>
      <c r="G23" s="13"/>
      <c r="H23" s="153"/>
      <c r="I23" s="153"/>
      <c r="J23" s="153"/>
      <c r="K23" s="153"/>
      <c r="L23" s="153"/>
      <c r="M23" s="153"/>
      <c r="N23" s="153"/>
      <c r="O23" s="153"/>
      <c r="P23" s="153"/>
      <c r="Q23" s="153"/>
      <c r="R23" s="153"/>
      <c r="S23" s="153"/>
      <c r="T23" s="153"/>
      <c r="U23" s="179"/>
      <c r="V23" s="179"/>
      <c r="W23" s="179"/>
      <c r="X23" s="179"/>
    </row>
    <row r="24" spans="2:24" x14ac:dyDescent="0.35">
      <c r="B24" s="221" t="s">
        <v>143</v>
      </c>
      <c r="C24" s="79">
        <f>'ABP Future Assumptions'!C21</f>
        <v>3178.3094186097378</v>
      </c>
      <c r="D24" s="151">
        <f>'ABP Future Assumptions'!F21</f>
        <v>0.14305999999999999</v>
      </c>
      <c r="E24" s="155">
        <f>SUM(F24:X24)</f>
        <v>57699.648250603808</v>
      </c>
      <c r="F24" s="13">
        <f>(C24*D24*8760)/1000</f>
        <v>3983.0751619344674</v>
      </c>
      <c r="G24" s="13">
        <f>F24*'ABP Future Assumptions'!$D$93</f>
        <v>3963.1597861247951</v>
      </c>
      <c r="H24" s="13">
        <f>G24*'ABP Future Assumptions'!$D$93</f>
        <v>3943.3439871941709</v>
      </c>
      <c r="I24" s="13">
        <f>H24*'ABP Future Assumptions'!$D$93</f>
        <v>3923.6272672581999</v>
      </c>
      <c r="J24" s="13">
        <f>I24*'ABP Future Assumptions'!$D$93</f>
        <v>3904.0091309219088</v>
      </c>
      <c r="K24" s="13">
        <f>J24*'ABP Future Assumptions'!$D$93</f>
        <v>3884.4890852672993</v>
      </c>
      <c r="L24" s="13">
        <f>K24*'ABP Future Assumptions'!$D$93</f>
        <v>3865.0666398409626</v>
      </c>
      <c r="M24" s="13">
        <f>L24*'ABP Future Assumptions'!$D$93</f>
        <v>3845.7413066417575</v>
      </c>
      <c r="N24" s="13">
        <f>M24*'ABP Future Assumptions'!$D$93</f>
        <v>3826.5126001085487</v>
      </c>
      <c r="O24" s="13">
        <f>N24*'ABP Future Assumptions'!$D$93</f>
        <v>3807.380037108006</v>
      </c>
      <c r="P24" s="13">
        <f>O24*'ABP Future Assumptions'!$D$93</f>
        <v>3788.3431369224659</v>
      </c>
      <c r="Q24" s="13">
        <f>P24*'ABP Future Assumptions'!$D$93</f>
        <v>3769.4014212378534</v>
      </c>
      <c r="R24" s="13">
        <f>Q24*'ABP Future Assumptions'!$D$93</f>
        <v>3750.5544141316641</v>
      </c>
      <c r="S24" s="13">
        <f>R24*'ABP Future Assumptions'!$D$93</f>
        <v>3731.8016420610056</v>
      </c>
      <c r="T24" s="13">
        <f>S24*'ABP Future Assumptions'!$D$93</f>
        <v>3713.1426338507008</v>
      </c>
      <c r="U24" s="149"/>
      <c r="V24" s="149"/>
      <c r="W24" s="149"/>
      <c r="X24" s="149"/>
    </row>
    <row r="25" spans="2:24" x14ac:dyDescent="0.35">
      <c r="B25" s="221" t="s">
        <v>138</v>
      </c>
      <c r="C25" s="79">
        <f>'ABP Future Assumptions'!C22</f>
        <v>2474.9525351065226</v>
      </c>
      <c r="D25" s="151">
        <f>'ABP Future Assumptions'!F22</f>
        <v>0.14176</v>
      </c>
      <c r="E25" s="155">
        <f>SUM(F25:X25)</f>
        <v>44522.480150547606</v>
      </c>
      <c r="F25" s="13">
        <f>(C25*D25*8760)/1000</f>
        <v>3073.4396172598977</v>
      </c>
      <c r="G25" s="13">
        <f>F25*'ABP Future Assumptions'!$D$93</f>
        <v>3058.0724191735981</v>
      </c>
      <c r="H25" s="13">
        <f>G25*'ABP Future Assumptions'!$D$93</f>
        <v>3042.7820570777299</v>
      </c>
      <c r="I25" s="13">
        <f>H25*'ABP Future Assumptions'!$D$93</f>
        <v>3027.5681467923414</v>
      </c>
      <c r="J25" s="13">
        <f>I25*'ABP Future Assumptions'!$D$93</f>
        <v>3012.4303060583798</v>
      </c>
      <c r="K25" s="13">
        <f>J25*'ABP Future Assumptions'!$D$93</f>
        <v>2997.3681545280879</v>
      </c>
      <c r="L25" s="13">
        <f>K25*'ABP Future Assumptions'!$D$93</f>
        <v>2982.3813137554475</v>
      </c>
      <c r="M25" s="13">
        <f>L25*'ABP Future Assumptions'!$D$93</f>
        <v>2967.4694071866702</v>
      </c>
      <c r="N25" s="13">
        <f>M25*'ABP Future Assumptions'!$D$93</f>
        <v>2952.6320601507368</v>
      </c>
      <c r="O25" s="13">
        <f>N25*'ABP Future Assumptions'!$D$93</f>
        <v>2937.8688998499833</v>
      </c>
      <c r="P25" s="13">
        <f>O25*'ABP Future Assumptions'!$D$93</f>
        <v>2923.1795553507336</v>
      </c>
      <c r="Q25" s="13">
        <f>P25*'ABP Future Assumptions'!$D$93</f>
        <v>2908.56365757398</v>
      </c>
      <c r="R25" s="13">
        <f>Q25*'ABP Future Assumptions'!$D$93</f>
        <v>2894.02083928611</v>
      </c>
      <c r="S25" s="13">
        <f>R25*'ABP Future Assumptions'!$D$93</f>
        <v>2879.5507350896796</v>
      </c>
      <c r="T25" s="13">
        <f>S25*'ABP Future Assumptions'!$D$93</f>
        <v>2865.1529814142314</v>
      </c>
      <c r="U25" s="149"/>
      <c r="V25" s="149"/>
      <c r="W25" s="149"/>
      <c r="X25" s="149"/>
    </row>
    <row r="26" spans="2:24" x14ac:dyDescent="0.35">
      <c r="B26" s="221" t="s">
        <v>139</v>
      </c>
      <c r="C26" s="79">
        <f>'ABP Future Assumptions'!C23</f>
        <v>9173.1101535500238</v>
      </c>
      <c r="D26" s="151">
        <f>'ABP Future Assumptions'!F23</f>
        <v>0.14119000000000001</v>
      </c>
      <c r="E26" s="155">
        <f>SUM(F26:X26)</f>
        <v>164353.63618540141</v>
      </c>
      <c r="F26" s="13">
        <f>(C26*D26*8760)/1000</f>
        <v>11345.526461798416</v>
      </c>
      <c r="G26" s="13">
        <f>F26*'ABP Future Assumptions'!$D$93</f>
        <v>11288.798829489424</v>
      </c>
      <c r="H26" s="13">
        <f>G26*'ABP Future Assumptions'!$D$93</f>
        <v>11232.354835341977</v>
      </c>
      <c r="I26" s="13">
        <f>H26*'ABP Future Assumptions'!$D$93</f>
        <v>11176.193061165268</v>
      </c>
      <c r="J26" s="13">
        <f>I26*'ABP Future Assumptions'!$D$93</f>
        <v>11120.312095859441</v>
      </c>
      <c r="K26" s="13">
        <f>J26*'ABP Future Assumptions'!$D$93</f>
        <v>11064.710535380143</v>
      </c>
      <c r="L26" s="13">
        <f>K26*'ABP Future Assumptions'!$D$93</f>
        <v>11009.386982703243</v>
      </c>
      <c r="M26" s="13">
        <f>L26*'ABP Future Assumptions'!$D$93</f>
        <v>10954.340047789727</v>
      </c>
      <c r="N26" s="13">
        <f>M26*'ABP Future Assumptions'!$D$93</f>
        <v>10899.568347550778</v>
      </c>
      <c r="O26" s="13">
        <f>N26*'ABP Future Assumptions'!$D$93</f>
        <v>10845.070505813024</v>
      </c>
      <c r="P26" s="13">
        <f>O26*'ABP Future Assumptions'!$D$93</f>
        <v>10790.845153283959</v>
      </c>
      <c r="Q26" s="13">
        <f>P26*'ABP Future Assumptions'!$D$93</f>
        <v>10736.890927517539</v>
      </c>
      <c r="R26" s="13">
        <f>Q26*'ABP Future Assumptions'!$D$93</f>
        <v>10683.206472879952</v>
      </c>
      <c r="S26" s="13">
        <f>R26*'ABP Future Assumptions'!$D$93</f>
        <v>10629.790440515553</v>
      </c>
      <c r="T26" s="13">
        <f>S26*'ABP Future Assumptions'!$D$93</f>
        <v>10576.641488312975</v>
      </c>
      <c r="U26" s="149"/>
      <c r="V26" s="149"/>
      <c r="W26" s="149"/>
      <c r="X26" s="149"/>
    </row>
    <row r="27" spans="2:24" x14ac:dyDescent="0.35">
      <c r="B27" s="221" t="s">
        <v>146</v>
      </c>
      <c r="C27" s="79">
        <f>'ABP Future Assumptions'!C24</f>
        <v>69215.598713854502</v>
      </c>
      <c r="D27" s="151">
        <f>'ABP Future Assumptions'!F24</f>
        <v>0.1497</v>
      </c>
      <c r="E27" s="155">
        <f>SUM(F27:X27)</f>
        <v>1314875.2486523199</v>
      </c>
      <c r="F27" s="13">
        <f>(C27*D27*8760)/1000</f>
        <v>90767.398116584809</v>
      </c>
      <c r="G27" s="13">
        <f>F27*'ABP Future Assumptions'!$D$93</f>
        <v>90313.561126001878</v>
      </c>
      <c r="H27" s="13">
        <f>G27*'ABP Future Assumptions'!$D$93</f>
        <v>89861.993320371868</v>
      </c>
      <c r="I27" s="13">
        <f>H27*'ABP Future Assumptions'!$D$93</f>
        <v>89412.683353770015</v>
      </c>
      <c r="J27" s="13">
        <f>I27*'ABP Future Assumptions'!$D$93</f>
        <v>88965.61993700116</v>
      </c>
      <c r="K27" s="13">
        <f>J27*'ABP Future Assumptions'!$D$93</f>
        <v>88520.791837316152</v>
      </c>
      <c r="L27" s="13">
        <f>K27*'ABP Future Assumptions'!$D$93</f>
        <v>88078.187878129567</v>
      </c>
      <c r="M27" s="13">
        <f>L27*'ABP Future Assumptions'!$D$93</f>
        <v>87637.796938738917</v>
      </c>
      <c r="N27" s="13">
        <f>M27*'ABP Future Assumptions'!$D$93</f>
        <v>87199.607954045219</v>
      </c>
      <c r="O27" s="13">
        <f>N27*'ABP Future Assumptions'!$D$93</f>
        <v>86763.609914274988</v>
      </c>
      <c r="P27" s="13">
        <f>O27*'ABP Future Assumptions'!$D$93</f>
        <v>86329.791864703613</v>
      </c>
      <c r="Q27" s="13">
        <f>P27*'ABP Future Assumptions'!$D$93</f>
        <v>85898.142905380097</v>
      </c>
      <c r="R27" s="13">
        <f>Q27*'ABP Future Assumptions'!$D$93</f>
        <v>85468.652190853201</v>
      </c>
      <c r="S27" s="13">
        <f>R27*'ABP Future Assumptions'!$D$93</f>
        <v>85041.308929898936</v>
      </c>
      <c r="T27" s="13">
        <f>S27*'ABP Future Assumptions'!$D$93</f>
        <v>84616.10238524944</v>
      </c>
      <c r="U27" s="149"/>
      <c r="V27" s="149"/>
      <c r="W27" s="149"/>
      <c r="X27" s="149"/>
    </row>
    <row r="28" spans="2:24" x14ac:dyDescent="0.35">
      <c r="B28" s="221" t="s">
        <v>141</v>
      </c>
      <c r="C28" s="79">
        <f>'ABP Future Assumptions'!C25</f>
        <v>0</v>
      </c>
      <c r="D28" s="151">
        <f>'ABP Future Assumptions'!F25</f>
        <v>0</v>
      </c>
      <c r="E28" s="155"/>
      <c r="F28" s="13"/>
      <c r="G28" s="13"/>
      <c r="H28" s="13"/>
      <c r="I28" s="13"/>
      <c r="J28" s="13"/>
      <c r="K28" s="13"/>
      <c r="L28" s="13"/>
      <c r="M28" s="13"/>
      <c r="N28" s="13"/>
      <c r="O28" s="13"/>
      <c r="P28" s="13"/>
      <c r="Q28" s="13"/>
      <c r="R28" s="13"/>
      <c r="S28" s="13"/>
      <c r="T28" s="13"/>
      <c r="U28" s="149"/>
      <c r="V28" s="149"/>
      <c r="W28" s="149"/>
      <c r="X28" s="149"/>
    </row>
    <row r="29" spans="2:24" x14ac:dyDescent="0.35">
      <c r="B29" s="14" t="s">
        <v>144</v>
      </c>
      <c r="C29" s="79">
        <f>'ABP Future Assumptions'!C26</f>
        <v>180090</v>
      </c>
      <c r="D29" s="157"/>
      <c r="E29" s="154"/>
      <c r="F29" s="156">
        <f t="shared" ref="F29:X29" si="4">SUM(F30:F31)</f>
        <v>0</v>
      </c>
      <c r="G29" s="156">
        <f t="shared" si="4"/>
        <v>266722.870788</v>
      </c>
      <c r="H29" s="156">
        <f t="shared" si="4"/>
        <v>265389.25643405999</v>
      </c>
      <c r="I29" s="156">
        <f t="shared" si="4"/>
        <v>264062.31015188969</v>
      </c>
      <c r="J29" s="156">
        <f t="shared" si="4"/>
        <v>262741.99860113027</v>
      </c>
      <c r="K29" s="156">
        <f t="shared" si="4"/>
        <v>261428.2886081246</v>
      </c>
      <c r="L29" s="156">
        <f t="shared" si="4"/>
        <v>260121.14716508397</v>
      </c>
      <c r="M29" s="156">
        <f t="shared" si="4"/>
        <v>258820.54142925856</v>
      </c>
      <c r="N29" s="156">
        <f t="shared" si="4"/>
        <v>257526.43872211227</v>
      </c>
      <c r="O29" s="156">
        <f t="shared" si="4"/>
        <v>256238.80652850171</v>
      </c>
      <c r="P29" s="156">
        <f t="shared" si="4"/>
        <v>254957.61249585918</v>
      </c>
      <c r="Q29" s="156">
        <f t="shared" si="4"/>
        <v>253682.82443337986</v>
      </c>
      <c r="R29" s="156">
        <f t="shared" si="4"/>
        <v>252414.41031121297</v>
      </c>
      <c r="S29" s="156">
        <f t="shared" si="4"/>
        <v>251152.33825965691</v>
      </c>
      <c r="T29" s="156">
        <f t="shared" si="4"/>
        <v>249896.57656835864</v>
      </c>
      <c r="U29" s="156">
        <f t="shared" si="4"/>
        <v>248647.09368551683</v>
      </c>
      <c r="V29" s="156">
        <f t="shared" si="4"/>
        <v>247403.85821708923</v>
      </c>
      <c r="W29" s="156">
        <f t="shared" si="4"/>
        <v>246166.83892600378</v>
      </c>
      <c r="X29" s="156">
        <f t="shared" si="4"/>
        <v>244936.00473137377</v>
      </c>
    </row>
    <row r="30" spans="2:24" x14ac:dyDescent="0.35">
      <c r="B30" s="179" t="s">
        <v>145</v>
      </c>
      <c r="C30" s="174">
        <f>'ABP Future Assumptions'!C27</f>
        <v>54027</v>
      </c>
      <c r="D30" s="151">
        <f>'ABP Future Assumptions'!F27</f>
        <v>0.16907</v>
      </c>
      <c r="E30" s="155">
        <f>SUM(F30:X30)</f>
        <v>1380692.7648169841</v>
      </c>
      <c r="F30" s="13"/>
      <c r="G30" s="13">
        <f>(($C30*$D30)*8760)/1000</f>
        <v>80016.861236400015</v>
      </c>
      <c r="H30" s="13">
        <f>G30*'ABP Future Assumptions'!$D$93</f>
        <v>79616.77693021801</v>
      </c>
      <c r="I30" s="13">
        <f>H30*'ABP Future Assumptions'!$D$93</f>
        <v>79218.693045566921</v>
      </c>
      <c r="J30" s="13">
        <f>I30*'ABP Future Assumptions'!$D$93</f>
        <v>78822.599580339083</v>
      </c>
      <c r="K30" s="13">
        <f>J30*'ABP Future Assumptions'!$D$93</f>
        <v>78428.486582437385</v>
      </c>
      <c r="L30" s="13">
        <f>K30*'ABP Future Assumptions'!$D$93</f>
        <v>78036.344149525205</v>
      </c>
      <c r="M30" s="13">
        <f>L30*'ABP Future Assumptions'!$D$93</f>
        <v>77646.162428777578</v>
      </c>
      <c r="N30" s="13">
        <f>M30*'ABP Future Assumptions'!$D$93</f>
        <v>77257.931616633694</v>
      </c>
      <c r="O30" s="13">
        <f>N30*'ABP Future Assumptions'!$D$93</f>
        <v>76871.641958550521</v>
      </c>
      <c r="P30" s="13">
        <f>O30*'ABP Future Assumptions'!$D$93</f>
        <v>76487.283748757764</v>
      </c>
      <c r="Q30" s="13">
        <f>P30*'ABP Future Assumptions'!$D$93</f>
        <v>76104.847330013974</v>
      </c>
      <c r="R30" s="13">
        <f>Q30*'ABP Future Assumptions'!$D$93</f>
        <v>75724.323093363899</v>
      </c>
      <c r="S30" s="13">
        <f>R30*'ABP Future Assumptions'!$D$93</f>
        <v>75345.701477897077</v>
      </c>
      <c r="T30" s="13">
        <f>S30*'ABP Future Assumptions'!$D$93</f>
        <v>74968.972970507588</v>
      </c>
      <c r="U30" s="13">
        <f>T30*'ABP Future Assumptions'!$D$93</f>
        <v>74594.128105655051</v>
      </c>
      <c r="V30" s="13">
        <f>U30*'ABP Future Assumptions'!$D$93</f>
        <v>74221.157465126773</v>
      </c>
      <c r="W30" s="13">
        <f>V30*'ABP Future Assumptions'!$D$93</f>
        <v>73850.051677801137</v>
      </c>
      <c r="X30" s="13">
        <f>W30*'ABP Future Assumptions'!$D$93</f>
        <v>73480.801419412135</v>
      </c>
    </row>
    <row r="31" spans="2:24" x14ac:dyDescent="0.35">
      <c r="B31" s="179" t="s">
        <v>148</v>
      </c>
      <c r="C31" s="174">
        <f>'ABP Future Assumptions'!C35</f>
        <v>126062.99999999999</v>
      </c>
      <c r="D31" s="151">
        <f>'ABP Future Assumptions'!F28</f>
        <v>0.16907</v>
      </c>
      <c r="E31" s="155">
        <f>SUM(F31:X31)</f>
        <v>3221616.4512396283</v>
      </c>
      <c r="F31" s="13"/>
      <c r="G31" s="13">
        <f>(($C31*$D31)*8760)/1000</f>
        <v>186706.00955159997</v>
      </c>
      <c r="H31" s="13">
        <f>G31*'ABP Future Assumptions'!$D$93</f>
        <v>185772.47950384198</v>
      </c>
      <c r="I31" s="13">
        <f>H31*'ABP Future Assumptions'!$D$93</f>
        <v>184843.61710632278</v>
      </c>
      <c r="J31" s="13">
        <f>I31*'ABP Future Assumptions'!$D$93</f>
        <v>183919.39902079117</v>
      </c>
      <c r="K31" s="13">
        <f>J31*'ABP Future Assumptions'!$D$93</f>
        <v>182999.80202568721</v>
      </c>
      <c r="L31" s="13">
        <f>K31*'ABP Future Assumptions'!$D$93</f>
        <v>182084.80301555878</v>
      </c>
      <c r="M31" s="13">
        <f>L31*'ABP Future Assumptions'!$D$93</f>
        <v>181174.37900048099</v>
      </c>
      <c r="N31" s="13">
        <f>M31*'ABP Future Assumptions'!$D$93</f>
        <v>180268.50710547858</v>
      </c>
      <c r="O31" s="13">
        <f>N31*'ABP Future Assumptions'!$D$93</f>
        <v>179367.16456995119</v>
      </c>
      <c r="P31" s="13">
        <f>O31*'ABP Future Assumptions'!$D$93</f>
        <v>178470.32874710142</v>
      </c>
      <c r="Q31" s="13">
        <f>P31*'ABP Future Assumptions'!$D$93</f>
        <v>177577.97710336591</v>
      </c>
      <c r="R31" s="13">
        <f>Q31*'ABP Future Assumptions'!$D$93</f>
        <v>176690.08721784907</v>
      </c>
      <c r="S31" s="13">
        <f>R31*'ABP Future Assumptions'!$D$93</f>
        <v>175806.63678175982</v>
      </c>
      <c r="T31" s="13">
        <f>S31*'ABP Future Assumptions'!$D$93</f>
        <v>174927.60359785103</v>
      </c>
      <c r="U31" s="13">
        <f>T31*'ABP Future Assumptions'!$D$93</f>
        <v>174052.96557986178</v>
      </c>
      <c r="V31" s="13">
        <f>U31*'ABP Future Assumptions'!$D$93</f>
        <v>173182.70075196246</v>
      </c>
      <c r="W31" s="13">
        <f>V31*'ABP Future Assumptions'!$D$93</f>
        <v>172316.78724820266</v>
      </c>
      <c r="X31" s="13">
        <f>W31*'ABP Future Assumptions'!$D$93</f>
        <v>171455.20331196164</v>
      </c>
    </row>
    <row r="32" spans="2:24" x14ac:dyDescent="0.35">
      <c r="B32" s="14" t="s">
        <v>149</v>
      </c>
      <c r="C32" s="79">
        <f>'ABP Future Assumptions'!C43</f>
        <v>86710</v>
      </c>
      <c r="D32" s="157"/>
      <c r="E32" s="154"/>
      <c r="F32" s="156">
        <f t="shared" ref="F32:X32" si="5">SUM(F33:F45)</f>
        <v>128422.12297199998</v>
      </c>
      <c r="G32" s="156">
        <f t="shared" si="5"/>
        <v>127780.01235713999</v>
      </c>
      <c r="H32" s="156">
        <f t="shared" si="5"/>
        <v>127141.11229535428</v>
      </c>
      <c r="I32" s="156">
        <f t="shared" si="5"/>
        <v>126505.40673387751</v>
      </c>
      <c r="J32" s="156">
        <f t="shared" si="5"/>
        <v>125872.87970020811</v>
      </c>
      <c r="K32" s="156">
        <f t="shared" si="5"/>
        <v>125243.51530170708</v>
      </c>
      <c r="L32" s="156">
        <f t="shared" si="5"/>
        <v>124617.29772519854</v>
      </c>
      <c r="M32" s="156">
        <f t="shared" si="5"/>
        <v>123994.21123657255</v>
      </c>
      <c r="N32" s="156">
        <f t="shared" si="5"/>
        <v>123374.24018038969</v>
      </c>
      <c r="O32" s="156">
        <f t="shared" si="5"/>
        <v>122757.36897948774</v>
      </c>
      <c r="P32" s="156">
        <f t="shared" si="5"/>
        <v>122143.58213459028</v>
      </c>
      <c r="Q32" s="156">
        <f t="shared" si="5"/>
        <v>121532.86422391734</v>
      </c>
      <c r="R32" s="156">
        <f t="shared" si="5"/>
        <v>120925.19990279774</v>
      </c>
      <c r="S32" s="156">
        <f t="shared" si="5"/>
        <v>120320.57390328377</v>
      </c>
      <c r="T32" s="156">
        <f t="shared" si="5"/>
        <v>119718.97103376733</v>
      </c>
      <c r="U32" s="156">
        <f t="shared" si="5"/>
        <v>119120.3761785985</v>
      </c>
      <c r="V32" s="156">
        <f t="shared" si="5"/>
        <v>118524.77429770552</v>
      </c>
      <c r="W32" s="156">
        <f t="shared" si="5"/>
        <v>117932.15042621699</v>
      </c>
      <c r="X32" s="156">
        <f t="shared" si="5"/>
        <v>117342.4896740859</v>
      </c>
    </row>
    <row r="33" spans="2:24" x14ac:dyDescent="0.35">
      <c r="B33" s="179" t="s">
        <v>150</v>
      </c>
      <c r="C33" s="174">
        <f>'ABP Future Assumptions'!C44</f>
        <v>26013</v>
      </c>
      <c r="D33" s="104"/>
      <c r="E33" s="155"/>
      <c r="F33" s="13"/>
      <c r="G33" s="13"/>
      <c r="H33" s="13"/>
      <c r="I33" s="13"/>
      <c r="J33" s="13"/>
      <c r="K33" s="13"/>
      <c r="L33" s="13"/>
      <c r="M33" s="13"/>
      <c r="N33" s="13"/>
      <c r="O33" s="13"/>
      <c r="P33" s="13"/>
      <c r="Q33" s="13"/>
      <c r="R33" s="13"/>
      <c r="S33" s="13"/>
      <c r="T33" s="13"/>
      <c r="U33" s="149"/>
      <c r="V33" s="158"/>
      <c r="W33" s="158"/>
      <c r="X33" s="158"/>
    </row>
    <row r="34" spans="2:24" x14ac:dyDescent="0.35">
      <c r="B34" s="221" t="s">
        <v>151</v>
      </c>
      <c r="C34" s="79">
        <f>'ABP Future Assumptions'!C45</f>
        <v>1204.3055555555554</v>
      </c>
      <c r="D34" s="151">
        <f>'ABP Future Assumptions'!F31</f>
        <v>0.16907</v>
      </c>
      <c r="E34" s="155">
        <f>SUM(F34:X34)</f>
        <v>32406.515961901368</v>
      </c>
      <c r="F34" s="13">
        <f>(C34*D34*8760)/1000</f>
        <v>1783.6405968333331</v>
      </c>
      <c r="G34" s="13">
        <f>F34*'ABP Future Assumptions'!$D$93</f>
        <v>1774.7223938491663</v>
      </c>
      <c r="H34" s="13">
        <f>G34*'ABP Future Assumptions'!$D$93</f>
        <v>1765.8487818799206</v>
      </c>
      <c r="I34" s="13">
        <f>H34*'ABP Future Assumptions'!$D$93</f>
        <v>1757.019537970521</v>
      </c>
      <c r="J34" s="13">
        <f>I34*'ABP Future Assumptions'!$D$93</f>
        <v>1748.2344402806684</v>
      </c>
      <c r="K34" s="13">
        <f>J34*'ABP Future Assumptions'!$D$93</f>
        <v>1739.4932680792651</v>
      </c>
      <c r="L34" s="13">
        <f>K34*'ABP Future Assumptions'!$D$93</f>
        <v>1730.7958017388687</v>
      </c>
      <c r="M34" s="13">
        <f>L34*'ABP Future Assumptions'!$D$93</f>
        <v>1722.1418227301745</v>
      </c>
      <c r="N34" s="13">
        <f>M34*'ABP Future Assumptions'!$D$93</f>
        <v>1713.5311136165235</v>
      </c>
      <c r="O34" s="13">
        <f>N34*'ABP Future Assumptions'!$D$93</f>
        <v>1704.9634580484408</v>
      </c>
      <c r="P34" s="13">
        <f>O34*'ABP Future Assumptions'!$D$93</f>
        <v>1696.4386407581985</v>
      </c>
      <c r="Q34" s="13">
        <f>P34*'ABP Future Assumptions'!$D$93</f>
        <v>1687.9564475544075</v>
      </c>
      <c r="R34" s="13">
        <f>Q34*'ABP Future Assumptions'!$D$93</f>
        <v>1679.5166653166355</v>
      </c>
      <c r="S34" s="13">
        <f>R34*'ABP Future Assumptions'!$D$93</f>
        <v>1671.1190819900523</v>
      </c>
      <c r="T34" s="13">
        <f>S34*'ABP Future Assumptions'!$D$93</f>
        <v>1662.7634865801022</v>
      </c>
      <c r="U34" s="13">
        <f>T34*'ABP Future Assumptions'!$D$93</f>
        <v>1654.4496691472016</v>
      </c>
      <c r="V34" s="13">
        <f>U34*'ABP Future Assumptions'!$D$93</f>
        <v>1646.1774208014656</v>
      </c>
      <c r="W34" s="13">
        <f>V34*'ABP Future Assumptions'!$D$93</f>
        <v>1637.9465336974583</v>
      </c>
      <c r="X34" s="13">
        <f>W34*'ABP Future Assumptions'!$D$93</f>
        <v>1629.756801028971</v>
      </c>
    </row>
    <row r="35" spans="2:24" x14ac:dyDescent="0.35">
      <c r="B35" s="221" t="s">
        <v>143</v>
      </c>
      <c r="C35" s="79">
        <f>'ABP Future Assumptions'!C46</f>
        <v>1445.1666666666665</v>
      </c>
      <c r="D35" s="151">
        <f>'ABP Future Assumptions'!F32</f>
        <v>0.16907</v>
      </c>
      <c r="E35" s="155">
        <f>SUM(F35:X35)</f>
        <v>38887.819154281657</v>
      </c>
      <c r="F35" s="13">
        <f>(C35*D35*8760)/1000</f>
        <v>2140.3687161999997</v>
      </c>
      <c r="G35" s="13">
        <f>F35*'ABP Future Assumptions'!$D$93</f>
        <v>2129.6668726189996</v>
      </c>
      <c r="H35" s="13">
        <f>G35*'ABP Future Assumptions'!$D$93</f>
        <v>2119.0185382559048</v>
      </c>
      <c r="I35" s="13">
        <f>H35*'ABP Future Assumptions'!$D$93</f>
        <v>2108.4234455646251</v>
      </c>
      <c r="J35" s="13">
        <f>I35*'ABP Future Assumptions'!$D$93</f>
        <v>2097.8813283368022</v>
      </c>
      <c r="K35" s="13">
        <f>J35*'ABP Future Assumptions'!$D$93</f>
        <v>2087.3919216951181</v>
      </c>
      <c r="L35" s="13">
        <f>K35*'ABP Future Assumptions'!$D$93</f>
        <v>2076.9549620866424</v>
      </c>
      <c r="M35" s="13">
        <f>L35*'ABP Future Assumptions'!$D$93</f>
        <v>2066.5701872762093</v>
      </c>
      <c r="N35" s="13">
        <f>M35*'ABP Future Assumptions'!$D$93</f>
        <v>2056.2373363398283</v>
      </c>
      <c r="O35" s="13">
        <f>N35*'ABP Future Assumptions'!$D$93</f>
        <v>2045.9561496581291</v>
      </c>
      <c r="P35" s="13">
        <f>O35*'ABP Future Assumptions'!$D$93</f>
        <v>2035.7263689098384</v>
      </c>
      <c r="Q35" s="13">
        <f>P35*'ABP Future Assumptions'!$D$93</f>
        <v>2025.5477370652891</v>
      </c>
      <c r="R35" s="13">
        <f>Q35*'ABP Future Assumptions'!$D$93</f>
        <v>2015.4199983799626</v>
      </c>
      <c r="S35" s="13">
        <f>R35*'ABP Future Assumptions'!$D$93</f>
        <v>2005.3428983880628</v>
      </c>
      <c r="T35" s="13">
        <f>S35*'ABP Future Assumptions'!$D$93</f>
        <v>1995.3161838961225</v>
      </c>
      <c r="U35" s="13">
        <f>T35*'ABP Future Assumptions'!$D$93</f>
        <v>1985.339602976642</v>
      </c>
      <c r="V35" s="13">
        <f>U35*'ABP Future Assumptions'!$D$93</f>
        <v>1975.4129049617588</v>
      </c>
      <c r="W35" s="13">
        <f>V35*'ABP Future Assumptions'!$D$93</f>
        <v>1965.5358404369501</v>
      </c>
      <c r="X35" s="13">
        <f>W35*'ABP Future Assumptions'!$D$93</f>
        <v>1955.7081612347654</v>
      </c>
    </row>
    <row r="36" spans="2:24" x14ac:dyDescent="0.35">
      <c r="B36" s="221" t="s">
        <v>138</v>
      </c>
      <c r="C36" s="79">
        <f>'ABP Future Assumptions'!C47</f>
        <v>5539.8055555555557</v>
      </c>
      <c r="D36" s="151">
        <f>'ABP Future Assumptions'!F33</f>
        <v>0.16907</v>
      </c>
      <c r="E36" s="155">
        <f>SUM(F36:X36)</f>
        <v>149069.97342474636</v>
      </c>
      <c r="F36" s="13">
        <f>(C36*D36*8760)/1000</f>
        <v>8204.7467454333328</v>
      </c>
      <c r="G36" s="13">
        <f>F36*'ABP Future Assumptions'!$D$93</f>
        <v>8163.7230117061663</v>
      </c>
      <c r="H36" s="13">
        <f>G36*'ABP Future Assumptions'!$D$93</f>
        <v>8122.9043966476356</v>
      </c>
      <c r="I36" s="13">
        <f>H36*'ABP Future Assumptions'!$D$93</f>
        <v>8082.2898746643978</v>
      </c>
      <c r="J36" s="13">
        <f>I36*'ABP Future Assumptions'!$D$93</f>
        <v>8041.8784252910755</v>
      </c>
      <c r="K36" s="13">
        <f>J36*'ABP Future Assumptions'!$D$93</f>
        <v>8001.6690331646205</v>
      </c>
      <c r="L36" s="13">
        <f>K36*'ABP Future Assumptions'!$D$93</f>
        <v>7961.6606879987976</v>
      </c>
      <c r="M36" s="13">
        <f>L36*'ABP Future Assumptions'!$D$93</f>
        <v>7921.8523845588034</v>
      </c>
      <c r="N36" s="13">
        <f>M36*'ABP Future Assumptions'!$D$93</f>
        <v>7882.2431226360095</v>
      </c>
      <c r="O36" s="13">
        <f>N36*'ABP Future Assumptions'!$D$93</f>
        <v>7842.831907022829</v>
      </c>
      <c r="P36" s="13">
        <f>O36*'ABP Future Assumptions'!$D$93</f>
        <v>7803.617747487715</v>
      </c>
      <c r="Q36" s="13">
        <f>P36*'ABP Future Assumptions'!$D$93</f>
        <v>7764.5996587502759</v>
      </c>
      <c r="R36" s="13">
        <f>Q36*'ABP Future Assumptions'!$D$93</f>
        <v>7725.776660456525</v>
      </c>
      <c r="S36" s="13">
        <f>R36*'ABP Future Assumptions'!$D$93</f>
        <v>7687.1477771542422</v>
      </c>
      <c r="T36" s="13">
        <f>S36*'ABP Future Assumptions'!$D$93</f>
        <v>7648.7120382684707</v>
      </c>
      <c r="U36" s="13">
        <f>T36*'ABP Future Assumptions'!$D$93</f>
        <v>7610.4684780771286</v>
      </c>
      <c r="V36" s="13">
        <f>U36*'ABP Future Assumptions'!$D$93</f>
        <v>7572.4161356867426</v>
      </c>
      <c r="W36" s="13">
        <f>V36*'ABP Future Assumptions'!$D$93</f>
        <v>7534.5540550083088</v>
      </c>
      <c r="X36" s="13">
        <f>W36*'ABP Future Assumptions'!$D$93</f>
        <v>7496.8812847332674</v>
      </c>
    </row>
    <row r="37" spans="2:24" x14ac:dyDescent="0.35">
      <c r="B37" s="221" t="s">
        <v>139</v>
      </c>
      <c r="C37" s="79">
        <f>'ABP Future Assumptions'!C48</f>
        <v>11802.194444444445</v>
      </c>
      <c r="D37" s="151">
        <f>'ABP Future Assumptions'!F34</f>
        <v>0.16907</v>
      </c>
      <c r="E37" s="155">
        <f>SUM(F37:X37)</f>
        <v>317583.85642663349</v>
      </c>
      <c r="F37" s="13">
        <f>(C37*D37*8760)/1000</f>
        <v>17479.677848966669</v>
      </c>
      <c r="G37" s="13">
        <f>F37*'ABP Future Assumptions'!$D$93</f>
        <v>17392.279459721834</v>
      </c>
      <c r="H37" s="13">
        <f>G37*'ABP Future Assumptions'!$D$93</f>
        <v>17305.318062423226</v>
      </c>
      <c r="I37" s="13">
        <f>H37*'ABP Future Assumptions'!$D$93</f>
        <v>17218.791472111112</v>
      </c>
      <c r="J37" s="13">
        <f>I37*'ABP Future Assumptions'!$D$93</f>
        <v>17132.697514750555</v>
      </c>
      <c r="K37" s="13">
        <f>J37*'ABP Future Assumptions'!$D$93</f>
        <v>17047.0340271768</v>
      </c>
      <c r="L37" s="13">
        <f>K37*'ABP Future Assumptions'!$D$93</f>
        <v>16961.798857040914</v>
      </c>
      <c r="M37" s="13">
        <f>L37*'ABP Future Assumptions'!$D$93</f>
        <v>16876.989862755709</v>
      </c>
      <c r="N37" s="13">
        <f>M37*'ABP Future Assumptions'!$D$93</f>
        <v>16792.60491344193</v>
      </c>
      <c r="O37" s="13">
        <f>N37*'ABP Future Assumptions'!$D$93</f>
        <v>16708.641888874721</v>
      </c>
      <c r="P37" s="13">
        <f>O37*'ABP Future Assumptions'!$D$93</f>
        <v>16625.098679430346</v>
      </c>
      <c r="Q37" s="13">
        <f>P37*'ABP Future Assumptions'!$D$93</f>
        <v>16541.973186033196</v>
      </c>
      <c r="R37" s="13">
        <f>Q37*'ABP Future Assumptions'!$D$93</f>
        <v>16459.263320103029</v>
      </c>
      <c r="S37" s="13">
        <f>R37*'ABP Future Assumptions'!$D$93</f>
        <v>16376.967003502514</v>
      </c>
      <c r="T37" s="13">
        <f>S37*'ABP Future Assumptions'!$D$93</f>
        <v>16295.082168485002</v>
      </c>
      <c r="U37" s="13">
        <f>T37*'ABP Future Assumptions'!$D$93</f>
        <v>16213.606757642576</v>
      </c>
      <c r="V37" s="13">
        <f>U37*'ABP Future Assumptions'!$D$93</f>
        <v>16132.538723854363</v>
      </c>
      <c r="W37" s="13">
        <f>V37*'ABP Future Assumptions'!$D$93</f>
        <v>16051.876030235091</v>
      </c>
      <c r="X37" s="13">
        <f>W37*'ABP Future Assumptions'!$D$93</f>
        <v>15971.616650083915</v>
      </c>
    </row>
    <row r="38" spans="2:24" x14ac:dyDescent="0.35">
      <c r="B38" s="221" t="s">
        <v>146</v>
      </c>
      <c r="C38" s="79">
        <f>'ABP Future Assumptions'!C49</f>
        <v>6021.5277777777774</v>
      </c>
      <c r="D38" s="151">
        <f>'ABP Future Assumptions'!F35</f>
        <v>0.16907</v>
      </c>
      <c r="E38" s="155">
        <f>SUM(F38:X38)</f>
        <v>162032.57980950689</v>
      </c>
      <c r="F38" s="13">
        <f>(C38*D38*8760)/1000</f>
        <v>8918.2029841666663</v>
      </c>
      <c r="G38" s="13">
        <f>F38*'ABP Future Assumptions'!$D$93</f>
        <v>8873.6119692458324</v>
      </c>
      <c r="H38" s="13">
        <f>G38*'ABP Future Assumptions'!$D$93</f>
        <v>8829.2439093996036</v>
      </c>
      <c r="I38" s="13">
        <f>H38*'ABP Future Assumptions'!$D$93</f>
        <v>8785.097689852606</v>
      </c>
      <c r="J38" s="13">
        <f>I38*'ABP Future Assumptions'!$D$93</f>
        <v>8741.1722014033421</v>
      </c>
      <c r="K38" s="13">
        <f>J38*'ABP Future Assumptions'!$D$93</f>
        <v>8697.4663403963259</v>
      </c>
      <c r="L38" s="13">
        <f>K38*'ABP Future Assumptions'!$D$93</f>
        <v>8653.9790086943449</v>
      </c>
      <c r="M38" s="13">
        <f>L38*'ABP Future Assumptions'!$D$93</f>
        <v>8610.7091136508734</v>
      </c>
      <c r="N38" s="13">
        <f>M38*'ABP Future Assumptions'!$D$93</f>
        <v>8567.6555680826186</v>
      </c>
      <c r="O38" s="13">
        <f>N38*'ABP Future Assumptions'!$D$93</f>
        <v>8524.8172902422048</v>
      </c>
      <c r="P38" s="13">
        <f>O38*'ABP Future Assumptions'!$D$93</f>
        <v>8482.1932037909937</v>
      </c>
      <c r="Q38" s="13">
        <f>P38*'ABP Future Assumptions'!$D$93</f>
        <v>8439.7822377720386</v>
      </c>
      <c r="R38" s="13">
        <f>Q38*'ABP Future Assumptions'!$D$93</f>
        <v>8397.5833265831789</v>
      </c>
      <c r="S38" s="13">
        <f>R38*'ABP Future Assumptions'!$D$93</f>
        <v>8355.5954099502633</v>
      </c>
      <c r="T38" s="13">
        <f>S38*'ABP Future Assumptions'!$D$93</f>
        <v>8313.8174329005124</v>
      </c>
      <c r="U38" s="13">
        <f>T38*'ABP Future Assumptions'!$D$93</f>
        <v>8272.2483457360104</v>
      </c>
      <c r="V38" s="13">
        <f>U38*'ABP Future Assumptions'!$D$93</f>
        <v>8230.88710400733</v>
      </c>
      <c r="W38" s="13">
        <f>V38*'ABP Future Assumptions'!$D$93</f>
        <v>8189.7326684872933</v>
      </c>
      <c r="X38" s="13">
        <f>W38*'ABP Future Assumptions'!$D$93</f>
        <v>8148.7840051448566</v>
      </c>
    </row>
    <row r="39" spans="2:24" x14ac:dyDescent="0.35">
      <c r="B39" s="221" t="s">
        <v>141</v>
      </c>
      <c r="C39" s="79">
        <f>'ABP Future Assumptions'!C50</f>
        <v>0</v>
      </c>
      <c r="D39" s="151">
        <f>'ABP Future Assumptions'!F36</f>
        <v>0.16907</v>
      </c>
      <c r="E39" s="155"/>
      <c r="F39" s="13"/>
      <c r="G39" s="13"/>
      <c r="H39" s="13"/>
      <c r="I39" s="13"/>
      <c r="J39" s="13"/>
      <c r="K39" s="13"/>
      <c r="L39" s="13"/>
      <c r="M39" s="13"/>
      <c r="N39" s="13"/>
      <c r="O39" s="13"/>
      <c r="P39" s="13"/>
      <c r="Q39" s="13"/>
      <c r="R39" s="13"/>
      <c r="S39" s="13"/>
      <c r="T39" s="13"/>
      <c r="U39" s="13"/>
      <c r="V39" s="13"/>
      <c r="W39" s="13"/>
      <c r="X39" s="13"/>
    </row>
    <row r="40" spans="2:24" x14ac:dyDescent="0.35">
      <c r="B40" s="179" t="s">
        <v>152</v>
      </c>
      <c r="C40" s="174">
        <f>'ABP Future Assumptions'!C51</f>
        <v>60696.999999999993</v>
      </c>
      <c r="D40" s="104"/>
      <c r="E40" s="155"/>
      <c r="F40" s="13"/>
      <c r="G40" s="13"/>
      <c r="H40" s="13"/>
      <c r="I40" s="13"/>
      <c r="J40" s="13"/>
      <c r="K40" s="13"/>
      <c r="L40" s="13"/>
      <c r="M40" s="13"/>
      <c r="N40" s="13"/>
      <c r="O40" s="13"/>
      <c r="P40" s="13"/>
      <c r="Q40" s="13"/>
      <c r="R40" s="13"/>
      <c r="S40" s="13"/>
      <c r="T40" s="13"/>
      <c r="U40" s="13"/>
      <c r="V40" s="13"/>
      <c r="W40" s="13"/>
      <c r="X40" s="13"/>
    </row>
    <row r="41" spans="2:24" x14ac:dyDescent="0.35">
      <c r="B41" s="221" t="s">
        <v>151</v>
      </c>
      <c r="C41" s="79">
        <f>'ABP Future Assumptions'!C52</f>
        <v>2810.0462962962956</v>
      </c>
      <c r="D41" s="151">
        <f>'ABP Future Assumptions'!F38</f>
        <v>0.16907</v>
      </c>
      <c r="E41" s="155">
        <f>SUM(F41:X41)</f>
        <v>75615.203911103192</v>
      </c>
      <c r="F41" s="13">
        <f>(C41*D41*8760)/1000</f>
        <v>4161.8280592777764</v>
      </c>
      <c r="G41" s="13">
        <f>F41*'ABP Future Assumptions'!$D$93</f>
        <v>4141.0189189813873</v>
      </c>
      <c r="H41" s="13">
        <f>G41*'ABP Future Assumptions'!$D$93</f>
        <v>4120.3138243864805</v>
      </c>
      <c r="I41" s="13">
        <f>H41*'ABP Future Assumptions'!$D$93</f>
        <v>4099.7122552645478</v>
      </c>
      <c r="J41" s="13">
        <f>I41*'ABP Future Assumptions'!$D$93</f>
        <v>4079.2136939882253</v>
      </c>
      <c r="K41" s="13">
        <f>J41*'ABP Future Assumptions'!$D$93</f>
        <v>4058.8176255182843</v>
      </c>
      <c r="L41" s="13">
        <f>K41*'ABP Future Assumptions'!$D$93</f>
        <v>4038.523537390693</v>
      </c>
      <c r="M41" s="13">
        <f>L41*'ABP Future Assumptions'!$D$93</f>
        <v>4018.3309197037397</v>
      </c>
      <c r="N41" s="13">
        <f>M41*'ABP Future Assumptions'!$D$93</f>
        <v>3998.239265105221</v>
      </c>
      <c r="O41" s="13">
        <f>N41*'ABP Future Assumptions'!$D$93</f>
        <v>3978.2480687796947</v>
      </c>
      <c r="P41" s="13">
        <f>O41*'ABP Future Assumptions'!$D$93</f>
        <v>3958.3568284357962</v>
      </c>
      <c r="Q41" s="13">
        <f>P41*'ABP Future Assumptions'!$D$93</f>
        <v>3938.5650442936171</v>
      </c>
      <c r="R41" s="13">
        <f>Q41*'ABP Future Assumptions'!$D$93</f>
        <v>3918.8722190721492</v>
      </c>
      <c r="S41" s="13">
        <f>R41*'ABP Future Assumptions'!$D$93</f>
        <v>3899.2778579767883</v>
      </c>
      <c r="T41" s="13">
        <f>S41*'ABP Future Assumptions'!$D$93</f>
        <v>3879.7814686869042</v>
      </c>
      <c r="U41" s="13">
        <f>T41*'ABP Future Assumptions'!$D$93</f>
        <v>3860.3825613434697</v>
      </c>
      <c r="V41" s="13">
        <f>U41*'ABP Future Assumptions'!$D$93</f>
        <v>3841.0806485367525</v>
      </c>
      <c r="W41" s="13">
        <f>V41*'ABP Future Assumptions'!$D$93</f>
        <v>3821.8752452940689</v>
      </c>
      <c r="X41" s="13">
        <f>W41*'ABP Future Assumptions'!$D$93</f>
        <v>3802.7658690675985</v>
      </c>
    </row>
    <row r="42" spans="2:24" x14ac:dyDescent="0.35">
      <c r="B42" s="221" t="s">
        <v>143</v>
      </c>
      <c r="C42" s="79">
        <f>'ABP Future Assumptions'!C53</f>
        <v>3372.0555555555547</v>
      </c>
      <c r="D42" s="151">
        <f>'ABP Future Assumptions'!F39</f>
        <v>0.16907</v>
      </c>
      <c r="E42" s="155">
        <f>SUM(F42:X42)</f>
        <v>90738.244693323824</v>
      </c>
      <c r="F42" s="13">
        <f>(C42*D42*8760)/1000</f>
        <v>4994.1936711333328</v>
      </c>
      <c r="G42" s="13">
        <f>F42*'ABP Future Assumptions'!$D$93</f>
        <v>4969.2227027776662</v>
      </c>
      <c r="H42" s="13">
        <f>G42*'ABP Future Assumptions'!$D$93</f>
        <v>4944.3765892637775</v>
      </c>
      <c r="I42" s="13">
        <f>H42*'ABP Future Assumptions'!$D$93</f>
        <v>4919.6547063174585</v>
      </c>
      <c r="J42" s="13">
        <f>I42*'ABP Future Assumptions'!$D$93</f>
        <v>4895.056432785871</v>
      </c>
      <c r="K42" s="13">
        <f>J42*'ABP Future Assumptions'!$D$93</f>
        <v>4870.5811506219416</v>
      </c>
      <c r="L42" s="13">
        <f>K42*'ABP Future Assumptions'!$D$93</f>
        <v>4846.228244868832</v>
      </c>
      <c r="M42" s="13">
        <f>L42*'ABP Future Assumptions'!$D$93</f>
        <v>4821.9971036444877</v>
      </c>
      <c r="N42" s="13">
        <f>M42*'ABP Future Assumptions'!$D$93</f>
        <v>4797.8871181262648</v>
      </c>
      <c r="O42" s="13">
        <f>N42*'ABP Future Assumptions'!$D$93</f>
        <v>4773.8976825356331</v>
      </c>
      <c r="P42" s="13">
        <f>O42*'ABP Future Assumptions'!$D$93</f>
        <v>4750.028194122955</v>
      </c>
      <c r="Q42" s="13">
        <f>P42*'ABP Future Assumptions'!$D$93</f>
        <v>4726.2780531523404</v>
      </c>
      <c r="R42" s="13">
        <f>Q42*'ABP Future Assumptions'!$D$93</f>
        <v>4702.6466628865783</v>
      </c>
      <c r="S42" s="13">
        <f>R42*'ABP Future Assumptions'!$D$93</f>
        <v>4679.1334295721454</v>
      </c>
      <c r="T42" s="13">
        <f>S42*'ABP Future Assumptions'!$D$93</f>
        <v>4655.7377624242845</v>
      </c>
      <c r="U42" s="13">
        <f>T42*'ABP Future Assumptions'!$D$93</f>
        <v>4632.4590736121627</v>
      </c>
      <c r="V42" s="13">
        <f>U42*'ABP Future Assumptions'!$D$93</f>
        <v>4609.2967782441019</v>
      </c>
      <c r="W42" s="13">
        <f>V42*'ABP Future Assumptions'!$D$93</f>
        <v>4586.2502943528816</v>
      </c>
      <c r="X42" s="13">
        <f>W42*'ABP Future Assumptions'!$D$93</f>
        <v>4563.3190428811167</v>
      </c>
    </row>
    <row r="43" spans="2:24" x14ac:dyDescent="0.35">
      <c r="B43" s="221" t="s">
        <v>138</v>
      </c>
      <c r="C43" s="79">
        <f>'ABP Future Assumptions'!C54</f>
        <v>12926.212962962962</v>
      </c>
      <c r="D43" s="151">
        <f>'ABP Future Assumptions'!F40</f>
        <v>0.16907</v>
      </c>
      <c r="E43" s="155">
        <f>SUM(F43:X43)</f>
        <v>347829.93799107475</v>
      </c>
      <c r="F43" s="13">
        <f>(C43*D43*8760)/1000</f>
        <v>19144.409072677776</v>
      </c>
      <c r="G43" s="13">
        <f>F43*'ABP Future Assumptions'!$D$93</f>
        <v>19048.687027314387</v>
      </c>
      <c r="H43" s="13">
        <f>G43*'ABP Future Assumptions'!$D$93</f>
        <v>18953.443592177813</v>
      </c>
      <c r="I43" s="13">
        <f>H43*'ABP Future Assumptions'!$D$93</f>
        <v>18858.676374216924</v>
      </c>
      <c r="J43" s="13">
        <f>I43*'ABP Future Assumptions'!$D$93</f>
        <v>18764.38299234584</v>
      </c>
      <c r="K43" s="13">
        <f>J43*'ABP Future Assumptions'!$D$93</f>
        <v>18670.561077384111</v>
      </c>
      <c r="L43" s="13">
        <f>K43*'ABP Future Assumptions'!$D$93</f>
        <v>18577.208271997191</v>
      </c>
      <c r="M43" s="13">
        <f>L43*'ABP Future Assumptions'!$D$93</f>
        <v>18484.322230637204</v>
      </c>
      <c r="N43" s="13">
        <f>M43*'ABP Future Assumptions'!$D$93</f>
        <v>18391.900619484019</v>
      </c>
      <c r="O43" s="13">
        <f>N43*'ABP Future Assumptions'!$D$93</f>
        <v>18299.941116386599</v>
      </c>
      <c r="P43" s="13">
        <f>O43*'ABP Future Assumptions'!$D$93</f>
        <v>18208.441410804666</v>
      </c>
      <c r="Q43" s="13">
        <f>P43*'ABP Future Assumptions'!$D$93</f>
        <v>18117.399203750643</v>
      </c>
      <c r="R43" s="13">
        <f>Q43*'ABP Future Assumptions'!$D$93</f>
        <v>18026.812207731891</v>
      </c>
      <c r="S43" s="13">
        <f>R43*'ABP Future Assumptions'!$D$93</f>
        <v>17936.678146693233</v>
      </c>
      <c r="T43" s="13">
        <f>S43*'ABP Future Assumptions'!$D$93</f>
        <v>17846.994755959768</v>
      </c>
      <c r="U43" s="13">
        <f>T43*'ABP Future Assumptions'!$D$93</f>
        <v>17757.759782179968</v>
      </c>
      <c r="V43" s="13">
        <f>U43*'ABP Future Assumptions'!$D$93</f>
        <v>17668.970983269068</v>
      </c>
      <c r="W43" s="13">
        <f>V43*'ABP Future Assumptions'!$D$93</f>
        <v>17580.626128352724</v>
      </c>
      <c r="X43" s="13">
        <f>W43*'ABP Future Assumptions'!$D$93</f>
        <v>17492.72299771096</v>
      </c>
    </row>
    <row r="44" spans="2:24" x14ac:dyDescent="0.35">
      <c r="B44" s="221" t="s">
        <v>139</v>
      </c>
      <c r="C44" s="79">
        <f>'ABP Future Assumptions'!C55</f>
        <v>27538.453703703701</v>
      </c>
      <c r="D44" s="151">
        <f>'ABP Future Assumptions'!F41</f>
        <v>0.16907</v>
      </c>
      <c r="E44" s="155">
        <f>SUM(F44:X44)</f>
        <v>741028.99832881137</v>
      </c>
      <c r="F44" s="13">
        <f>(C44*D44*8760)/1000</f>
        <v>40785.914980922214</v>
      </c>
      <c r="G44" s="13">
        <f>F44*'ABP Future Assumptions'!$D$93</f>
        <v>40581.9854060176</v>
      </c>
      <c r="H44" s="13">
        <f>G44*'ABP Future Assumptions'!$D$93</f>
        <v>40379.075478987514</v>
      </c>
      <c r="I44" s="13">
        <f>H44*'ABP Future Assumptions'!$D$93</f>
        <v>40177.180101592574</v>
      </c>
      <c r="J44" s="13">
        <f>I44*'ABP Future Assumptions'!$D$93</f>
        <v>39976.294201084609</v>
      </c>
      <c r="K44" s="13">
        <f>J44*'ABP Future Assumptions'!$D$93</f>
        <v>39776.412730079188</v>
      </c>
      <c r="L44" s="13">
        <f>K44*'ABP Future Assumptions'!$D$93</f>
        <v>39577.530666428793</v>
      </c>
      <c r="M44" s="13">
        <f>L44*'ABP Future Assumptions'!$D$93</f>
        <v>39379.643013096647</v>
      </c>
      <c r="N44" s="13">
        <f>M44*'ABP Future Assumptions'!$D$93</f>
        <v>39182.744798031163</v>
      </c>
      <c r="O44" s="13">
        <f>N44*'ABP Future Assumptions'!$D$93</f>
        <v>38986.831074041009</v>
      </c>
      <c r="P44" s="13">
        <f>O44*'ABP Future Assumptions'!$D$93</f>
        <v>38791.896918670805</v>
      </c>
      <c r="Q44" s="13">
        <f>P44*'ABP Future Assumptions'!$D$93</f>
        <v>38597.937434077452</v>
      </c>
      <c r="R44" s="13">
        <f>Q44*'ABP Future Assumptions'!$D$93</f>
        <v>38404.947746907063</v>
      </c>
      <c r="S44" s="13">
        <f>R44*'ABP Future Assumptions'!$D$93</f>
        <v>38212.923008172525</v>
      </c>
      <c r="T44" s="13">
        <f>S44*'ABP Future Assumptions'!$D$93</f>
        <v>38021.858393131661</v>
      </c>
      <c r="U44" s="13">
        <f>T44*'ABP Future Assumptions'!$D$93</f>
        <v>37831.749101166002</v>
      </c>
      <c r="V44" s="13">
        <f>U44*'ABP Future Assumptions'!$D$93</f>
        <v>37642.59035566017</v>
      </c>
      <c r="W44" s="13">
        <f>V44*'ABP Future Assumptions'!$D$93</f>
        <v>37454.377403881866</v>
      </c>
      <c r="X44" s="13">
        <f>W44*'ABP Future Assumptions'!$D$93</f>
        <v>37267.105516862459</v>
      </c>
    </row>
    <row r="45" spans="2:24" x14ac:dyDescent="0.35">
      <c r="B45" s="221" t="s">
        <v>146</v>
      </c>
      <c r="C45" s="79">
        <f>'ABP Future Assumptions'!C56</f>
        <v>14050.23148148148</v>
      </c>
      <c r="D45" s="151">
        <f>'ABP Future Assumptions'!F42</f>
        <v>0.16907</v>
      </c>
      <c r="E45" s="155">
        <f>SUM(F45:X45)</f>
        <v>378076.01955551596</v>
      </c>
      <c r="F45" s="13">
        <f>(C45*D45*8760)/1000</f>
        <v>20809.140296388887</v>
      </c>
      <c r="G45" s="13">
        <f>F45*'ABP Future Assumptions'!$D$93</f>
        <v>20705.094594906943</v>
      </c>
      <c r="H45" s="13">
        <f>G45*'ABP Future Assumptions'!$D$93</f>
        <v>20601.569121932407</v>
      </c>
      <c r="I45" s="13">
        <f>H45*'ABP Future Assumptions'!$D$93</f>
        <v>20498.561276322744</v>
      </c>
      <c r="J45" s="13">
        <f>I45*'ABP Future Assumptions'!$D$93</f>
        <v>20396.068469941129</v>
      </c>
      <c r="K45" s="13">
        <f>J45*'ABP Future Assumptions'!$D$93</f>
        <v>20294.088127591422</v>
      </c>
      <c r="L45" s="13">
        <f>K45*'ABP Future Assumptions'!$D$93</f>
        <v>20192.617686953465</v>
      </c>
      <c r="M45" s="13">
        <f>L45*'ABP Future Assumptions'!$D$93</f>
        <v>20091.654598518697</v>
      </c>
      <c r="N45" s="13">
        <f>M45*'ABP Future Assumptions'!$D$93</f>
        <v>19991.196325526103</v>
      </c>
      <c r="O45" s="13">
        <f>N45*'ABP Future Assumptions'!$D$93</f>
        <v>19891.240343898473</v>
      </c>
      <c r="P45" s="13">
        <f>O45*'ABP Future Assumptions'!$D$93</f>
        <v>19791.784142178982</v>
      </c>
      <c r="Q45" s="13">
        <f>P45*'ABP Future Assumptions'!$D$93</f>
        <v>19692.825221468087</v>
      </c>
      <c r="R45" s="13">
        <f>Q45*'ABP Future Assumptions'!$D$93</f>
        <v>19594.361095360746</v>
      </c>
      <c r="S45" s="13">
        <f>R45*'ABP Future Assumptions'!$D$93</f>
        <v>19496.38928988394</v>
      </c>
      <c r="T45" s="13">
        <f>S45*'ABP Future Assumptions'!$D$93</f>
        <v>19398.907343434519</v>
      </c>
      <c r="U45" s="13">
        <f>T45*'ABP Future Assumptions'!$D$93</f>
        <v>19301.912806717348</v>
      </c>
      <c r="V45" s="13">
        <f>U45*'ABP Future Assumptions'!$D$93</f>
        <v>19205.403242683762</v>
      </c>
      <c r="W45" s="13">
        <f>V45*'ABP Future Assumptions'!$D$93</f>
        <v>19109.376226470344</v>
      </c>
      <c r="X45" s="13">
        <f>W45*'ABP Future Assumptions'!$D$93</f>
        <v>19013.829345337992</v>
      </c>
    </row>
    <row r="46" spans="2:24" x14ac:dyDescent="0.35">
      <c r="B46" s="221" t="s">
        <v>141</v>
      </c>
      <c r="C46" s="79">
        <f>'ABP Future Assumptions'!C57</f>
        <v>0</v>
      </c>
      <c r="D46" s="151">
        <f>'ABP Future Assumptions'!F43</f>
        <v>0</v>
      </c>
      <c r="E46" s="155"/>
      <c r="F46" s="13"/>
      <c r="G46" s="13"/>
      <c r="H46" s="13"/>
      <c r="I46" s="13"/>
      <c r="J46" s="13"/>
      <c r="K46" s="13"/>
      <c r="L46" s="13"/>
      <c r="M46" s="13"/>
      <c r="N46" s="13"/>
      <c r="O46" s="13"/>
      <c r="P46" s="13"/>
      <c r="Q46" s="13"/>
      <c r="R46" s="13"/>
      <c r="S46" s="13"/>
      <c r="T46" s="13"/>
      <c r="U46" s="13"/>
      <c r="V46" s="13"/>
      <c r="W46" s="13"/>
      <c r="X46" s="13"/>
    </row>
    <row r="47" spans="2:24" x14ac:dyDescent="0.35">
      <c r="B47" s="14" t="s">
        <v>153</v>
      </c>
      <c r="C47" s="79">
        <f>'ABP Future Assumptions'!C58</f>
        <v>26680</v>
      </c>
      <c r="D47" s="157"/>
      <c r="E47" s="154"/>
      <c r="F47" s="156">
        <f t="shared" ref="F47:X47" si="6">SUM(F48:F49)</f>
        <v>0</v>
      </c>
      <c r="G47" s="156">
        <f t="shared" si="6"/>
        <v>39514.499376</v>
      </c>
      <c r="H47" s="156">
        <f t="shared" si="6"/>
        <v>39316.926879120001</v>
      </c>
      <c r="I47" s="156">
        <f t="shared" si="6"/>
        <v>39120.342244724401</v>
      </c>
      <c r="J47" s="156">
        <f t="shared" si="6"/>
        <v>38924.740533500779</v>
      </c>
      <c r="K47" s="156">
        <f t="shared" si="6"/>
        <v>38730.116830833278</v>
      </c>
      <c r="L47" s="156">
        <f t="shared" si="6"/>
        <v>38536.466246679112</v>
      </c>
      <c r="M47" s="156">
        <f t="shared" si="6"/>
        <v>38343.783915445718</v>
      </c>
      <c r="N47" s="156">
        <f t="shared" si="6"/>
        <v>38152.064995868488</v>
      </c>
      <c r="O47" s="156">
        <f t="shared" si="6"/>
        <v>37961.304670889149</v>
      </c>
      <c r="P47" s="156">
        <f t="shared" si="6"/>
        <v>37771.498147534701</v>
      </c>
      <c r="Q47" s="156">
        <f t="shared" si="6"/>
        <v>37582.640656797026</v>
      </c>
      <c r="R47" s="156">
        <f t="shared" si="6"/>
        <v>37394.727453513042</v>
      </c>
      <c r="S47" s="156">
        <f t="shared" si="6"/>
        <v>37207.753816245473</v>
      </c>
      <c r="T47" s="156">
        <f t="shared" si="6"/>
        <v>37021.715047164245</v>
      </c>
      <c r="U47" s="156">
        <f t="shared" si="6"/>
        <v>36836.606471928426</v>
      </c>
      <c r="V47" s="156">
        <f t="shared" si="6"/>
        <v>0</v>
      </c>
      <c r="W47" s="156">
        <f t="shared" si="6"/>
        <v>0</v>
      </c>
      <c r="X47" s="156">
        <f t="shared" si="6"/>
        <v>0</v>
      </c>
    </row>
    <row r="48" spans="2:24" x14ac:dyDescent="0.35">
      <c r="B48" s="179" t="s">
        <v>154</v>
      </c>
      <c r="C48" s="174">
        <f>'ABP Future Assumptions'!C59</f>
        <v>8004</v>
      </c>
      <c r="D48" s="151">
        <f>'ABP Future Assumptions'!F45</f>
        <v>0.16907</v>
      </c>
      <c r="E48" s="155">
        <f>SUM(F48:X48)</f>
        <v>171724.55618587314</v>
      </c>
      <c r="F48" s="13"/>
      <c r="G48" s="13">
        <f>(C48*D48*8760)/1000</f>
        <v>11854.349812800001</v>
      </c>
      <c r="H48" s="13">
        <f>G48*'ABP Future Assumptions'!$D$93</f>
        <v>11795.078063736</v>
      </c>
      <c r="I48" s="13">
        <f>H48*'ABP Future Assumptions'!$D$93</f>
        <v>11736.102673417321</v>
      </c>
      <c r="J48" s="13">
        <f>I48*'ABP Future Assumptions'!$D$93</f>
        <v>11677.422160050235</v>
      </c>
      <c r="K48" s="13">
        <f>J48*'ABP Future Assumptions'!$D$93</f>
        <v>11619.035049249984</v>
      </c>
      <c r="L48" s="13">
        <f>K48*'ABP Future Assumptions'!$D$93</f>
        <v>11560.939874003734</v>
      </c>
      <c r="M48" s="13">
        <f>L48*'ABP Future Assumptions'!$D$93</f>
        <v>11503.135174633715</v>
      </c>
      <c r="N48" s="13">
        <f>M48*'ABP Future Assumptions'!$D$93</f>
        <v>11445.619498760547</v>
      </c>
      <c r="O48" s="13">
        <f>N48*'ABP Future Assumptions'!$D$93</f>
        <v>11388.391401266745</v>
      </c>
      <c r="P48" s="13">
        <f>O48*'ABP Future Assumptions'!$D$93</f>
        <v>11331.44944426041</v>
      </c>
      <c r="Q48" s="13">
        <f>P48*'ABP Future Assumptions'!$D$93</f>
        <v>11274.792197039107</v>
      </c>
      <c r="R48" s="13">
        <f>Q48*'ABP Future Assumptions'!$D$93</f>
        <v>11218.418236053911</v>
      </c>
      <c r="S48" s="13">
        <f>R48*'ABP Future Assumptions'!$D$93</f>
        <v>11162.326144873641</v>
      </c>
      <c r="T48" s="13">
        <f>S48*'ABP Future Assumptions'!$D$93</f>
        <v>11106.514514149272</v>
      </c>
      <c r="U48" s="13">
        <f>T48*'ABP Future Assumptions'!$D$93</f>
        <v>11050.981941578526</v>
      </c>
      <c r="V48" s="149"/>
      <c r="W48" s="149"/>
      <c r="X48" s="149"/>
    </row>
    <row r="49" spans="2:24" x14ac:dyDescent="0.35">
      <c r="B49" s="179" t="s">
        <v>155</v>
      </c>
      <c r="C49" s="174">
        <f>'ABP Future Assumptions'!C67</f>
        <v>18676</v>
      </c>
      <c r="D49" s="151">
        <f>'ABP Future Assumptions'!F46</f>
        <v>0.16907</v>
      </c>
      <c r="E49" s="155">
        <f>SUM(F49:X49)</f>
        <v>400690.63110037067</v>
      </c>
      <c r="F49" s="13"/>
      <c r="G49" s="13">
        <f>(C49*D49*8760)/1000</f>
        <v>27660.149563200001</v>
      </c>
      <c r="H49" s="13">
        <f>G49*'ABP Future Assumptions'!$D$93</f>
        <v>27521.848815384001</v>
      </c>
      <c r="I49" s="13">
        <f>H49*'ABP Future Assumptions'!$D$93</f>
        <v>27384.23957130708</v>
      </c>
      <c r="J49" s="13">
        <f>I49*'ABP Future Assumptions'!$D$93</f>
        <v>27247.318373450544</v>
      </c>
      <c r="K49" s="13">
        <f>J49*'ABP Future Assumptions'!$D$93</f>
        <v>27111.081781583292</v>
      </c>
      <c r="L49" s="13">
        <f>K49*'ABP Future Assumptions'!$D$93</f>
        <v>26975.526372675376</v>
      </c>
      <c r="M49" s="13">
        <f>L49*'ABP Future Assumptions'!$D$93</f>
        <v>26840.648740812001</v>
      </c>
      <c r="N49" s="13">
        <f>M49*'ABP Future Assumptions'!$D$93</f>
        <v>26706.445497107939</v>
      </c>
      <c r="O49" s="13">
        <f>N49*'ABP Future Assumptions'!$D$93</f>
        <v>26572.913269622401</v>
      </c>
      <c r="P49" s="13">
        <f>O49*'ABP Future Assumptions'!$D$93</f>
        <v>26440.048703274289</v>
      </c>
      <c r="Q49" s="13">
        <f>P49*'ABP Future Assumptions'!$D$93</f>
        <v>26307.848459757919</v>
      </c>
      <c r="R49" s="13">
        <f>Q49*'ABP Future Assumptions'!$D$93</f>
        <v>26176.309217459129</v>
      </c>
      <c r="S49" s="13">
        <f>R49*'ABP Future Assumptions'!$D$93</f>
        <v>26045.427671371832</v>
      </c>
      <c r="T49" s="13">
        <f>S49*'ABP Future Assumptions'!$D$93</f>
        <v>25915.200533014973</v>
      </c>
      <c r="U49" s="13">
        <f>T49*'ABP Future Assumptions'!$D$93</f>
        <v>25785.624530349898</v>
      </c>
      <c r="V49" s="149"/>
      <c r="W49" s="149"/>
      <c r="X49" s="149"/>
    </row>
    <row r="50" spans="2:24" x14ac:dyDescent="0.35">
      <c r="B50" s="99" t="s">
        <v>156</v>
      </c>
      <c r="C50" s="79">
        <f>'ABP Future Assumptions'!C75</f>
        <v>133400</v>
      </c>
      <c r="D50" s="157"/>
      <c r="E50" s="154"/>
      <c r="F50" s="156">
        <f t="shared" ref="F50:X50" si="7">SUM(F51:F61)</f>
        <v>172602.59970134808</v>
      </c>
      <c r="G50" s="156">
        <f t="shared" si="7"/>
        <v>171739.58670284133</v>
      </c>
      <c r="H50" s="156">
        <f t="shared" si="7"/>
        <v>170880.88876932714</v>
      </c>
      <c r="I50" s="156">
        <f t="shared" si="7"/>
        <v>170026.4843254805</v>
      </c>
      <c r="J50" s="156">
        <f t="shared" si="7"/>
        <v>169176.35190385312</v>
      </c>
      <c r="K50" s="156">
        <f t="shared" si="7"/>
        <v>168330.47014433384</v>
      </c>
      <c r="L50" s="156">
        <f t="shared" si="7"/>
        <v>167488.81779361214</v>
      </c>
      <c r="M50" s="156">
        <f t="shared" si="7"/>
        <v>166651.37370464409</v>
      </c>
      <c r="N50" s="156">
        <f t="shared" si="7"/>
        <v>165818.11683612087</v>
      </c>
      <c r="O50" s="156">
        <f t="shared" si="7"/>
        <v>164989.02625194026</v>
      </c>
      <c r="P50" s="156">
        <f t="shared" si="7"/>
        <v>164164.08112068055</v>
      </c>
      <c r="Q50" s="156">
        <f t="shared" si="7"/>
        <v>163343.26071507717</v>
      </c>
      <c r="R50" s="156">
        <f t="shared" si="7"/>
        <v>162526.54441150179</v>
      </c>
      <c r="S50" s="156">
        <f t="shared" si="7"/>
        <v>161713.91168944424</v>
      </c>
      <c r="T50" s="156">
        <f t="shared" si="7"/>
        <v>160905.34213099704</v>
      </c>
      <c r="U50" s="156">
        <f t="shared" si="7"/>
        <v>0</v>
      </c>
      <c r="V50" s="156">
        <f t="shared" si="7"/>
        <v>0</v>
      </c>
      <c r="W50" s="156">
        <f t="shared" si="7"/>
        <v>0</v>
      </c>
      <c r="X50" s="156">
        <f t="shared" si="7"/>
        <v>0</v>
      </c>
    </row>
    <row r="51" spans="2:24" x14ac:dyDescent="0.35">
      <c r="B51" s="179" t="s">
        <v>157</v>
      </c>
      <c r="C51" s="174">
        <f>'ABP Future Assumptions'!C76</f>
        <v>40020</v>
      </c>
      <c r="D51" s="104"/>
      <c r="E51" s="154"/>
      <c r="F51" s="153"/>
      <c r="G51" s="153"/>
      <c r="H51" s="153"/>
      <c r="I51" s="153"/>
      <c r="J51" s="153"/>
      <c r="K51" s="153"/>
      <c r="L51" s="153"/>
      <c r="M51" s="153"/>
      <c r="N51" s="153"/>
      <c r="O51" s="153"/>
      <c r="P51" s="153"/>
      <c r="Q51" s="153"/>
      <c r="R51" s="153"/>
      <c r="S51" s="153"/>
      <c r="T51" s="153"/>
      <c r="U51" s="179"/>
      <c r="V51" s="179"/>
      <c r="W51" s="179"/>
      <c r="X51" s="179"/>
    </row>
    <row r="52" spans="2:24" x14ac:dyDescent="0.35">
      <c r="B52" s="221" t="s">
        <v>137</v>
      </c>
      <c r="C52" s="79">
        <f>'ABP Future Assumptions'!C77</f>
        <v>3305.2461204279521</v>
      </c>
      <c r="D52" s="151">
        <f>'ABP Future Assumptions'!F77</f>
        <v>0.15196999999999999</v>
      </c>
      <c r="E52" s="155">
        <f>SUM(F52:X52)</f>
        <v>63741.229695580587</v>
      </c>
      <c r="F52" s="13">
        <f>(C52*D52*8760)/1000</f>
        <v>4400.1326955917775</v>
      </c>
      <c r="G52" s="13">
        <f>F52*'ABP Future Assumptions'!$D$93</f>
        <v>4378.1320321138182</v>
      </c>
      <c r="H52" s="13">
        <f>G52*'ABP Future Assumptions'!$D$93</f>
        <v>4356.2413719532487</v>
      </c>
      <c r="I52" s="13">
        <f>H52*'ABP Future Assumptions'!$D$93</f>
        <v>4334.4601650934828</v>
      </c>
      <c r="J52" s="13">
        <f>I52*'ABP Future Assumptions'!$D$93</f>
        <v>4312.7878642680153</v>
      </c>
      <c r="K52" s="13">
        <f>J52*'ABP Future Assumptions'!$D$93</f>
        <v>4291.2239249466747</v>
      </c>
      <c r="L52" s="13">
        <f>K52*'ABP Future Assumptions'!$D$93</f>
        <v>4269.7678053219415</v>
      </c>
      <c r="M52" s="13">
        <f>L52*'ABP Future Assumptions'!$D$93</f>
        <v>4248.4189662953322</v>
      </c>
      <c r="N52" s="13">
        <f>M52*'ABP Future Assumptions'!$D$93</f>
        <v>4227.1768714638556</v>
      </c>
      <c r="O52" s="13">
        <f>N52*'ABP Future Assumptions'!$D$93</f>
        <v>4206.0409871065367</v>
      </c>
      <c r="P52" s="13">
        <f>O52*'ABP Future Assumptions'!$D$93</f>
        <v>4185.0107821710044</v>
      </c>
      <c r="Q52" s="13">
        <f>P52*'ABP Future Assumptions'!$D$93</f>
        <v>4164.0857282601492</v>
      </c>
      <c r="R52" s="13">
        <f>Q52*'ABP Future Assumptions'!$D$93</f>
        <v>4143.2652996188481</v>
      </c>
      <c r="S52" s="13">
        <f>R52*'ABP Future Assumptions'!$D$93</f>
        <v>4122.5489731207535</v>
      </c>
      <c r="T52" s="13">
        <f>S52*'ABP Future Assumptions'!$D$93</f>
        <v>4101.9362282551501</v>
      </c>
      <c r="U52" s="149"/>
      <c r="V52" s="149"/>
      <c r="W52" s="149"/>
      <c r="X52" s="149"/>
    </row>
    <row r="53" spans="2:24" x14ac:dyDescent="0.35">
      <c r="B53" s="221" t="s">
        <v>138</v>
      </c>
      <c r="C53" s="79">
        <f>'ABP Future Assumptions'!C78</f>
        <v>2553.1450264857485</v>
      </c>
      <c r="D53" s="151">
        <f>'ABP Future Assumptions'!F78</f>
        <v>0.14819000000000002</v>
      </c>
      <c r="E53" s="155">
        <f>SUM(F53:X53)</f>
        <v>48012.37094526986</v>
      </c>
      <c r="F53" s="13">
        <f>(C53*D53*8760)/1000</f>
        <v>3314.3509185203261</v>
      </c>
      <c r="G53" s="13">
        <f>F53*'ABP Future Assumptions'!$D$93</f>
        <v>3297.7791639277243</v>
      </c>
      <c r="H53" s="13">
        <f>G53*'ABP Future Assumptions'!$D$93</f>
        <v>3281.2902681080855</v>
      </c>
      <c r="I53" s="13">
        <f>H53*'ABP Future Assumptions'!$D$93</f>
        <v>3264.8838167675449</v>
      </c>
      <c r="J53" s="13">
        <f>I53*'ABP Future Assumptions'!$D$93</f>
        <v>3248.5593976837072</v>
      </c>
      <c r="K53" s="13">
        <f>J53*'ABP Future Assumptions'!$D$93</f>
        <v>3232.3166006952888</v>
      </c>
      <c r="L53" s="13">
        <f>K53*'ABP Future Assumptions'!$D$93</f>
        <v>3216.1550176918122</v>
      </c>
      <c r="M53" s="13">
        <f>L53*'ABP Future Assumptions'!$D$93</f>
        <v>3200.074242603353</v>
      </c>
      <c r="N53" s="13">
        <f>M53*'ABP Future Assumptions'!$D$93</f>
        <v>3184.0738713903361</v>
      </c>
      <c r="O53" s="13">
        <f>N53*'ABP Future Assumptions'!$D$93</f>
        <v>3168.1535020333845</v>
      </c>
      <c r="P53" s="13">
        <f>O53*'ABP Future Assumptions'!$D$93</f>
        <v>3152.3127345232174</v>
      </c>
      <c r="Q53" s="13">
        <f>P53*'ABP Future Assumptions'!$D$93</f>
        <v>3136.5511708506015</v>
      </c>
      <c r="R53" s="13">
        <f>Q53*'ABP Future Assumptions'!$D$93</f>
        <v>3120.8684149963483</v>
      </c>
      <c r="S53" s="13">
        <f>R53*'ABP Future Assumptions'!$D$93</f>
        <v>3105.2640729213667</v>
      </c>
      <c r="T53" s="13">
        <f>S53*'ABP Future Assumptions'!$D$93</f>
        <v>3089.7377525567599</v>
      </c>
      <c r="U53" s="149"/>
      <c r="V53" s="149"/>
      <c r="W53" s="149"/>
      <c r="X53" s="149"/>
    </row>
    <row r="54" spans="2:24" x14ac:dyDescent="0.35">
      <c r="B54" s="221" t="s">
        <v>139</v>
      </c>
      <c r="C54" s="79">
        <f>'ABP Future Assumptions'!C79</f>
        <v>5926.6545474380619</v>
      </c>
      <c r="D54" s="151">
        <f>'ABP Future Assumptions'!F79</f>
        <v>0.15303</v>
      </c>
      <c r="E54" s="155">
        <f>SUM(F54:X54)</f>
        <v>115091.95364094165</v>
      </c>
      <c r="F54" s="13">
        <f>(C54*D54*8760)/1000</f>
        <v>7944.9340816553522</v>
      </c>
      <c r="G54" s="13">
        <f>F54*'ABP Future Assumptions'!$D$93</f>
        <v>7905.209411247075</v>
      </c>
      <c r="H54" s="13">
        <f>G54*'ABP Future Assumptions'!$D$93</f>
        <v>7865.6833641908397</v>
      </c>
      <c r="I54" s="13">
        <f>H54*'ABP Future Assumptions'!$D$93</f>
        <v>7826.3549473698858</v>
      </c>
      <c r="J54" s="13">
        <f>I54*'ABP Future Assumptions'!$D$93</f>
        <v>7787.2231726330365</v>
      </c>
      <c r="K54" s="13">
        <f>J54*'ABP Future Assumptions'!$D$93</f>
        <v>7748.287056769871</v>
      </c>
      <c r="L54" s="13">
        <f>K54*'ABP Future Assumptions'!$D$93</f>
        <v>7709.5456214860214</v>
      </c>
      <c r="M54" s="13">
        <f>L54*'ABP Future Assumptions'!$D$93</f>
        <v>7670.9978933785915</v>
      </c>
      <c r="N54" s="13">
        <f>M54*'ABP Future Assumptions'!$D$93</f>
        <v>7632.6429039116983</v>
      </c>
      <c r="O54" s="13">
        <f>N54*'ABP Future Assumptions'!$D$93</f>
        <v>7594.4796893921402</v>
      </c>
      <c r="P54" s="13">
        <f>O54*'ABP Future Assumptions'!$D$93</f>
        <v>7556.5072909451792</v>
      </c>
      <c r="Q54" s="13">
        <f>P54*'ABP Future Assumptions'!$D$93</f>
        <v>7518.7247544904531</v>
      </c>
      <c r="R54" s="13">
        <f>Q54*'ABP Future Assumptions'!$D$93</f>
        <v>7481.1311307180003</v>
      </c>
      <c r="S54" s="13">
        <f>R54*'ABP Future Assumptions'!$D$93</f>
        <v>7443.7254750644106</v>
      </c>
      <c r="T54" s="13">
        <f>S54*'ABP Future Assumptions'!$D$93</f>
        <v>7406.5068476890883</v>
      </c>
      <c r="U54" s="149"/>
      <c r="V54" s="149"/>
      <c r="W54" s="149"/>
      <c r="X54" s="149"/>
    </row>
    <row r="55" spans="2:24" x14ac:dyDescent="0.35">
      <c r="B55" s="221" t="s">
        <v>146</v>
      </c>
      <c r="C55" s="79">
        <f>'ABP Future Assumptions'!C80</f>
        <v>28234.872699670323</v>
      </c>
      <c r="D55" s="151">
        <f>'ABP Future Assumptions'!F80</f>
        <v>0.14410999999999999</v>
      </c>
      <c r="E55" s="155">
        <f>SUM(F55:X55)</f>
        <v>516343.50943177368</v>
      </c>
      <c r="F55" s="13">
        <f>(C55*D55*8760)/1000</f>
        <v>35643.804941605529</v>
      </c>
      <c r="G55" s="13">
        <f>F55*'ABP Future Assumptions'!$D$93</f>
        <v>35465.5859168975</v>
      </c>
      <c r="H55" s="13">
        <f>G55*'ABP Future Assumptions'!$D$93</f>
        <v>35288.257987313016</v>
      </c>
      <c r="I55" s="13">
        <f>H55*'ABP Future Assumptions'!$D$93</f>
        <v>35111.816697376453</v>
      </c>
      <c r="J55" s="13">
        <f>I55*'ABP Future Assumptions'!$D$93</f>
        <v>34936.257613889567</v>
      </c>
      <c r="K55" s="13">
        <f>J55*'ABP Future Assumptions'!$D$93</f>
        <v>34761.576325820119</v>
      </c>
      <c r="L55" s="13">
        <f>K55*'ABP Future Assumptions'!$D$93</f>
        <v>34587.768444191017</v>
      </c>
      <c r="M55" s="13">
        <f>L55*'ABP Future Assumptions'!$D$93</f>
        <v>34414.829601970065</v>
      </c>
      <c r="N55" s="13">
        <f>M55*'ABP Future Assumptions'!$D$93</f>
        <v>34242.755453960213</v>
      </c>
      <c r="O55" s="13">
        <f>N55*'ABP Future Assumptions'!$D$93</f>
        <v>34071.541676690409</v>
      </c>
      <c r="P55" s="13">
        <f>O55*'ABP Future Assumptions'!$D$93</f>
        <v>33901.183968306956</v>
      </c>
      <c r="Q55" s="13">
        <f>P55*'ABP Future Assumptions'!$D$93</f>
        <v>33731.678048465423</v>
      </c>
      <c r="R55" s="13">
        <f>Q55*'ABP Future Assumptions'!$D$93</f>
        <v>33563.019658223093</v>
      </c>
      <c r="S55" s="13">
        <f>R55*'ABP Future Assumptions'!$D$93</f>
        <v>33395.204559931975</v>
      </c>
      <c r="T55" s="13">
        <f>S55*'ABP Future Assumptions'!$D$93</f>
        <v>33228.228537132316</v>
      </c>
      <c r="U55" s="149"/>
      <c r="V55" s="149"/>
      <c r="W55" s="149"/>
      <c r="X55" s="149"/>
    </row>
    <row r="56" spans="2:24" x14ac:dyDescent="0.35">
      <c r="B56" s="221" t="s">
        <v>141</v>
      </c>
      <c r="C56" s="79">
        <f>'ABP Future Assumptions'!C81</f>
        <v>0</v>
      </c>
      <c r="D56" s="151">
        <f>'ABP Future Assumptions'!F81</f>
        <v>0.14399999999999999</v>
      </c>
      <c r="E56" s="155"/>
      <c r="F56" s="13"/>
      <c r="G56" s="13"/>
      <c r="H56" s="13"/>
      <c r="I56" s="13"/>
      <c r="J56" s="13"/>
      <c r="K56" s="13"/>
      <c r="L56" s="13"/>
      <c r="M56" s="13"/>
      <c r="N56" s="13"/>
      <c r="O56" s="13"/>
      <c r="P56" s="13"/>
      <c r="Q56" s="13"/>
      <c r="R56" s="13"/>
      <c r="S56" s="13"/>
      <c r="T56" s="13"/>
      <c r="U56" s="149"/>
      <c r="V56" s="149"/>
      <c r="W56" s="149"/>
      <c r="X56" s="149"/>
    </row>
    <row r="57" spans="2:24" x14ac:dyDescent="0.35">
      <c r="B57" s="179" t="s">
        <v>158</v>
      </c>
      <c r="C57" s="174">
        <f>'ABP Future Assumptions'!C82</f>
        <v>93380</v>
      </c>
      <c r="D57" s="104"/>
      <c r="E57" s="154"/>
      <c r="F57" s="13"/>
      <c r="G57" s="13"/>
      <c r="H57" s="153"/>
      <c r="I57" s="153"/>
      <c r="J57" s="153"/>
      <c r="K57" s="153"/>
      <c r="L57" s="153"/>
      <c r="M57" s="153"/>
      <c r="N57" s="153"/>
      <c r="O57" s="153"/>
      <c r="P57" s="153"/>
      <c r="Q57" s="153"/>
      <c r="R57" s="153"/>
      <c r="S57" s="153"/>
      <c r="T57" s="153"/>
      <c r="U57" s="179"/>
      <c r="V57" s="179"/>
      <c r="W57" s="179"/>
      <c r="X57" s="179"/>
    </row>
    <row r="58" spans="2:24" x14ac:dyDescent="0.35">
      <c r="B58" s="221" t="s">
        <v>143</v>
      </c>
      <c r="C58" s="79">
        <f>'ABP Future Assumptions'!C83</f>
        <v>3531.4549095663756</v>
      </c>
      <c r="D58" s="151">
        <f>'ABP Future Assumptions'!F83</f>
        <v>0.14305999999999999</v>
      </c>
      <c r="E58" s="152">
        <f>SUM(F58:X58)</f>
        <v>64110.72027844868</v>
      </c>
      <c r="F58" s="13">
        <f>(C58*D58*8760)/1000</f>
        <v>4425.6390688160755</v>
      </c>
      <c r="G58" s="13">
        <f>F58*'ABP Future Assumptions'!$D$93</f>
        <v>4403.5108734719952</v>
      </c>
      <c r="H58" s="13">
        <f>G58*'ABP Future Assumptions'!$D$93</f>
        <v>4381.4933191046348</v>
      </c>
      <c r="I58" s="13">
        <f>H58*'ABP Future Assumptions'!$D$93</f>
        <v>4359.5858525091116</v>
      </c>
      <c r="J58" s="13">
        <f>I58*'ABP Future Assumptions'!$D$93</f>
        <v>4337.7879232465657</v>
      </c>
      <c r="K58" s="13">
        <f>J58*'ABP Future Assumptions'!$D$93</f>
        <v>4316.0989836303324</v>
      </c>
      <c r="L58" s="13">
        <f>K58*'ABP Future Assumptions'!$D$93</f>
        <v>4294.5184887121804</v>
      </c>
      <c r="M58" s="13">
        <f>L58*'ABP Future Assumptions'!$D$93</f>
        <v>4273.0458962686198</v>
      </c>
      <c r="N58" s="13">
        <f>M58*'ABP Future Assumptions'!$D$93</f>
        <v>4251.680666787277</v>
      </c>
      <c r="O58" s="13">
        <f>N58*'ABP Future Assumptions'!$D$93</f>
        <v>4230.4222634533407</v>
      </c>
      <c r="P58" s="13">
        <f>O58*'ABP Future Assumptions'!$D$93</f>
        <v>4209.2701521360741</v>
      </c>
      <c r="Q58" s="13">
        <f>P58*'ABP Future Assumptions'!$D$93</f>
        <v>4188.223801375394</v>
      </c>
      <c r="R58" s="13">
        <f>Q58*'ABP Future Assumptions'!$D$93</f>
        <v>4167.2826823685173</v>
      </c>
      <c r="S58" s="13">
        <f>R58*'ABP Future Assumptions'!$D$93</f>
        <v>4146.4462689566744</v>
      </c>
      <c r="T58" s="13">
        <f>S58*'ABP Future Assumptions'!$D$93</f>
        <v>4125.7140376118914</v>
      </c>
      <c r="U58" s="149"/>
      <c r="V58" s="149"/>
      <c r="W58" s="149"/>
      <c r="X58" s="149"/>
    </row>
    <row r="59" spans="2:24" x14ac:dyDescent="0.35">
      <c r="B59" s="221" t="s">
        <v>138</v>
      </c>
      <c r="C59" s="79">
        <f>'ABP Future Assumptions'!C84</f>
        <v>2749.9472612294699</v>
      </c>
      <c r="D59" s="151">
        <f>'ABP Future Assumptions'!F84</f>
        <v>0.14176</v>
      </c>
      <c r="E59" s="152">
        <f>SUM(F59:X59)</f>
        <v>49469.42238949734</v>
      </c>
      <c r="F59" s="13">
        <f>(C59*D59*8760)/1000</f>
        <v>3414.9329080665534</v>
      </c>
      <c r="G59" s="13">
        <f>F59*'ABP Future Assumptions'!$D$93</f>
        <v>3397.8582435262206</v>
      </c>
      <c r="H59" s="13">
        <f>G59*'ABP Future Assumptions'!$D$93</f>
        <v>3380.8689523085895</v>
      </c>
      <c r="I59" s="13">
        <f>H59*'ABP Future Assumptions'!$D$93</f>
        <v>3363.9646075470464</v>
      </c>
      <c r="J59" s="13">
        <f>I59*'ABP Future Assumptions'!$D$93</f>
        <v>3347.1447845093112</v>
      </c>
      <c r="K59" s="13">
        <f>J59*'ABP Future Assumptions'!$D$93</f>
        <v>3330.4090605867646</v>
      </c>
      <c r="L59" s="13">
        <f>K59*'ABP Future Assumptions'!$D$93</f>
        <v>3313.7570152838307</v>
      </c>
      <c r="M59" s="13">
        <f>L59*'ABP Future Assumptions'!$D$93</f>
        <v>3297.1882302074114</v>
      </c>
      <c r="N59" s="13">
        <f>M59*'ABP Future Assumptions'!$D$93</f>
        <v>3280.7022890563744</v>
      </c>
      <c r="O59" s="13">
        <f>N59*'ABP Future Assumptions'!$D$93</f>
        <v>3264.2987776110926</v>
      </c>
      <c r="P59" s="13">
        <f>O59*'ABP Future Assumptions'!$D$93</f>
        <v>3247.9772837230371</v>
      </c>
      <c r="Q59" s="13">
        <f>P59*'ABP Future Assumptions'!$D$93</f>
        <v>3231.7373973044218</v>
      </c>
      <c r="R59" s="13">
        <f>Q59*'ABP Future Assumptions'!$D$93</f>
        <v>3215.5787103178995</v>
      </c>
      <c r="S59" s="13">
        <f>R59*'ABP Future Assumptions'!$D$93</f>
        <v>3199.50081676631</v>
      </c>
      <c r="T59" s="13">
        <f>S59*'ABP Future Assumptions'!$D$93</f>
        <v>3183.5033126824783</v>
      </c>
      <c r="U59" s="149"/>
      <c r="V59" s="149"/>
      <c r="W59" s="149"/>
      <c r="X59" s="149"/>
    </row>
    <row r="60" spans="2:24" x14ac:dyDescent="0.35">
      <c r="B60" s="221" t="s">
        <v>139</v>
      </c>
      <c r="C60" s="79">
        <f>'ABP Future Assumptions'!C85</f>
        <v>10192.344615055583</v>
      </c>
      <c r="D60" s="151">
        <f>'ABP Future Assumptions'!F85</f>
        <v>0.14119000000000001</v>
      </c>
      <c r="E60" s="152">
        <f>SUM(F60:X60)</f>
        <v>182615.15131711276</v>
      </c>
      <c r="F60" s="13">
        <f>(C60*D60*8760)/1000</f>
        <v>12606.140513109354</v>
      </c>
      <c r="G60" s="13">
        <f>F60*'ABP Future Assumptions'!$D$93</f>
        <v>12543.109810543807</v>
      </c>
      <c r="H60" s="13">
        <f>G60*'ABP Future Assumptions'!$D$93</f>
        <v>12480.394261491088</v>
      </c>
      <c r="I60" s="13">
        <f>H60*'ABP Future Assumptions'!$D$93</f>
        <v>12417.992290183633</v>
      </c>
      <c r="J60" s="13">
        <f>I60*'ABP Future Assumptions'!$D$93</f>
        <v>12355.902328732715</v>
      </c>
      <c r="K60" s="13">
        <f>J60*'ABP Future Assumptions'!$D$93</f>
        <v>12294.122817089052</v>
      </c>
      <c r="L60" s="13">
        <f>K60*'ABP Future Assumptions'!$D$93</f>
        <v>12232.652203003607</v>
      </c>
      <c r="M60" s="13">
        <f>L60*'ABP Future Assumptions'!$D$93</f>
        <v>12171.488941988589</v>
      </c>
      <c r="N60" s="13">
        <f>M60*'ABP Future Assumptions'!$D$93</f>
        <v>12110.631497278646</v>
      </c>
      <c r="O60" s="13">
        <f>N60*'ABP Future Assumptions'!$D$93</f>
        <v>12050.078339792253</v>
      </c>
      <c r="P60" s="13">
        <f>O60*'ABP Future Assumptions'!$D$93</f>
        <v>11989.827948093292</v>
      </c>
      <c r="Q60" s="13">
        <f>P60*'ABP Future Assumptions'!$D$93</f>
        <v>11929.878808352825</v>
      </c>
      <c r="R60" s="13">
        <f>Q60*'ABP Future Assumptions'!$D$93</f>
        <v>11870.229414311061</v>
      </c>
      <c r="S60" s="13">
        <f>R60*'ABP Future Assumptions'!$D$93</f>
        <v>11810.878267239506</v>
      </c>
      <c r="T60" s="13">
        <f>S60*'ABP Future Assumptions'!$D$93</f>
        <v>11751.823875903308</v>
      </c>
      <c r="U60" s="149"/>
      <c r="V60" s="149"/>
      <c r="W60" s="149"/>
      <c r="X60" s="149"/>
    </row>
    <row r="61" spans="2:24" x14ac:dyDescent="0.35">
      <c r="B61" s="221" t="s">
        <v>146</v>
      </c>
      <c r="C61" s="79">
        <f>'ABP Future Assumptions'!C86</f>
        <v>76906.220793171669</v>
      </c>
      <c r="D61" s="151">
        <f>'ABP Future Assumptions'!F86</f>
        <v>0.1497</v>
      </c>
      <c r="E61" s="150">
        <f>SUM(F61:X61)</f>
        <v>1460972.4985025774</v>
      </c>
      <c r="F61" s="13">
        <f>(C61*D61*8760)/1000</f>
        <v>100852.66457398311</v>
      </c>
      <c r="G61" s="13">
        <f>F61*'ABP Future Assumptions'!$D$93</f>
        <v>100348.4012511132</v>
      </c>
      <c r="H61" s="13">
        <f>G61*'ABP Future Assumptions'!$D$93</f>
        <v>99846.659244857641</v>
      </c>
      <c r="I61" s="13">
        <f>H61*'ABP Future Assumptions'!$D$93</f>
        <v>99347.425948633347</v>
      </c>
      <c r="J61" s="13">
        <f>I61*'ABP Future Assumptions'!$D$93</f>
        <v>98850.688818890179</v>
      </c>
      <c r="K61" s="13">
        <f>J61*'ABP Future Assumptions'!$D$93</f>
        <v>98356.435374795721</v>
      </c>
      <c r="L61" s="13">
        <f>K61*'ABP Future Assumptions'!$D$93</f>
        <v>97864.65319792174</v>
      </c>
      <c r="M61" s="13">
        <f>L61*'ABP Future Assumptions'!$D$93</f>
        <v>97375.329931932138</v>
      </c>
      <c r="N61" s="13">
        <f>M61*'ABP Future Assumptions'!$D$93</f>
        <v>96888.453282272472</v>
      </c>
      <c r="O61" s="13">
        <f>N61*'ABP Future Assumptions'!$D$93</f>
        <v>96404.011015861106</v>
      </c>
      <c r="P61" s="13">
        <f>O61*'ABP Future Assumptions'!$D$93</f>
        <v>95921.990960781797</v>
      </c>
      <c r="Q61" s="13">
        <f>P61*'ABP Future Assumptions'!$D$93</f>
        <v>95442.381005977892</v>
      </c>
      <c r="R61" s="13">
        <f>Q61*'ABP Future Assumptions'!$D$93</f>
        <v>94965.169100947998</v>
      </c>
      <c r="S61" s="13">
        <f>R61*'ABP Future Assumptions'!$D$93</f>
        <v>94490.343255443251</v>
      </c>
      <c r="T61" s="13">
        <f>S61*'ABP Future Assumptions'!$D$93</f>
        <v>94017.891539166041</v>
      </c>
      <c r="U61" s="149"/>
      <c r="V61" s="149"/>
      <c r="W61" s="149"/>
      <c r="X61" s="149"/>
    </row>
    <row r="62" spans="2:24" x14ac:dyDescent="0.35">
      <c r="B62" s="221" t="s">
        <v>141</v>
      </c>
      <c r="C62" s="79">
        <f>'ABP Future Assumptions'!C87</f>
        <v>0</v>
      </c>
      <c r="D62" s="151">
        <f>'ABP Future Assumptions'!F87</f>
        <v>0.15</v>
      </c>
      <c r="E62" s="150"/>
      <c r="F62" s="13"/>
      <c r="G62" s="13"/>
      <c r="H62" s="13"/>
      <c r="I62" s="13"/>
      <c r="J62" s="13"/>
      <c r="K62" s="13"/>
      <c r="L62" s="13"/>
      <c r="M62" s="13"/>
      <c r="N62" s="13"/>
      <c r="O62" s="13"/>
      <c r="P62" s="13"/>
      <c r="Q62" s="13"/>
      <c r="R62" s="13"/>
      <c r="S62" s="13"/>
      <c r="T62" s="13"/>
      <c r="U62" s="149"/>
      <c r="V62" s="149"/>
      <c r="W62" s="149"/>
      <c r="X62" s="149"/>
    </row>
    <row r="64" spans="2:24" x14ac:dyDescent="0.35">
      <c r="B64" s="148" t="s">
        <v>168</v>
      </c>
    </row>
    <row r="65" spans="2:24" x14ac:dyDescent="0.35">
      <c r="B65" s="221"/>
    </row>
    <row r="66" spans="2:24" ht="15.5" x14ac:dyDescent="0.35">
      <c r="B66" s="179"/>
      <c r="C66" s="220" t="s">
        <v>164</v>
      </c>
      <c r="D66" s="220" t="s">
        <v>169</v>
      </c>
      <c r="E66" s="220" t="s">
        <v>170</v>
      </c>
      <c r="F66" s="220" t="s">
        <v>23</v>
      </c>
      <c r="G66" s="220" t="s">
        <v>24</v>
      </c>
      <c r="H66" s="220" t="s">
        <v>25</v>
      </c>
      <c r="I66" s="220" t="s">
        <v>26</v>
      </c>
      <c r="J66" s="220" t="s">
        <v>27</v>
      </c>
      <c r="K66" s="220" t="s">
        <v>28</v>
      </c>
      <c r="L66" s="220" t="s">
        <v>29</v>
      </c>
      <c r="M66" s="220" t="s">
        <v>30</v>
      </c>
      <c r="N66" s="220" t="s">
        <v>31</v>
      </c>
      <c r="O66" s="220" t="s">
        <v>32</v>
      </c>
      <c r="P66" s="220" t="s">
        <v>33</v>
      </c>
      <c r="Q66" s="220" t="s">
        <v>34</v>
      </c>
      <c r="R66" s="220" t="s">
        <v>35</v>
      </c>
      <c r="S66" s="220" t="s">
        <v>36</v>
      </c>
      <c r="T66" s="220" t="s">
        <v>37</v>
      </c>
      <c r="U66" s="220" t="s">
        <v>38</v>
      </c>
      <c r="V66" s="220" t="s">
        <v>39</v>
      </c>
      <c r="W66" s="220" t="s">
        <v>40</v>
      </c>
      <c r="X66" s="220" t="s">
        <v>163</v>
      </c>
    </row>
    <row r="67" spans="2:24" ht="15.5" x14ac:dyDescent="0.35">
      <c r="B67" s="184" t="s">
        <v>167</v>
      </c>
      <c r="C67" s="220"/>
      <c r="D67" s="220"/>
      <c r="E67" s="146">
        <f>SUM(E70:E123)</f>
        <v>828096973.31247175</v>
      </c>
      <c r="F67" s="220">
        <v>2025</v>
      </c>
      <c r="G67" s="220">
        <f t="shared" ref="G67:X67" si="8">F67+1</f>
        <v>2026</v>
      </c>
      <c r="H67" s="220">
        <f t="shared" si="8"/>
        <v>2027</v>
      </c>
      <c r="I67" s="220">
        <f t="shared" si="8"/>
        <v>2028</v>
      </c>
      <c r="J67" s="220">
        <f t="shared" si="8"/>
        <v>2029</v>
      </c>
      <c r="K67" s="220">
        <f t="shared" si="8"/>
        <v>2030</v>
      </c>
      <c r="L67" s="220">
        <f t="shared" si="8"/>
        <v>2031</v>
      </c>
      <c r="M67" s="220">
        <f t="shared" si="8"/>
        <v>2032</v>
      </c>
      <c r="N67" s="220">
        <f t="shared" si="8"/>
        <v>2033</v>
      </c>
      <c r="O67" s="220">
        <f t="shared" si="8"/>
        <v>2034</v>
      </c>
      <c r="P67" s="220">
        <f t="shared" si="8"/>
        <v>2035</v>
      </c>
      <c r="Q67" s="220">
        <f t="shared" si="8"/>
        <v>2036</v>
      </c>
      <c r="R67" s="220">
        <f t="shared" si="8"/>
        <v>2037</v>
      </c>
      <c r="S67" s="220">
        <f t="shared" si="8"/>
        <v>2038</v>
      </c>
      <c r="T67" s="220">
        <f t="shared" si="8"/>
        <v>2039</v>
      </c>
      <c r="U67" s="220">
        <f t="shared" si="8"/>
        <v>2040</v>
      </c>
      <c r="V67" s="220">
        <f t="shared" si="8"/>
        <v>2041</v>
      </c>
      <c r="W67" s="220">
        <f t="shared" si="8"/>
        <v>2042</v>
      </c>
      <c r="X67" s="220">
        <f t="shared" si="8"/>
        <v>2043</v>
      </c>
    </row>
    <row r="68" spans="2:24" x14ac:dyDescent="0.35">
      <c r="B68" s="98" t="s">
        <v>88</v>
      </c>
      <c r="C68" s="145">
        <f>C70+C77+C90+C93+C108+C111</f>
        <v>667000</v>
      </c>
      <c r="D68" s="147"/>
      <c r="E68" s="146"/>
      <c r="F68" s="146"/>
      <c r="G68" s="146"/>
      <c r="H68" s="146"/>
      <c r="I68" s="146"/>
      <c r="J68" s="146"/>
      <c r="K68" s="146"/>
      <c r="L68" s="146"/>
      <c r="M68" s="146"/>
      <c r="N68" s="146"/>
      <c r="O68" s="146"/>
      <c r="P68" s="146"/>
      <c r="Q68" s="146"/>
      <c r="R68" s="146"/>
      <c r="S68" s="146"/>
      <c r="T68" s="146"/>
      <c r="U68" s="146"/>
      <c r="V68" s="146"/>
      <c r="W68" s="146"/>
      <c r="X68" s="146"/>
    </row>
    <row r="69" spans="2:24" x14ac:dyDescent="0.35">
      <c r="B69" s="98" t="s">
        <v>128</v>
      </c>
      <c r="C69" s="145">
        <f>C72+C73+C75+C76+C79+C80+C81+C82+C85+C86+C87+C88+C91+C92+C95+C96+C97+C98+C99+C102+C103+C104+C105+C106+C109+C110+C113+C114+C115+C116+C119+C120+C121+C122</f>
        <v>666999.78334878595</v>
      </c>
      <c r="D69" s="101"/>
      <c r="E69" s="18">
        <f t="shared" ref="E69:X69" si="9">E70+E77+E90+E93+E108+E111</f>
        <v>828096973.31247175</v>
      </c>
      <c r="F69" s="18">
        <f>F70+F77+F90+F93+F108+F111</f>
        <v>204284231.95154271</v>
      </c>
      <c r="G69" s="18">
        <f>G70+G77+G90+G93+G108+G111</f>
        <v>61383552.303259507</v>
      </c>
      <c r="H69" s="18">
        <f t="shared" si="9"/>
        <v>60958581.442118526</v>
      </c>
      <c r="I69" s="18">
        <f t="shared" si="9"/>
        <v>60847299.972295299</v>
      </c>
      <c r="J69" s="18">
        <f t="shared" si="9"/>
        <v>60736574.909821197</v>
      </c>
      <c r="K69" s="18">
        <f t="shared" si="9"/>
        <v>60626403.472659454</v>
      </c>
      <c r="L69" s="18">
        <f t="shared" si="9"/>
        <v>60516782.892683521</v>
      </c>
      <c r="M69" s="18">
        <f t="shared" si="9"/>
        <v>27028636.133314371</v>
      </c>
      <c r="N69" s="18">
        <f t="shared" si="9"/>
        <v>21596895.823442794</v>
      </c>
      <c r="O69" s="18">
        <f t="shared" si="9"/>
        <v>21488911.344325576</v>
      </c>
      <c r="P69" s="18">
        <f t="shared" si="9"/>
        <v>21381466.787603952</v>
      </c>
      <c r="Q69" s="18">
        <f t="shared" si="9"/>
        <v>21274559.453665931</v>
      </c>
      <c r="R69" s="18">
        <f t="shared" si="9"/>
        <v>21168186.656397596</v>
      </c>
      <c r="S69" s="18">
        <f t="shared" si="9"/>
        <v>21062345.723115612</v>
      </c>
      <c r="T69" s="18">
        <f t="shared" si="9"/>
        <v>20957033.99450003</v>
      </c>
      <c r="U69" s="18">
        <f t="shared" si="9"/>
        <v>20852248.824527532</v>
      </c>
      <c r="V69" s="18">
        <f t="shared" si="9"/>
        <v>20747987.580404893</v>
      </c>
      <c r="W69" s="18">
        <f t="shared" si="9"/>
        <v>20644247.64250287</v>
      </c>
      <c r="X69" s="18">
        <f t="shared" si="9"/>
        <v>20541026.404290356</v>
      </c>
    </row>
    <row r="70" spans="2:24" x14ac:dyDescent="0.35">
      <c r="B70" s="14" t="s">
        <v>129</v>
      </c>
      <c r="C70" s="79">
        <f>'ABP Future Assumptions'!C6</f>
        <v>120060</v>
      </c>
      <c r="D70" s="102"/>
      <c r="E70" s="18">
        <f>SUM(F70:Y70)</f>
        <v>160339848.81633624</v>
      </c>
      <c r="F70" s="144">
        <f t="shared" ref="F70:X70" si="10">F72+F73+F75+F76</f>
        <v>160339848.81633624</v>
      </c>
      <c r="G70" s="144">
        <f t="shared" si="10"/>
        <v>0</v>
      </c>
      <c r="H70" s="144">
        <f t="shared" si="10"/>
        <v>0</v>
      </c>
      <c r="I70" s="144">
        <f t="shared" si="10"/>
        <v>0</v>
      </c>
      <c r="J70" s="144">
        <f t="shared" si="10"/>
        <v>0</v>
      </c>
      <c r="K70" s="144">
        <f t="shared" si="10"/>
        <v>0</v>
      </c>
      <c r="L70" s="144">
        <f t="shared" si="10"/>
        <v>0</v>
      </c>
      <c r="M70" s="144">
        <f t="shared" si="10"/>
        <v>0</v>
      </c>
      <c r="N70" s="144">
        <f t="shared" si="10"/>
        <v>0</v>
      </c>
      <c r="O70" s="144">
        <f t="shared" si="10"/>
        <v>0</v>
      </c>
      <c r="P70" s="144">
        <f t="shared" si="10"/>
        <v>0</v>
      </c>
      <c r="Q70" s="144">
        <f t="shared" si="10"/>
        <v>0</v>
      </c>
      <c r="R70" s="144">
        <f t="shared" si="10"/>
        <v>0</v>
      </c>
      <c r="S70" s="144">
        <f t="shared" si="10"/>
        <v>0</v>
      </c>
      <c r="T70" s="144">
        <f t="shared" si="10"/>
        <v>0</v>
      </c>
      <c r="U70" s="144">
        <f t="shared" si="10"/>
        <v>0</v>
      </c>
      <c r="V70" s="144">
        <f t="shared" si="10"/>
        <v>0</v>
      </c>
      <c r="W70" s="144">
        <f t="shared" si="10"/>
        <v>0</v>
      </c>
      <c r="X70" s="144">
        <f t="shared" si="10"/>
        <v>0</v>
      </c>
    </row>
    <row r="71" spans="2:24" x14ac:dyDescent="0.35">
      <c r="B71" s="179" t="s">
        <v>130</v>
      </c>
      <c r="C71" s="174">
        <f>'ABP Future Assumptions'!C7</f>
        <v>36018</v>
      </c>
      <c r="D71" s="176"/>
      <c r="E71" s="179"/>
      <c r="F71" s="143"/>
      <c r="G71" s="176"/>
      <c r="H71" s="176"/>
      <c r="I71" s="176"/>
      <c r="J71" s="176"/>
      <c r="K71" s="176"/>
      <c r="L71" s="176"/>
      <c r="M71" s="176"/>
      <c r="N71" s="176"/>
      <c r="O71" s="176"/>
      <c r="P71" s="176"/>
      <c r="Q71" s="176"/>
      <c r="R71" s="176"/>
      <c r="S71" s="176"/>
      <c r="T71" s="176"/>
      <c r="U71" s="176"/>
      <c r="V71" s="176"/>
      <c r="W71" s="176"/>
      <c r="X71" s="176"/>
    </row>
    <row r="72" spans="2:24" x14ac:dyDescent="0.35">
      <c r="B72" s="221" t="s">
        <v>131</v>
      </c>
      <c r="C72" s="79">
        <f>'ABP Future Assumptions'!C8</f>
        <v>13686.84</v>
      </c>
      <c r="D72" s="80">
        <f>'ABP Future Assumptions'!J8</f>
        <v>73.709999999999994</v>
      </c>
      <c r="E72" s="221"/>
      <c r="F72" s="141">
        <f>E11*D72</f>
        <v>19054959.626064043</v>
      </c>
      <c r="G72" s="42"/>
      <c r="H72" s="42"/>
      <c r="I72" s="42"/>
      <c r="J72" s="42"/>
      <c r="K72" s="42"/>
      <c r="L72" s="42"/>
      <c r="M72" s="42"/>
      <c r="N72" s="42"/>
      <c r="O72" s="42"/>
      <c r="P72" s="42"/>
      <c r="Q72" s="42"/>
      <c r="R72" s="42"/>
      <c r="S72" s="42"/>
      <c r="T72" s="42"/>
      <c r="U72" s="42"/>
      <c r="V72" s="42"/>
      <c r="W72" s="42"/>
      <c r="X72" s="42"/>
    </row>
    <row r="73" spans="2:24" x14ac:dyDescent="0.35">
      <c r="B73" s="221" t="s">
        <v>132</v>
      </c>
      <c r="C73" s="79">
        <f>'ABP Future Assumptions'!C9</f>
        <v>22331.16</v>
      </c>
      <c r="D73" s="80">
        <f>'ABP Future Assumptions'!J9</f>
        <v>63.53</v>
      </c>
      <c r="E73" s="221"/>
      <c r="F73" s="141">
        <f>E12*D73</f>
        <v>27238791.577146009</v>
      </c>
      <c r="G73" s="42"/>
      <c r="H73" s="42"/>
      <c r="I73" s="42"/>
      <c r="J73" s="42"/>
      <c r="K73" s="42"/>
      <c r="L73" s="42"/>
      <c r="M73" s="42"/>
      <c r="N73" s="42"/>
      <c r="O73" s="42"/>
      <c r="P73" s="42"/>
      <c r="Q73" s="42"/>
      <c r="R73" s="42"/>
      <c r="S73" s="42"/>
      <c r="T73" s="42"/>
      <c r="U73" s="42"/>
      <c r="V73" s="42"/>
      <c r="W73" s="42"/>
      <c r="X73" s="42"/>
    </row>
    <row r="74" spans="2:24" x14ac:dyDescent="0.35">
      <c r="B74" s="179" t="s">
        <v>133</v>
      </c>
      <c r="C74" s="174">
        <f>'ABP Future Assumptions'!C10</f>
        <v>84042</v>
      </c>
      <c r="D74" s="103"/>
      <c r="E74" s="179"/>
      <c r="F74" s="142"/>
      <c r="G74" s="176"/>
      <c r="H74" s="176"/>
      <c r="I74" s="176"/>
      <c r="J74" s="176"/>
      <c r="K74" s="176"/>
      <c r="L74" s="176"/>
      <c r="M74" s="176"/>
      <c r="N74" s="176"/>
      <c r="O74" s="176"/>
      <c r="P74" s="176"/>
      <c r="Q74" s="176"/>
      <c r="R74" s="176"/>
      <c r="S74" s="176"/>
      <c r="T74" s="176"/>
      <c r="U74" s="176"/>
      <c r="V74" s="176"/>
      <c r="W74" s="176"/>
      <c r="X74" s="176"/>
    </row>
    <row r="75" spans="2:24" x14ac:dyDescent="0.35">
      <c r="B75" s="221" t="s">
        <v>134</v>
      </c>
      <c r="C75" s="79">
        <f>'ABP Future Assumptions'!C11</f>
        <v>31935.96</v>
      </c>
      <c r="D75" s="80">
        <f>'ABP Future Assumptions'!J11</f>
        <v>83.87</v>
      </c>
      <c r="E75" s="221"/>
      <c r="F75" s="141">
        <f>E14*D75</f>
        <v>45766926.318576343</v>
      </c>
      <c r="G75" s="42"/>
      <c r="H75" s="42"/>
      <c r="I75" s="42"/>
      <c r="J75" s="42"/>
      <c r="K75" s="42"/>
      <c r="L75" s="42"/>
      <c r="M75" s="42"/>
      <c r="N75" s="42"/>
      <c r="O75" s="42"/>
      <c r="P75" s="42"/>
      <c r="Q75" s="42"/>
      <c r="R75" s="42"/>
      <c r="S75" s="42"/>
      <c r="T75" s="42"/>
      <c r="U75" s="42"/>
      <c r="V75" s="42"/>
      <c r="W75" s="42"/>
      <c r="X75" s="42"/>
    </row>
    <row r="76" spans="2:24" x14ac:dyDescent="0.35">
      <c r="B76" s="221" t="s">
        <v>132</v>
      </c>
      <c r="C76" s="79">
        <f>'ABP Future Assumptions'!C12</f>
        <v>52106.04</v>
      </c>
      <c r="D76" s="80">
        <f>'ABP Future Assumptions'!J12</f>
        <v>77.53</v>
      </c>
      <c r="E76" s="221"/>
      <c r="F76" s="141">
        <f>E15*D76</f>
        <v>68279171.294549853</v>
      </c>
      <c r="G76" s="42"/>
      <c r="H76" s="42"/>
      <c r="I76" s="42"/>
      <c r="J76" s="42"/>
      <c r="K76" s="42"/>
      <c r="L76" s="42"/>
      <c r="M76" s="42"/>
      <c r="N76" s="42"/>
      <c r="O76" s="42"/>
      <c r="P76" s="42"/>
      <c r="Q76" s="42"/>
      <c r="R76" s="42"/>
      <c r="S76" s="42"/>
      <c r="T76" s="42"/>
      <c r="U76" s="42"/>
      <c r="V76" s="42"/>
      <c r="W76" s="42"/>
      <c r="X76" s="42"/>
    </row>
    <row r="77" spans="2:24" x14ac:dyDescent="0.35">
      <c r="B77" s="14" t="s">
        <v>135</v>
      </c>
      <c r="C77" s="79">
        <f>'ABP Future Assumptions'!C13</f>
        <v>120060</v>
      </c>
      <c r="D77" s="102"/>
      <c r="E77" s="18">
        <f>SUM(F77:Y77)</f>
        <v>111608050.23181599</v>
      </c>
      <c r="F77" s="135">
        <f t="shared" ref="F77:X77" si="11">SUM(F79:F88)</f>
        <v>16741207.534772398</v>
      </c>
      <c r="G77" s="135">
        <f t="shared" si="11"/>
        <v>15811140.449507266</v>
      </c>
      <c r="H77" s="135">
        <f t="shared" si="11"/>
        <v>15811140.449507266</v>
      </c>
      <c r="I77" s="135">
        <f t="shared" si="11"/>
        <v>15811140.449507266</v>
      </c>
      <c r="J77" s="135">
        <f t="shared" si="11"/>
        <v>15811140.449507266</v>
      </c>
      <c r="K77" s="135">
        <f t="shared" si="11"/>
        <v>15811140.449507266</v>
      </c>
      <c r="L77" s="135">
        <f t="shared" si="11"/>
        <v>15811140.449507266</v>
      </c>
      <c r="M77" s="135">
        <f t="shared" si="11"/>
        <v>0</v>
      </c>
      <c r="N77" s="135">
        <f t="shared" si="11"/>
        <v>0</v>
      </c>
      <c r="O77" s="135">
        <f t="shared" si="11"/>
        <v>0</v>
      </c>
      <c r="P77" s="135">
        <f t="shared" si="11"/>
        <v>0</v>
      </c>
      <c r="Q77" s="135">
        <f t="shared" si="11"/>
        <v>0</v>
      </c>
      <c r="R77" s="135">
        <f t="shared" si="11"/>
        <v>0</v>
      </c>
      <c r="S77" s="135">
        <f t="shared" si="11"/>
        <v>0</v>
      </c>
      <c r="T77" s="135">
        <f t="shared" si="11"/>
        <v>0</v>
      </c>
      <c r="U77" s="135">
        <f t="shared" si="11"/>
        <v>0</v>
      </c>
      <c r="V77" s="135">
        <f t="shared" si="11"/>
        <v>0</v>
      </c>
      <c r="W77" s="135">
        <f t="shared" si="11"/>
        <v>0</v>
      </c>
      <c r="X77" s="135">
        <f t="shared" si="11"/>
        <v>0</v>
      </c>
    </row>
    <row r="78" spans="2:24" x14ac:dyDescent="0.35">
      <c r="B78" s="179" t="s">
        <v>136</v>
      </c>
      <c r="C78" s="174">
        <f>'ABP Future Assumptions'!C14</f>
        <v>36018</v>
      </c>
      <c r="D78" s="103"/>
      <c r="E78" s="179"/>
      <c r="F78" s="176"/>
      <c r="G78" s="176"/>
      <c r="H78" s="176"/>
      <c r="I78" s="176"/>
      <c r="J78" s="176"/>
      <c r="K78" s="176"/>
      <c r="L78" s="176"/>
      <c r="M78" s="176"/>
      <c r="N78" s="176"/>
      <c r="O78" s="176"/>
      <c r="P78" s="176"/>
      <c r="Q78" s="176"/>
      <c r="R78" s="176"/>
      <c r="S78" s="176"/>
      <c r="T78" s="176"/>
      <c r="U78" s="176"/>
      <c r="V78" s="176"/>
      <c r="W78" s="176"/>
      <c r="X78" s="176"/>
    </row>
    <row r="79" spans="2:24" x14ac:dyDescent="0.35">
      <c r="B79" s="221" t="s">
        <v>137</v>
      </c>
      <c r="C79" s="79">
        <f>'ABP Future Assumptions'!C15</f>
        <v>2974.721508385157</v>
      </c>
      <c r="D79" s="80">
        <f>'ABP Future Assumptions'!J15</f>
        <v>55.89</v>
      </c>
      <c r="E79" s="221"/>
      <c r="F79" s="42">
        <f>(E18*D79)*0.15</f>
        <v>480937.13923760992</v>
      </c>
      <c r="G79" s="42">
        <f>((E18*D79)-F79)/6</f>
        <v>454218.40927996504</v>
      </c>
      <c r="H79" s="42">
        <f t="shared" ref="H79:L82" si="12">G79</f>
        <v>454218.40927996504</v>
      </c>
      <c r="I79" s="42">
        <f t="shared" si="12"/>
        <v>454218.40927996504</v>
      </c>
      <c r="J79" s="42">
        <f t="shared" si="12"/>
        <v>454218.40927996504</v>
      </c>
      <c r="K79" s="42">
        <f t="shared" si="12"/>
        <v>454218.40927996504</v>
      </c>
      <c r="L79" s="42">
        <f t="shared" si="12"/>
        <v>454218.40927996504</v>
      </c>
      <c r="M79" s="42"/>
      <c r="N79" s="42"/>
      <c r="O79" s="42"/>
      <c r="P79" s="42"/>
      <c r="Q79" s="42"/>
      <c r="R79" s="42"/>
      <c r="S79" s="42"/>
      <c r="T79" s="42"/>
      <c r="U79" s="42"/>
      <c r="V79" s="42"/>
      <c r="W79" s="42"/>
      <c r="X79" s="42"/>
    </row>
    <row r="80" spans="2:24" x14ac:dyDescent="0.35">
      <c r="B80" s="221" t="s">
        <v>138</v>
      </c>
      <c r="C80" s="79">
        <f>'ABP Future Assumptions'!C16</f>
        <v>2297.8305238371736</v>
      </c>
      <c r="D80" s="80">
        <f>'ABP Future Assumptions'!J16</f>
        <v>53.63</v>
      </c>
      <c r="E80" s="221"/>
      <c r="F80" s="42">
        <f>(E19*D80)*0.15</f>
        <v>347611.96626230108</v>
      </c>
      <c r="G80" s="42">
        <f>((E19*D80)-F80)/6</f>
        <v>328300.19035883993</v>
      </c>
      <c r="H80" s="42">
        <f t="shared" si="12"/>
        <v>328300.19035883993</v>
      </c>
      <c r="I80" s="42">
        <f t="shared" si="12"/>
        <v>328300.19035883993</v>
      </c>
      <c r="J80" s="42">
        <f t="shared" si="12"/>
        <v>328300.19035883993</v>
      </c>
      <c r="K80" s="42">
        <f t="shared" si="12"/>
        <v>328300.19035883993</v>
      </c>
      <c r="L80" s="42">
        <f t="shared" si="12"/>
        <v>328300.19035883993</v>
      </c>
      <c r="M80" s="42"/>
      <c r="N80" s="42"/>
      <c r="O80" s="42"/>
      <c r="P80" s="42"/>
      <c r="Q80" s="42"/>
      <c r="R80" s="42"/>
      <c r="S80" s="42"/>
      <c r="T80" s="42"/>
      <c r="U80" s="42"/>
      <c r="V80" s="42"/>
      <c r="W80" s="42"/>
      <c r="X80" s="42"/>
    </row>
    <row r="81" spans="2:24" x14ac:dyDescent="0.35">
      <c r="B81" s="221" t="s">
        <v>139</v>
      </c>
      <c r="C81" s="79">
        <f>'ABP Future Assumptions'!C17</f>
        <v>5333.9890926942562</v>
      </c>
      <c r="D81" s="80">
        <f>'ABP Future Assumptions'!J17</f>
        <v>46.58</v>
      </c>
      <c r="E81" s="221"/>
      <c r="F81" s="42">
        <f>(E20*D81)*0.15</f>
        <v>723732.73208033352</v>
      </c>
      <c r="G81" s="42">
        <f>((E20*D81)-F81)/6</f>
        <v>683525.35807587055</v>
      </c>
      <c r="H81" s="42">
        <f t="shared" si="12"/>
        <v>683525.35807587055</v>
      </c>
      <c r="I81" s="42">
        <f t="shared" si="12"/>
        <v>683525.35807587055</v>
      </c>
      <c r="J81" s="42">
        <f t="shared" si="12"/>
        <v>683525.35807587055</v>
      </c>
      <c r="K81" s="42">
        <f t="shared" si="12"/>
        <v>683525.35807587055</v>
      </c>
      <c r="L81" s="42">
        <f t="shared" si="12"/>
        <v>683525.35807587055</v>
      </c>
      <c r="M81" s="42"/>
      <c r="N81" s="42"/>
      <c r="O81" s="42"/>
      <c r="P81" s="42"/>
      <c r="Q81" s="42"/>
      <c r="R81" s="42"/>
      <c r="S81" s="42"/>
      <c r="T81" s="42"/>
      <c r="U81" s="42"/>
      <c r="V81" s="42"/>
      <c r="W81" s="42"/>
      <c r="X81" s="42"/>
    </row>
    <row r="82" spans="2:24" x14ac:dyDescent="0.35">
      <c r="B82" s="221" t="s">
        <v>146</v>
      </c>
      <c r="C82" s="79">
        <f>'ABP Future Assumptions'!C18</f>
        <v>25411.385429703292</v>
      </c>
      <c r="D82" s="80">
        <f>'ABP Future Assumptions'!J18</f>
        <v>43.77</v>
      </c>
      <c r="E82" s="221"/>
      <c r="F82" s="42">
        <f>(E21*D82)*0.15</f>
        <v>3051047.9800568805</v>
      </c>
      <c r="G82" s="42">
        <f>((E21*D82)-F82)/6</f>
        <v>2881545.3144981652</v>
      </c>
      <c r="H82" s="42">
        <f t="shared" si="12"/>
        <v>2881545.3144981652</v>
      </c>
      <c r="I82" s="42">
        <f t="shared" si="12"/>
        <v>2881545.3144981652</v>
      </c>
      <c r="J82" s="42">
        <f t="shared" si="12"/>
        <v>2881545.3144981652</v>
      </c>
      <c r="K82" s="42">
        <f t="shared" si="12"/>
        <v>2881545.3144981652</v>
      </c>
      <c r="L82" s="42">
        <f t="shared" si="12"/>
        <v>2881545.3144981652</v>
      </c>
      <c r="M82" s="42"/>
      <c r="N82" s="42"/>
      <c r="O82" s="42"/>
      <c r="P82" s="42"/>
      <c r="Q82" s="42"/>
      <c r="R82" s="42"/>
      <c r="S82" s="42"/>
      <c r="T82" s="42"/>
      <c r="U82" s="42"/>
      <c r="V82" s="42"/>
      <c r="W82" s="42"/>
      <c r="X82" s="42"/>
    </row>
    <row r="83" spans="2:24" x14ac:dyDescent="0.35">
      <c r="B83" s="221" t="s">
        <v>141</v>
      </c>
      <c r="C83" s="79">
        <f>'ABP Future Assumptions'!C19</f>
        <v>0</v>
      </c>
      <c r="D83" s="80">
        <f>'ABP Future Assumptions'!J19</f>
        <v>33.03</v>
      </c>
      <c r="E83" s="221"/>
      <c r="F83" s="42"/>
      <c r="G83" s="42"/>
      <c r="H83" s="42"/>
      <c r="I83" s="42"/>
      <c r="J83" s="42"/>
      <c r="K83" s="42"/>
      <c r="L83" s="42"/>
      <c r="M83" s="42"/>
      <c r="N83" s="42"/>
      <c r="O83" s="42"/>
      <c r="P83" s="42"/>
      <c r="Q83" s="42"/>
      <c r="R83" s="42"/>
      <c r="S83" s="42"/>
      <c r="T83" s="42"/>
      <c r="U83" s="42"/>
      <c r="V83" s="42"/>
      <c r="W83" s="42"/>
      <c r="X83" s="42"/>
    </row>
    <row r="84" spans="2:24" x14ac:dyDescent="0.35">
      <c r="B84" s="179" t="s">
        <v>142</v>
      </c>
      <c r="C84" s="174">
        <f>'ABP Future Assumptions'!C20</f>
        <v>84042</v>
      </c>
      <c r="D84" s="103"/>
      <c r="E84" s="179"/>
      <c r="F84" s="140"/>
      <c r="G84" s="140"/>
      <c r="H84" s="176"/>
      <c r="I84" s="176"/>
      <c r="J84" s="176"/>
      <c r="K84" s="176"/>
      <c r="L84" s="176"/>
      <c r="M84" s="176"/>
      <c r="N84" s="176"/>
      <c r="O84" s="176"/>
      <c r="P84" s="176"/>
      <c r="Q84" s="176"/>
      <c r="R84" s="176"/>
      <c r="S84" s="176"/>
      <c r="T84" s="176"/>
      <c r="U84" s="176"/>
      <c r="V84" s="176"/>
      <c r="W84" s="176"/>
      <c r="X84" s="176"/>
    </row>
    <row r="85" spans="2:24" x14ac:dyDescent="0.35">
      <c r="B85" s="221" t="s">
        <v>143</v>
      </c>
      <c r="C85" s="79">
        <f>'ABP Future Assumptions'!C21</f>
        <v>3178.3094186097378</v>
      </c>
      <c r="D85" s="80">
        <f>'ABP Future Assumptions'!J21</f>
        <v>70.23</v>
      </c>
      <c r="E85" s="221"/>
      <c r="F85" s="42">
        <f>(E24*D85)*0.15</f>
        <v>607836.94449598587</v>
      </c>
      <c r="G85" s="42">
        <f>((E24*D85)-F85)/6</f>
        <v>574068.22535732004</v>
      </c>
      <c r="H85" s="42">
        <f t="shared" ref="H85:L88" si="13">G85</f>
        <v>574068.22535732004</v>
      </c>
      <c r="I85" s="42">
        <f t="shared" si="13"/>
        <v>574068.22535732004</v>
      </c>
      <c r="J85" s="42">
        <f t="shared" si="13"/>
        <v>574068.22535732004</v>
      </c>
      <c r="K85" s="42">
        <f t="shared" si="13"/>
        <v>574068.22535732004</v>
      </c>
      <c r="L85" s="42">
        <f t="shared" si="13"/>
        <v>574068.22535732004</v>
      </c>
      <c r="M85" s="42"/>
      <c r="N85" s="42"/>
      <c r="O85" s="42"/>
      <c r="P85" s="42"/>
      <c r="Q85" s="42"/>
      <c r="R85" s="42"/>
      <c r="S85" s="42"/>
      <c r="T85" s="42"/>
      <c r="U85" s="42"/>
      <c r="V85" s="42"/>
      <c r="W85" s="42"/>
      <c r="X85" s="42"/>
    </row>
    <row r="86" spans="2:24" x14ac:dyDescent="0.35">
      <c r="B86" s="221" t="s">
        <v>138</v>
      </c>
      <c r="C86" s="79">
        <f>'ABP Future Assumptions'!C22</f>
        <v>2474.9525351065226</v>
      </c>
      <c r="D86" s="80">
        <f>'ABP Future Assumptions'!J22</f>
        <v>63.34</v>
      </c>
      <c r="E86" s="221"/>
      <c r="F86" s="42">
        <f>(E25*D86)*0.15</f>
        <v>423008.08391035284</v>
      </c>
      <c r="G86" s="42">
        <f>((E25*D86)-F86)/6</f>
        <v>399507.63480422209</v>
      </c>
      <c r="H86" s="42">
        <f t="shared" si="13"/>
        <v>399507.63480422209</v>
      </c>
      <c r="I86" s="42">
        <f t="shared" si="13"/>
        <v>399507.63480422209</v>
      </c>
      <c r="J86" s="42">
        <f t="shared" si="13"/>
        <v>399507.63480422209</v>
      </c>
      <c r="K86" s="42">
        <f t="shared" si="13"/>
        <v>399507.63480422209</v>
      </c>
      <c r="L86" s="42">
        <f t="shared" si="13"/>
        <v>399507.63480422209</v>
      </c>
      <c r="M86" s="42"/>
      <c r="N86" s="42"/>
      <c r="O86" s="42"/>
      <c r="P86" s="42"/>
      <c r="Q86" s="42"/>
      <c r="R86" s="42"/>
      <c r="S86" s="42"/>
      <c r="T86" s="42"/>
      <c r="U86" s="42"/>
      <c r="V86" s="42"/>
      <c r="W86" s="42"/>
      <c r="X86" s="42"/>
    </row>
    <row r="87" spans="2:24" x14ac:dyDescent="0.35">
      <c r="B87" s="221" t="s">
        <v>139</v>
      </c>
      <c r="C87" s="79">
        <f>'ABP Future Assumptions'!C23</f>
        <v>9173.1101535500238</v>
      </c>
      <c r="D87" s="80">
        <f>'ABP Future Assumptions'!J23</f>
        <v>54.6</v>
      </c>
      <c r="E87" s="221"/>
      <c r="F87" s="42">
        <f>(E26*D87)*0.15</f>
        <v>1346056.2803584374</v>
      </c>
      <c r="G87" s="42">
        <f>((E26*D87)-F87)/6</f>
        <v>1271275.3758940799</v>
      </c>
      <c r="H87" s="42">
        <f t="shared" si="13"/>
        <v>1271275.3758940799</v>
      </c>
      <c r="I87" s="42">
        <f t="shared" si="13"/>
        <v>1271275.3758940799</v>
      </c>
      <c r="J87" s="42">
        <f t="shared" si="13"/>
        <v>1271275.3758940799</v>
      </c>
      <c r="K87" s="42">
        <f t="shared" si="13"/>
        <v>1271275.3758940799</v>
      </c>
      <c r="L87" s="42">
        <f t="shared" si="13"/>
        <v>1271275.3758940799</v>
      </c>
      <c r="M87" s="42"/>
      <c r="N87" s="42"/>
      <c r="O87" s="42"/>
      <c r="P87" s="42"/>
      <c r="Q87" s="42"/>
      <c r="R87" s="42"/>
      <c r="S87" s="42"/>
      <c r="T87" s="42"/>
      <c r="U87" s="42"/>
      <c r="V87" s="42"/>
      <c r="W87" s="42"/>
      <c r="X87" s="42"/>
    </row>
    <row r="88" spans="2:24" x14ac:dyDescent="0.35">
      <c r="B88" s="221" t="s">
        <v>146</v>
      </c>
      <c r="C88" s="79">
        <f>'ABP Future Assumptions'!C24</f>
        <v>69215.598713854502</v>
      </c>
      <c r="D88" s="80">
        <f>'ABP Future Assumptions'!J24</f>
        <v>49.49</v>
      </c>
      <c r="E88" s="221"/>
      <c r="F88" s="42">
        <f>(E27*D88)*0.15</f>
        <v>9760976.4083704967</v>
      </c>
      <c r="G88" s="42">
        <f>((E27*D88)-F88)/6</f>
        <v>9218699.9412388038</v>
      </c>
      <c r="H88" s="42">
        <f t="shared" si="13"/>
        <v>9218699.9412388038</v>
      </c>
      <c r="I88" s="42">
        <f t="shared" si="13"/>
        <v>9218699.9412388038</v>
      </c>
      <c r="J88" s="42">
        <f t="shared" si="13"/>
        <v>9218699.9412388038</v>
      </c>
      <c r="K88" s="42">
        <f t="shared" si="13"/>
        <v>9218699.9412388038</v>
      </c>
      <c r="L88" s="42">
        <f t="shared" si="13"/>
        <v>9218699.9412388038</v>
      </c>
      <c r="M88" s="42"/>
      <c r="N88" s="42"/>
      <c r="O88" s="42"/>
      <c r="P88" s="42"/>
      <c r="Q88" s="42"/>
      <c r="R88" s="42"/>
      <c r="S88" s="42"/>
      <c r="T88" s="42"/>
      <c r="U88" s="42"/>
      <c r="V88" s="42"/>
      <c r="W88" s="42"/>
      <c r="X88" s="42"/>
    </row>
    <row r="89" spans="2:24" x14ac:dyDescent="0.35">
      <c r="B89" s="221" t="s">
        <v>141</v>
      </c>
      <c r="C89" s="79">
        <f>'ABP Future Assumptions'!C25</f>
        <v>0</v>
      </c>
      <c r="D89" s="80">
        <f>'ABP Future Assumptions'!J25</f>
        <v>37.049999999999997</v>
      </c>
      <c r="E89" s="221"/>
      <c r="F89" s="42"/>
      <c r="G89" s="42"/>
      <c r="H89" s="42"/>
      <c r="I89" s="42"/>
      <c r="J89" s="42"/>
      <c r="K89" s="42"/>
      <c r="L89" s="42"/>
      <c r="M89" s="42"/>
      <c r="N89" s="42"/>
      <c r="O89" s="42"/>
      <c r="P89" s="42"/>
      <c r="Q89" s="42"/>
      <c r="R89" s="42"/>
      <c r="S89" s="42"/>
      <c r="T89" s="42"/>
      <c r="U89" s="42"/>
      <c r="V89" s="42"/>
      <c r="W89" s="42"/>
      <c r="X89" s="42"/>
    </row>
    <row r="90" spans="2:24" x14ac:dyDescent="0.35">
      <c r="B90" s="14" t="s">
        <v>171</v>
      </c>
      <c r="C90" s="79">
        <f>'ABP Future Assumptions'!C26</f>
        <v>180090</v>
      </c>
      <c r="D90" s="102"/>
      <c r="E90" s="135">
        <f>SUM(F90:X90)</f>
        <v>238279957.35211506</v>
      </c>
      <c r="F90" s="135">
        <f t="shared" ref="F90:X90" si="14">SUM(F91:F92)</f>
        <v>0</v>
      </c>
      <c r="G90" s="135">
        <f t="shared" si="14"/>
        <v>13809309.912177913</v>
      </c>
      <c r="H90" s="135">
        <f t="shared" si="14"/>
        <v>13740263.362617023</v>
      </c>
      <c r="I90" s="135">
        <f t="shared" si="14"/>
        <v>13671562.045803938</v>
      </c>
      <c r="J90" s="135">
        <f t="shared" si="14"/>
        <v>13603204.23557492</v>
      </c>
      <c r="K90" s="135">
        <f t="shared" si="14"/>
        <v>13535188.214397043</v>
      </c>
      <c r="L90" s="135">
        <f t="shared" si="14"/>
        <v>13467512.273325058</v>
      </c>
      <c r="M90" s="135">
        <f t="shared" si="14"/>
        <v>13400174.711958434</v>
      </c>
      <c r="N90" s="135">
        <f t="shared" si="14"/>
        <v>13333173.838398643</v>
      </c>
      <c r="O90" s="135">
        <f t="shared" si="14"/>
        <v>13266507.969206648</v>
      </c>
      <c r="P90" s="135">
        <f t="shared" si="14"/>
        <v>13200175.429360615</v>
      </c>
      <c r="Q90" s="135">
        <f t="shared" si="14"/>
        <v>13134174.55221381</v>
      </c>
      <c r="R90" s="135">
        <f t="shared" si="14"/>
        <v>13068503.67945274</v>
      </c>
      <c r="S90" s="135">
        <f t="shared" si="14"/>
        <v>13003161.161055477</v>
      </c>
      <c r="T90" s="135">
        <f t="shared" si="14"/>
        <v>12938145.355250198</v>
      </c>
      <c r="U90" s="135">
        <f t="shared" si="14"/>
        <v>12873454.628473949</v>
      </c>
      <c r="V90" s="135">
        <f t="shared" si="14"/>
        <v>12809087.355331577</v>
      </c>
      <c r="W90" s="135">
        <f t="shared" si="14"/>
        <v>12745041.918554921</v>
      </c>
      <c r="X90" s="135">
        <f t="shared" si="14"/>
        <v>12681316.708962146</v>
      </c>
    </row>
    <row r="91" spans="2:24" x14ac:dyDescent="0.35">
      <c r="B91" s="179" t="s">
        <v>145</v>
      </c>
      <c r="C91" s="174">
        <f>'ABP Future Assumptions'!C27</f>
        <v>54027</v>
      </c>
      <c r="D91" s="80">
        <f>'ABP Future Assumptions'!J33</f>
        <v>46.02</v>
      </c>
      <c r="E91" s="221"/>
      <c r="F91" s="137"/>
      <c r="G91" s="42">
        <f>'24-25 ABP Activities'!G30*$D91</f>
        <v>3682375.954099129</v>
      </c>
      <c r="H91" s="42">
        <f t="shared" ref="H91:X91" si="15">H30*$D91</f>
        <v>3663964.074328633</v>
      </c>
      <c r="I91" s="42">
        <f t="shared" si="15"/>
        <v>3645644.2539569899</v>
      </c>
      <c r="J91" s="42">
        <f t="shared" si="15"/>
        <v>3627416.0326872049</v>
      </c>
      <c r="K91" s="42">
        <f t="shared" si="15"/>
        <v>3609278.9525237689</v>
      </c>
      <c r="L91" s="42">
        <f t="shared" si="15"/>
        <v>3591232.5577611499</v>
      </c>
      <c r="M91" s="42">
        <f t="shared" si="15"/>
        <v>3573276.3949723444</v>
      </c>
      <c r="N91" s="42">
        <f t="shared" si="15"/>
        <v>3555410.0129974829</v>
      </c>
      <c r="O91" s="42">
        <f t="shared" si="15"/>
        <v>3537632.9629324954</v>
      </c>
      <c r="P91" s="42">
        <f t="shared" si="15"/>
        <v>3519944.7981178327</v>
      </c>
      <c r="Q91" s="42">
        <f t="shared" si="15"/>
        <v>3502345.0741272434</v>
      </c>
      <c r="R91" s="42">
        <f t="shared" si="15"/>
        <v>3484833.3487566067</v>
      </c>
      <c r="S91" s="42">
        <f t="shared" si="15"/>
        <v>3467409.1820128239</v>
      </c>
      <c r="T91" s="42">
        <f t="shared" si="15"/>
        <v>3450072.1361027593</v>
      </c>
      <c r="U91" s="42">
        <f t="shared" si="15"/>
        <v>3432821.7754222457</v>
      </c>
      <c r="V91" s="42">
        <f t="shared" si="15"/>
        <v>3415657.6665451345</v>
      </c>
      <c r="W91" s="42">
        <f t="shared" si="15"/>
        <v>3398579.3782124086</v>
      </c>
      <c r="X91" s="42">
        <f t="shared" si="15"/>
        <v>3381586.4813213465</v>
      </c>
    </row>
    <row r="92" spans="2:24" x14ac:dyDescent="0.35">
      <c r="B92" s="179" t="s">
        <v>148</v>
      </c>
      <c r="C92" s="174">
        <f>'ABP Future Assumptions'!C35</f>
        <v>126062.99999999999</v>
      </c>
      <c r="D92" s="80">
        <f>'ABP Future Assumptions'!J41</f>
        <v>54.24</v>
      </c>
      <c r="E92" s="221"/>
      <c r="F92" s="137"/>
      <c r="G92" s="42">
        <f>'24-25 ABP Activities'!G31*$D92</f>
        <v>10126933.958078783</v>
      </c>
      <c r="H92" s="42">
        <f t="shared" ref="H92:X92" si="16">H31*$D92</f>
        <v>10076299.28828839</v>
      </c>
      <c r="I92" s="42">
        <f t="shared" si="16"/>
        <v>10025917.791846948</v>
      </c>
      <c r="J92" s="42">
        <f t="shared" si="16"/>
        <v>9975788.2028877139</v>
      </c>
      <c r="K92" s="42">
        <f t="shared" si="16"/>
        <v>9925909.261873275</v>
      </c>
      <c r="L92" s="42">
        <f t="shared" si="16"/>
        <v>9876279.7155639082</v>
      </c>
      <c r="M92" s="42">
        <f t="shared" si="16"/>
        <v>9826898.3169860896</v>
      </c>
      <c r="N92" s="42">
        <f t="shared" si="16"/>
        <v>9777763.825401159</v>
      </c>
      <c r="O92" s="42">
        <f t="shared" si="16"/>
        <v>9728875.0062741525</v>
      </c>
      <c r="P92" s="42">
        <f t="shared" si="16"/>
        <v>9680230.6312427819</v>
      </c>
      <c r="Q92" s="42">
        <f t="shared" si="16"/>
        <v>9631829.4780865666</v>
      </c>
      <c r="R92" s="42">
        <f t="shared" si="16"/>
        <v>9583670.3306961339</v>
      </c>
      <c r="S92" s="42">
        <f t="shared" si="16"/>
        <v>9535751.979042653</v>
      </c>
      <c r="T92" s="42">
        <f t="shared" si="16"/>
        <v>9488073.21914744</v>
      </c>
      <c r="U92" s="42">
        <f t="shared" si="16"/>
        <v>9440632.8530517034</v>
      </c>
      <c r="V92" s="42">
        <f t="shared" si="16"/>
        <v>9393429.6887864433</v>
      </c>
      <c r="W92" s="42">
        <f t="shared" si="16"/>
        <v>9346462.5403425116</v>
      </c>
      <c r="X92" s="42">
        <f t="shared" si="16"/>
        <v>9299730.2276408002</v>
      </c>
    </row>
    <row r="93" spans="2:24" x14ac:dyDescent="0.35">
      <c r="B93" s="14" t="s">
        <v>149</v>
      </c>
      <c r="C93" s="79">
        <f>'ABP Future Assumptions'!C43</f>
        <v>86710</v>
      </c>
      <c r="D93" s="102"/>
      <c r="E93" s="18">
        <f>SUM(F93:Y93)</f>
        <v>156284549.65596849</v>
      </c>
      <c r="F93" s="135">
        <f t="shared" ref="F93:X93" si="17">SUM(F94:F106)</f>
        <v>8601833.8951314129</v>
      </c>
      <c r="G93" s="135">
        <f t="shared" si="17"/>
        <v>8558824.725655755</v>
      </c>
      <c r="H93" s="135">
        <f t="shared" si="17"/>
        <v>8516030.6020274758</v>
      </c>
      <c r="I93" s="135">
        <f t="shared" si="17"/>
        <v>8473450.4490173385</v>
      </c>
      <c r="J93" s="135">
        <f t="shared" si="17"/>
        <v>8431083.1967722513</v>
      </c>
      <c r="K93" s="135">
        <f t="shared" si="17"/>
        <v>8388927.78078839</v>
      </c>
      <c r="L93" s="135">
        <f t="shared" si="17"/>
        <v>8346983.141884448</v>
      </c>
      <c r="M93" s="135">
        <f t="shared" si="17"/>
        <v>8305248.2261750251</v>
      </c>
      <c r="N93" s="135">
        <f t="shared" si="17"/>
        <v>8263721.9850441515</v>
      </c>
      <c r="O93" s="135">
        <f t="shared" si="17"/>
        <v>8222403.375118929</v>
      </c>
      <c r="P93" s="135">
        <f t="shared" si="17"/>
        <v>8181291.358243335</v>
      </c>
      <c r="Q93" s="135">
        <f t="shared" si="17"/>
        <v>8140384.9014521195</v>
      </c>
      <c r="R93" s="135">
        <f t="shared" si="17"/>
        <v>8099682.9769448582</v>
      </c>
      <c r="S93" s="135">
        <f t="shared" si="17"/>
        <v>8059184.5620601336</v>
      </c>
      <c r="T93" s="135">
        <f t="shared" si="17"/>
        <v>8018888.6392498324</v>
      </c>
      <c r="U93" s="135">
        <f t="shared" si="17"/>
        <v>7978794.1960535841</v>
      </c>
      <c r="V93" s="135">
        <f t="shared" si="17"/>
        <v>7938900.2250733171</v>
      </c>
      <c r="W93" s="135">
        <f t="shared" si="17"/>
        <v>7899205.7239479488</v>
      </c>
      <c r="X93" s="135">
        <f t="shared" si="17"/>
        <v>7859709.6953282095</v>
      </c>
    </row>
    <row r="94" spans="2:24" x14ac:dyDescent="0.35">
      <c r="B94" s="179" t="s">
        <v>150</v>
      </c>
      <c r="C94" s="174">
        <f>'ABP Future Assumptions'!C44</f>
        <v>26013</v>
      </c>
      <c r="D94" s="103"/>
      <c r="E94" s="179"/>
      <c r="F94" s="140"/>
      <c r="G94" s="140"/>
      <c r="H94" s="140"/>
      <c r="I94" s="140"/>
      <c r="J94" s="140"/>
      <c r="K94" s="140"/>
      <c r="L94" s="140"/>
      <c r="M94" s="140"/>
      <c r="N94" s="140"/>
      <c r="O94" s="140"/>
      <c r="P94" s="140"/>
      <c r="Q94" s="140"/>
      <c r="R94" s="140"/>
      <c r="S94" s="140"/>
      <c r="T94" s="140"/>
      <c r="U94" s="140"/>
      <c r="V94" s="140"/>
      <c r="W94" s="140"/>
      <c r="X94" s="140"/>
    </row>
    <row r="95" spans="2:24" x14ac:dyDescent="0.35">
      <c r="B95" s="221" t="s">
        <v>151</v>
      </c>
      <c r="C95" s="79">
        <f>'ABP Future Assumptions'!C45</f>
        <v>1204.3055555555554</v>
      </c>
      <c r="D95" s="80">
        <f>'ABP Future Assumptions'!J45</f>
        <v>77.17</v>
      </c>
      <c r="E95" s="221"/>
      <c r="F95" s="42">
        <f t="shared" ref="F95:X95" si="18">F34*$D$95</f>
        <v>137643.54485762832</v>
      </c>
      <c r="G95" s="42">
        <f t="shared" si="18"/>
        <v>136955.32713334018</v>
      </c>
      <c r="H95" s="42">
        <f t="shared" si="18"/>
        <v>136270.55049767348</v>
      </c>
      <c r="I95" s="42">
        <f t="shared" si="18"/>
        <v>135589.19774518511</v>
      </c>
      <c r="J95" s="42">
        <f t="shared" si="18"/>
        <v>134911.25175645918</v>
      </c>
      <c r="K95" s="42">
        <f t="shared" si="18"/>
        <v>134236.6954976769</v>
      </c>
      <c r="L95" s="42">
        <f t="shared" si="18"/>
        <v>133565.5120201885</v>
      </c>
      <c r="M95" s="42">
        <f t="shared" si="18"/>
        <v>132897.68446008756</v>
      </c>
      <c r="N95" s="42">
        <f t="shared" si="18"/>
        <v>132233.19603778713</v>
      </c>
      <c r="O95" s="42">
        <f t="shared" si="18"/>
        <v>131572.03005759817</v>
      </c>
      <c r="P95" s="42">
        <f t="shared" si="18"/>
        <v>130914.16990731018</v>
      </c>
      <c r="Q95" s="42">
        <f t="shared" si="18"/>
        <v>130259.59905777364</v>
      </c>
      <c r="R95" s="42">
        <f t="shared" si="18"/>
        <v>129608.30106248477</v>
      </c>
      <c r="S95" s="42">
        <f t="shared" si="18"/>
        <v>128960.25955717234</v>
      </c>
      <c r="T95" s="42">
        <f t="shared" si="18"/>
        <v>128315.45825938649</v>
      </c>
      <c r="U95" s="42">
        <f t="shared" si="18"/>
        <v>127673.88096808955</v>
      </c>
      <c r="V95" s="42">
        <f t="shared" si="18"/>
        <v>127035.51156324911</v>
      </c>
      <c r="W95" s="42">
        <f t="shared" si="18"/>
        <v>126400.33400543286</v>
      </c>
      <c r="X95" s="42">
        <f t="shared" si="18"/>
        <v>125768.33233540569</v>
      </c>
    </row>
    <row r="96" spans="2:24" x14ac:dyDescent="0.35">
      <c r="B96" s="221" t="s">
        <v>143</v>
      </c>
      <c r="C96" s="79">
        <f>'ABP Future Assumptions'!C46</f>
        <v>1445.1666666666665</v>
      </c>
      <c r="D96" s="80">
        <f>'ABP Future Assumptions'!J46</f>
        <v>68.569999999999993</v>
      </c>
      <c r="E96" s="221"/>
      <c r="F96" s="42">
        <f t="shared" ref="F96:X96" si="19">F35*$D96</f>
        <v>146765.08286983398</v>
      </c>
      <c r="G96" s="42">
        <f t="shared" si="19"/>
        <v>146031.2574554848</v>
      </c>
      <c r="H96" s="42">
        <f t="shared" si="19"/>
        <v>145301.10116820739</v>
      </c>
      <c r="I96" s="42">
        <f t="shared" si="19"/>
        <v>144574.59566236634</v>
      </c>
      <c r="J96" s="42">
        <f t="shared" si="19"/>
        <v>143851.72268405452</v>
      </c>
      <c r="K96" s="42">
        <f t="shared" si="19"/>
        <v>143132.46407063422</v>
      </c>
      <c r="L96" s="42">
        <f t="shared" si="19"/>
        <v>142416.80175028104</v>
      </c>
      <c r="M96" s="42">
        <f t="shared" si="19"/>
        <v>141704.71774152966</v>
      </c>
      <c r="N96" s="42">
        <f t="shared" si="19"/>
        <v>140996.19415282202</v>
      </c>
      <c r="O96" s="42">
        <f t="shared" si="19"/>
        <v>140291.21318205789</v>
      </c>
      <c r="P96" s="42">
        <f t="shared" si="19"/>
        <v>139589.75711614761</v>
      </c>
      <c r="Q96" s="42">
        <f t="shared" si="19"/>
        <v>138891.80833056686</v>
      </c>
      <c r="R96" s="42">
        <f t="shared" si="19"/>
        <v>138197.34928891403</v>
      </c>
      <c r="S96" s="42">
        <f t="shared" si="19"/>
        <v>137506.36254246946</v>
      </c>
      <c r="T96" s="42">
        <f t="shared" si="19"/>
        <v>136818.83072975712</v>
      </c>
      <c r="U96" s="42">
        <f t="shared" si="19"/>
        <v>136134.73657610832</v>
      </c>
      <c r="V96" s="42">
        <f t="shared" si="19"/>
        <v>135454.06289322779</v>
      </c>
      <c r="W96" s="42">
        <f t="shared" si="19"/>
        <v>134776.79257876167</v>
      </c>
      <c r="X96" s="42">
        <f t="shared" si="19"/>
        <v>134102.90861586784</v>
      </c>
    </row>
    <row r="97" spans="2:24" x14ac:dyDescent="0.35">
      <c r="B97" s="221" t="s">
        <v>138</v>
      </c>
      <c r="C97" s="79">
        <f>'ABP Future Assumptions'!C47</f>
        <v>5539.8055555555557</v>
      </c>
      <c r="D97" s="80">
        <f>'ABP Future Assumptions'!J47</f>
        <v>65.81</v>
      </c>
      <c r="E97" s="221"/>
      <c r="F97" s="42">
        <f t="shared" ref="F97:X97" si="20">F36*$D97</f>
        <v>539954.38331696764</v>
      </c>
      <c r="G97" s="42">
        <f t="shared" si="20"/>
        <v>537254.61140038283</v>
      </c>
      <c r="H97" s="42">
        <f t="shared" si="20"/>
        <v>534568.33834338095</v>
      </c>
      <c r="I97" s="42">
        <f t="shared" si="20"/>
        <v>531895.49665166403</v>
      </c>
      <c r="J97" s="42">
        <f t="shared" si="20"/>
        <v>529236.01916840568</v>
      </c>
      <c r="K97" s="42">
        <f t="shared" si="20"/>
        <v>526589.83907256369</v>
      </c>
      <c r="L97" s="42">
        <f t="shared" si="20"/>
        <v>523956.88987720088</v>
      </c>
      <c r="M97" s="42">
        <f t="shared" si="20"/>
        <v>521337.10542781488</v>
      </c>
      <c r="N97" s="42">
        <f t="shared" si="20"/>
        <v>518730.41990067583</v>
      </c>
      <c r="O97" s="42">
        <f t="shared" si="20"/>
        <v>516136.76780117239</v>
      </c>
      <c r="P97" s="42">
        <f t="shared" si="20"/>
        <v>513556.08396216657</v>
      </c>
      <c r="Q97" s="42">
        <f t="shared" si="20"/>
        <v>510988.30354235566</v>
      </c>
      <c r="R97" s="42">
        <f t="shared" si="20"/>
        <v>508433.36202464392</v>
      </c>
      <c r="S97" s="42">
        <f t="shared" si="20"/>
        <v>505891.19521452067</v>
      </c>
      <c r="T97" s="42">
        <f t="shared" si="20"/>
        <v>503361.73923844809</v>
      </c>
      <c r="U97" s="42">
        <f t="shared" si="20"/>
        <v>500844.93054225587</v>
      </c>
      <c r="V97" s="42">
        <f t="shared" si="20"/>
        <v>498340.70588954457</v>
      </c>
      <c r="W97" s="42">
        <f t="shared" si="20"/>
        <v>495849.00236009684</v>
      </c>
      <c r="X97" s="42">
        <f t="shared" si="20"/>
        <v>493369.75734829635</v>
      </c>
    </row>
    <row r="98" spans="2:24" x14ac:dyDescent="0.35">
      <c r="B98" s="221" t="s">
        <v>139</v>
      </c>
      <c r="C98" s="79">
        <f>'ABP Future Assumptions'!C48</f>
        <v>11802.194444444445</v>
      </c>
      <c r="D98" s="80">
        <f>'ABP Future Assumptions'!J48</f>
        <v>57.72</v>
      </c>
      <c r="E98" s="221"/>
      <c r="F98" s="42">
        <f t="shared" ref="F98:X98" si="21">F37*$D98</f>
        <v>1008927.0054423561</v>
      </c>
      <c r="G98" s="42">
        <f t="shared" si="21"/>
        <v>1003882.3704151443</v>
      </c>
      <c r="H98" s="42">
        <f t="shared" si="21"/>
        <v>998862.95856306865</v>
      </c>
      <c r="I98" s="42">
        <f t="shared" si="21"/>
        <v>993868.6437702534</v>
      </c>
      <c r="J98" s="42">
        <f t="shared" si="21"/>
        <v>988899.30055140203</v>
      </c>
      <c r="K98" s="42">
        <f t="shared" si="21"/>
        <v>983954.80404864484</v>
      </c>
      <c r="L98" s="42">
        <f t="shared" si="21"/>
        <v>979035.03002840152</v>
      </c>
      <c r="M98" s="42">
        <f t="shared" si="21"/>
        <v>974139.85487825947</v>
      </c>
      <c r="N98" s="42">
        <f t="shared" si="21"/>
        <v>969269.15560386819</v>
      </c>
      <c r="O98" s="42">
        <f t="shared" si="21"/>
        <v>964422.8098258489</v>
      </c>
      <c r="P98" s="42">
        <f t="shared" si="21"/>
        <v>959600.6957767196</v>
      </c>
      <c r="Q98" s="42">
        <f t="shared" si="21"/>
        <v>954802.69229783607</v>
      </c>
      <c r="R98" s="42">
        <f t="shared" si="21"/>
        <v>950028.67883634684</v>
      </c>
      <c r="S98" s="42">
        <f t="shared" si="21"/>
        <v>945278.5354421651</v>
      </c>
      <c r="T98" s="42">
        <f t="shared" si="21"/>
        <v>940552.14276495425</v>
      </c>
      <c r="U98" s="42">
        <f t="shared" si="21"/>
        <v>935849.38205112948</v>
      </c>
      <c r="V98" s="42">
        <f t="shared" si="21"/>
        <v>931170.13514087384</v>
      </c>
      <c r="W98" s="42">
        <f t="shared" si="21"/>
        <v>926514.28446516942</v>
      </c>
      <c r="X98" s="42">
        <f t="shared" si="21"/>
        <v>921881.71304284362</v>
      </c>
    </row>
    <row r="99" spans="2:24" x14ac:dyDescent="0.35">
      <c r="B99" s="221" t="s">
        <v>146</v>
      </c>
      <c r="C99" s="79">
        <f>'ABP Future Assumptions'!C49</f>
        <v>6021.5277777777774</v>
      </c>
      <c r="D99" s="80">
        <f>'ABP Future Assumptions'!J49</f>
        <v>54.51</v>
      </c>
      <c r="E99" s="221"/>
      <c r="F99" s="42">
        <f t="shared" ref="F99:X99" si="22">F38*$D99</f>
        <v>486131.24466692493</v>
      </c>
      <c r="G99" s="42">
        <f t="shared" si="22"/>
        <v>483700.58844359033</v>
      </c>
      <c r="H99" s="42">
        <f t="shared" si="22"/>
        <v>481282.08550137235</v>
      </c>
      <c r="I99" s="42">
        <f t="shared" si="22"/>
        <v>478875.67507386551</v>
      </c>
      <c r="J99" s="42">
        <f t="shared" si="22"/>
        <v>476481.29669849615</v>
      </c>
      <c r="K99" s="42">
        <f t="shared" si="22"/>
        <v>474098.89021500369</v>
      </c>
      <c r="L99" s="42">
        <f t="shared" si="22"/>
        <v>471728.39576392871</v>
      </c>
      <c r="M99" s="42">
        <f t="shared" si="22"/>
        <v>469369.75378510909</v>
      </c>
      <c r="N99" s="42">
        <f t="shared" si="22"/>
        <v>467022.9050161835</v>
      </c>
      <c r="O99" s="42">
        <f t="shared" si="22"/>
        <v>464687.79049110255</v>
      </c>
      <c r="P99" s="42">
        <f t="shared" si="22"/>
        <v>462364.35153864702</v>
      </c>
      <c r="Q99" s="42">
        <f t="shared" si="22"/>
        <v>460052.52978095383</v>
      </c>
      <c r="R99" s="42">
        <f t="shared" si="22"/>
        <v>457752.26713204908</v>
      </c>
      <c r="S99" s="42">
        <f t="shared" si="22"/>
        <v>455463.50579638884</v>
      </c>
      <c r="T99" s="42">
        <f t="shared" si="22"/>
        <v>453186.18826740689</v>
      </c>
      <c r="U99" s="42">
        <f t="shared" si="22"/>
        <v>450920.25732606993</v>
      </c>
      <c r="V99" s="42">
        <f t="shared" si="22"/>
        <v>448665.65603943955</v>
      </c>
      <c r="W99" s="42">
        <f t="shared" si="22"/>
        <v>446422.32775924233</v>
      </c>
      <c r="X99" s="42">
        <f t="shared" si="22"/>
        <v>444190.2161204461</v>
      </c>
    </row>
    <row r="100" spans="2:24" x14ac:dyDescent="0.35">
      <c r="B100" s="221" t="s">
        <v>141</v>
      </c>
      <c r="C100" s="79">
        <f>'ABP Future Assumptions'!C50</f>
        <v>0</v>
      </c>
      <c r="D100" s="80">
        <f>'ABP Future Assumptions'!J50</f>
        <v>42.15</v>
      </c>
      <c r="E100" s="221"/>
      <c r="F100" s="42"/>
      <c r="G100" s="42"/>
      <c r="H100" s="42"/>
      <c r="I100" s="42"/>
      <c r="J100" s="42"/>
      <c r="K100" s="42"/>
      <c r="L100" s="42"/>
      <c r="M100" s="42"/>
      <c r="N100" s="42"/>
      <c r="O100" s="42"/>
      <c r="P100" s="42"/>
      <c r="Q100" s="42"/>
      <c r="R100" s="42"/>
      <c r="S100" s="42"/>
      <c r="T100" s="42"/>
      <c r="U100" s="42"/>
      <c r="V100" s="42"/>
      <c r="W100" s="42"/>
      <c r="X100" s="42"/>
    </row>
    <row r="101" spans="2:24" x14ac:dyDescent="0.35">
      <c r="B101" s="179" t="s">
        <v>152</v>
      </c>
      <c r="C101" s="174">
        <f>'ABP Future Assumptions'!C51</f>
        <v>60696.999999999993</v>
      </c>
      <c r="D101" s="103"/>
      <c r="E101" s="179"/>
      <c r="F101" s="140"/>
      <c r="G101" s="140"/>
      <c r="H101" s="140"/>
      <c r="I101" s="140"/>
      <c r="J101" s="140"/>
      <c r="K101" s="140"/>
      <c r="L101" s="140"/>
      <c r="M101" s="140"/>
      <c r="N101" s="140"/>
      <c r="O101" s="140"/>
      <c r="P101" s="140"/>
      <c r="Q101" s="140"/>
      <c r="R101" s="140"/>
      <c r="S101" s="140"/>
      <c r="T101" s="140"/>
      <c r="U101" s="140"/>
      <c r="V101" s="140"/>
      <c r="W101" s="140"/>
      <c r="X101" s="140"/>
    </row>
    <row r="102" spans="2:24" x14ac:dyDescent="0.35">
      <c r="B102" s="221" t="s">
        <v>151</v>
      </c>
      <c r="C102" s="79">
        <f>'ABP Future Assumptions'!C52</f>
        <v>2810.0462962962956</v>
      </c>
      <c r="D102" s="80">
        <f>'ABP Future Assumptions'!J52</f>
        <v>93.17</v>
      </c>
      <c r="E102" s="221"/>
      <c r="F102" s="42">
        <f t="shared" ref="F102:X102" si="23">F41*$D102</f>
        <v>387757.52028291044</v>
      </c>
      <c r="G102" s="42">
        <f t="shared" si="23"/>
        <v>385818.73268149584</v>
      </c>
      <c r="H102" s="42">
        <f t="shared" si="23"/>
        <v>383889.6390180884</v>
      </c>
      <c r="I102" s="42">
        <f t="shared" si="23"/>
        <v>381970.19082299795</v>
      </c>
      <c r="J102" s="42">
        <f t="shared" si="23"/>
        <v>380060.33986888296</v>
      </c>
      <c r="K102" s="42">
        <f t="shared" si="23"/>
        <v>378160.03816953854</v>
      </c>
      <c r="L102" s="42">
        <f t="shared" si="23"/>
        <v>376269.23797869089</v>
      </c>
      <c r="M102" s="42">
        <f t="shared" si="23"/>
        <v>374387.89178879745</v>
      </c>
      <c r="N102" s="42">
        <f t="shared" si="23"/>
        <v>372515.95232985343</v>
      </c>
      <c r="O102" s="42">
        <f t="shared" si="23"/>
        <v>370653.37256820418</v>
      </c>
      <c r="P102" s="42">
        <f t="shared" si="23"/>
        <v>368800.10570536315</v>
      </c>
      <c r="Q102" s="42">
        <f t="shared" si="23"/>
        <v>366956.10517683631</v>
      </c>
      <c r="R102" s="42">
        <f t="shared" si="23"/>
        <v>365121.32465095213</v>
      </c>
      <c r="S102" s="42">
        <f t="shared" si="23"/>
        <v>363295.71802769735</v>
      </c>
      <c r="T102" s="42">
        <f t="shared" si="23"/>
        <v>361479.23943755886</v>
      </c>
      <c r="U102" s="42">
        <f t="shared" si="23"/>
        <v>359671.84324037109</v>
      </c>
      <c r="V102" s="42">
        <f t="shared" si="23"/>
        <v>357873.48402416921</v>
      </c>
      <c r="W102" s="42">
        <f t="shared" si="23"/>
        <v>356084.11660404841</v>
      </c>
      <c r="X102" s="42">
        <f t="shared" si="23"/>
        <v>354303.69602102815</v>
      </c>
    </row>
    <row r="103" spans="2:24" x14ac:dyDescent="0.35">
      <c r="B103" s="221" t="s">
        <v>143</v>
      </c>
      <c r="C103" s="79">
        <f>'ABP Future Assumptions'!C53</f>
        <v>3372.0555555555547</v>
      </c>
      <c r="D103" s="80">
        <f>'ABP Future Assumptions'!J53</f>
        <v>84.96</v>
      </c>
      <c r="E103" s="221"/>
      <c r="F103" s="42">
        <f t="shared" ref="F103:X103" si="24">F42*$D103</f>
        <v>424306.69429948792</v>
      </c>
      <c r="G103" s="42">
        <f t="shared" si="24"/>
        <v>422185.1608279905</v>
      </c>
      <c r="H103" s="42">
        <f t="shared" si="24"/>
        <v>420074.23502385052</v>
      </c>
      <c r="I103" s="42">
        <f t="shared" si="24"/>
        <v>417973.86384873121</v>
      </c>
      <c r="J103" s="42">
        <f t="shared" si="24"/>
        <v>415883.99452948757</v>
      </c>
      <c r="K103" s="42">
        <f t="shared" si="24"/>
        <v>413804.57455684012</v>
      </c>
      <c r="L103" s="42">
        <f t="shared" si="24"/>
        <v>411735.55168405594</v>
      </c>
      <c r="M103" s="42">
        <f t="shared" si="24"/>
        <v>409676.87392563565</v>
      </c>
      <c r="N103" s="42">
        <f t="shared" si="24"/>
        <v>407628.48955600744</v>
      </c>
      <c r="O103" s="42">
        <f t="shared" si="24"/>
        <v>405590.34710822738</v>
      </c>
      <c r="P103" s="42">
        <f t="shared" si="24"/>
        <v>403562.39537268621</v>
      </c>
      <c r="Q103" s="42">
        <f t="shared" si="24"/>
        <v>401544.58339582279</v>
      </c>
      <c r="R103" s="42">
        <f t="shared" si="24"/>
        <v>399536.86047884368</v>
      </c>
      <c r="S103" s="42">
        <f t="shared" si="24"/>
        <v>397539.17617644946</v>
      </c>
      <c r="T103" s="42">
        <f t="shared" si="24"/>
        <v>395551.48029556719</v>
      </c>
      <c r="U103" s="42">
        <f t="shared" si="24"/>
        <v>393573.7228940893</v>
      </c>
      <c r="V103" s="42">
        <f t="shared" si="24"/>
        <v>391605.85427961888</v>
      </c>
      <c r="W103" s="42">
        <f t="shared" si="24"/>
        <v>389647.8250082208</v>
      </c>
      <c r="X103" s="42">
        <f t="shared" si="24"/>
        <v>387699.58588317962</v>
      </c>
    </row>
    <row r="104" spans="2:24" x14ac:dyDescent="0.35">
      <c r="B104" s="221" t="s">
        <v>138</v>
      </c>
      <c r="C104" s="79">
        <f>'ABP Future Assumptions'!C54</f>
        <v>12926.212962962962</v>
      </c>
      <c r="D104" s="80">
        <f>'ABP Future Assumptions'!J54</f>
        <v>76.91</v>
      </c>
      <c r="E104" s="221"/>
      <c r="F104" s="42">
        <f t="shared" ref="F104:X104" si="25">F43*$D104</f>
        <v>1472396.5017796478</v>
      </c>
      <c r="G104" s="42">
        <f t="shared" si="25"/>
        <v>1465034.5192707495</v>
      </c>
      <c r="H104" s="42">
        <f t="shared" si="25"/>
        <v>1457709.3466743955</v>
      </c>
      <c r="I104" s="42">
        <f t="shared" si="25"/>
        <v>1450420.7999410236</v>
      </c>
      <c r="J104" s="42">
        <f t="shared" si="25"/>
        <v>1443168.6959413185</v>
      </c>
      <c r="K104" s="42">
        <f t="shared" si="25"/>
        <v>1435952.8524616119</v>
      </c>
      <c r="L104" s="42">
        <f t="shared" si="25"/>
        <v>1428773.088199304</v>
      </c>
      <c r="M104" s="42">
        <f t="shared" si="25"/>
        <v>1421629.2227583074</v>
      </c>
      <c r="N104" s="42">
        <f t="shared" si="25"/>
        <v>1414521.0766445159</v>
      </c>
      <c r="O104" s="42">
        <f t="shared" si="25"/>
        <v>1407448.4712612932</v>
      </c>
      <c r="P104" s="42">
        <f t="shared" si="25"/>
        <v>1400411.2289049868</v>
      </c>
      <c r="Q104" s="42">
        <f t="shared" si="25"/>
        <v>1393409.1727604619</v>
      </c>
      <c r="R104" s="42">
        <f t="shared" si="25"/>
        <v>1386442.1268966596</v>
      </c>
      <c r="S104" s="42">
        <f t="shared" si="25"/>
        <v>1379509.9162621766</v>
      </c>
      <c r="T104" s="42">
        <f t="shared" si="25"/>
        <v>1372612.3666808656</v>
      </c>
      <c r="U104" s="42">
        <f t="shared" si="25"/>
        <v>1365749.3048474614</v>
      </c>
      <c r="V104" s="42">
        <f t="shared" si="25"/>
        <v>1358920.5583232238</v>
      </c>
      <c r="W104" s="42">
        <f t="shared" si="25"/>
        <v>1352125.9555316078</v>
      </c>
      <c r="X104" s="42">
        <f t="shared" si="25"/>
        <v>1345365.3257539498</v>
      </c>
    </row>
    <row r="105" spans="2:24" x14ac:dyDescent="0.35">
      <c r="B105" s="221" t="s">
        <v>139</v>
      </c>
      <c r="C105" s="79">
        <f>'ABP Future Assumptions'!C55</f>
        <v>27538.453703703701</v>
      </c>
      <c r="D105" s="80">
        <f>'ABP Future Assumptions'!J55</f>
        <v>66.88</v>
      </c>
      <c r="E105" s="221"/>
      <c r="F105" s="42">
        <f t="shared" ref="F105:X105" si="26">F44*$D105</f>
        <v>2727761.9939240776</v>
      </c>
      <c r="G105" s="42">
        <f t="shared" si="26"/>
        <v>2714123.1839544568</v>
      </c>
      <c r="H105" s="42">
        <f t="shared" si="26"/>
        <v>2700552.5680346848</v>
      </c>
      <c r="I105" s="42">
        <f t="shared" si="26"/>
        <v>2687049.8051945111</v>
      </c>
      <c r="J105" s="42">
        <f t="shared" si="26"/>
        <v>2673614.5561685385</v>
      </c>
      <c r="K105" s="42">
        <f t="shared" si="26"/>
        <v>2660246.4833876961</v>
      </c>
      <c r="L105" s="42">
        <f t="shared" si="26"/>
        <v>2646945.2509707576</v>
      </c>
      <c r="M105" s="42">
        <f t="shared" si="26"/>
        <v>2633710.5247159037</v>
      </c>
      <c r="N105" s="42">
        <f t="shared" si="26"/>
        <v>2620541.9720923239</v>
      </c>
      <c r="O105" s="42">
        <f t="shared" si="26"/>
        <v>2607439.2622318626</v>
      </c>
      <c r="P105" s="42">
        <f t="shared" si="26"/>
        <v>2594402.0659207031</v>
      </c>
      <c r="Q105" s="42">
        <f t="shared" si="26"/>
        <v>2581430.0555910999</v>
      </c>
      <c r="R105" s="42">
        <f t="shared" si="26"/>
        <v>2568522.905313144</v>
      </c>
      <c r="S105" s="42">
        <f t="shared" si="26"/>
        <v>2555680.2907865783</v>
      </c>
      <c r="T105" s="42">
        <f t="shared" si="26"/>
        <v>2542901.8893326451</v>
      </c>
      <c r="U105" s="42">
        <f t="shared" si="26"/>
        <v>2530187.3798859823</v>
      </c>
      <c r="V105" s="42">
        <f t="shared" si="26"/>
        <v>2517536.4429865521</v>
      </c>
      <c r="W105" s="42">
        <f t="shared" si="26"/>
        <v>2504948.7607716192</v>
      </c>
      <c r="X105" s="42">
        <f t="shared" si="26"/>
        <v>2492424.0169677609</v>
      </c>
    </row>
    <row r="106" spans="2:24" x14ac:dyDescent="0.35">
      <c r="B106" s="221" t="s">
        <v>146</v>
      </c>
      <c r="C106" s="79">
        <f>'ABP Future Assumptions'!C56</f>
        <v>14050.23148148148</v>
      </c>
      <c r="D106" s="80">
        <f>'ABP Future Assumptions'!J56</f>
        <v>61.04</v>
      </c>
      <c r="E106" s="221"/>
      <c r="F106" s="42">
        <f t="shared" ref="F106:X106" si="27">F45*$D106</f>
        <v>1270189.9236915777</v>
      </c>
      <c r="G106" s="42">
        <f t="shared" si="27"/>
        <v>1263838.9740731197</v>
      </c>
      <c r="H106" s="42">
        <f t="shared" si="27"/>
        <v>1257519.7792027541</v>
      </c>
      <c r="I106" s="42">
        <f t="shared" si="27"/>
        <v>1251232.1803067403</v>
      </c>
      <c r="J106" s="42">
        <f t="shared" si="27"/>
        <v>1244976.0194052064</v>
      </c>
      <c r="K106" s="42">
        <f t="shared" si="27"/>
        <v>1238751.1393081804</v>
      </c>
      <c r="L106" s="42">
        <f t="shared" si="27"/>
        <v>1232557.3836116395</v>
      </c>
      <c r="M106" s="42">
        <f t="shared" si="27"/>
        <v>1226394.5966935812</v>
      </c>
      <c r="N106" s="42">
        <f t="shared" si="27"/>
        <v>1220262.6237101133</v>
      </c>
      <c r="O106" s="42">
        <f t="shared" si="27"/>
        <v>1214161.3105915629</v>
      </c>
      <c r="P106" s="42">
        <f t="shared" si="27"/>
        <v>1208090.5040386051</v>
      </c>
      <c r="Q106" s="42">
        <f t="shared" si="27"/>
        <v>1202050.0515184121</v>
      </c>
      <c r="R106" s="42">
        <f t="shared" si="27"/>
        <v>1196039.8012608199</v>
      </c>
      <c r="S106" s="42">
        <f t="shared" si="27"/>
        <v>1190059.6022545157</v>
      </c>
      <c r="T106" s="42">
        <f t="shared" si="27"/>
        <v>1184109.3042432431</v>
      </c>
      <c r="U106" s="42">
        <f t="shared" si="27"/>
        <v>1178188.7577220269</v>
      </c>
      <c r="V106" s="42">
        <f t="shared" si="27"/>
        <v>1172297.8139334167</v>
      </c>
      <c r="W106" s="42">
        <f t="shared" si="27"/>
        <v>1166436.3248637498</v>
      </c>
      <c r="X106" s="42">
        <f t="shared" si="27"/>
        <v>1160604.1432394311</v>
      </c>
    </row>
    <row r="107" spans="2:24" x14ac:dyDescent="0.35">
      <c r="B107" s="221" t="s">
        <v>141</v>
      </c>
      <c r="C107" s="79">
        <f>'ABP Future Assumptions'!C57</f>
        <v>0</v>
      </c>
      <c r="D107" s="80">
        <f>'ABP Future Assumptions'!J57</f>
        <v>46.74</v>
      </c>
      <c r="E107" s="221"/>
      <c r="F107" s="139"/>
      <c r="G107" s="42"/>
      <c r="H107" s="42"/>
      <c r="I107" s="42"/>
      <c r="J107" s="42"/>
      <c r="K107" s="42"/>
      <c r="L107" s="42"/>
      <c r="M107" s="42"/>
      <c r="N107" s="42"/>
      <c r="O107" s="42"/>
      <c r="P107" s="42"/>
      <c r="Q107" s="42"/>
      <c r="R107" s="42"/>
      <c r="S107" s="42"/>
      <c r="T107" s="42"/>
      <c r="U107" s="42"/>
      <c r="V107" s="42"/>
      <c r="W107" s="42"/>
      <c r="X107" s="42"/>
    </row>
    <row r="108" spans="2:24" x14ac:dyDescent="0.35">
      <c r="B108" s="14" t="s">
        <v>153</v>
      </c>
      <c r="C108" s="79">
        <f>'ABP Future Assumptions'!C58</f>
        <v>26680</v>
      </c>
      <c r="D108" s="102"/>
      <c r="E108" s="18">
        <f>SUM(G108:Y108)</f>
        <v>37575622.55421818</v>
      </c>
      <c r="F108" s="138"/>
      <c r="G108" s="135">
        <f t="shared" ref="G108:X108" si="28">SUM(G109:G110)</f>
        <v>5636343.3831327278</v>
      </c>
      <c r="H108" s="135">
        <f t="shared" si="28"/>
        <v>5323213.1951809097</v>
      </c>
      <c r="I108" s="135">
        <f t="shared" si="28"/>
        <v>5323213.1951809097</v>
      </c>
      <c r="J108" s="135">
        <f t="shared" si="28"/>
        <v>5323213.1951809097</v>
      </c>
      <c r="K108" s="135">
        <f t="shared" si="28"/>
        <v>5323213.1951809097</v>
      </c>
      <c r="L108" s="135">
        <f t="shared" si="28"/>
        <v>5323213.1951809097</v>
      </c>
      <c r="M108" s="135">
        <f t="shared" si="28"/>
        <v>5323213.1951809097</v>
      </c>
      <c r="N108" s="135">
        <f t="shared" si="28"/>
        <v>0</v>
      </c>
      <c r="O108" s="135">
        <f t="shared" si="28"/>
        <v>0</v>
      </c>
      <c r="P108" s="135">
        <f t="shared" si="28"/>
        <v>0</v>
      </c>
      <c r="Q108" s="135">
        <f t="shared" si="28"/>
        <v>0</v>
      </c>
      <c r="R108" s="135">
        <f t="shared" si="28"/>
        <v>0</v>
      </c>
      <c r="S108" s="135">
        <f t="shared" si="28"/>
        <v>0</v>
      </c>
      <c r="T108" s="135">
        <f t="shared" si="28"/>
        <v>0</v>
      </c>
      <c r="U108" s="135">
        <f t="shared" si="28"/>
        <v>0</v>
      </c>
      <c r="V108" s="135">
        <f t="shared" si="28"/>
        <v>0</v>
      </c>
      <c r="W108" s="135">
        <f t="shared" si="28"/>
        <v>0</v>
      </c>
      <c r="X108" s="135">
        <f t="shared" si="28"/>
        <v>0</v>
      </c>
    </row>
    <row r="109" spans="2:24" x14ac:dyDescent="0.35">
      <c r="B109" s="179" t="s">
        <v>154</v>
      </c>
      <c r="C109" s="174">
        <f>'ABP Future Assumptions'!C59</f>
        <v>8004</v>
      </c>
      <c r="D109" s="80">
        <f>'ABP Future Assumptions'!J65</f>
        <v>57.93</v>
      </c>
      <c r="E109" s="221"/>
      <c r="F109" s="137"/>
      <c r="G109" s="42">
        <f>(E48*D109)*0.15</f>
        <v>1492200.5309771446</v>
      </c>
      <c r="H109" s="42">
        <f>((E48*D109)-G109)/6</f>
        <v>1409300.5014784143</v>
      </c>
      <c r="I109" s="42">
        <f t="shared" ref="I109:M110" si="29">H109</f>
        <v>1409300.5014784143</v>
      </c>
      <c r="J109" s="42">
        <f t="shared" si="29"/>
        <v>1409300.5014784143</v>
      </c>
      <c r="K109" s="42">
        <f t="shared" si="29"/>
        <v>1409300.5014784143</v>
      </c>
      <c r="L109" s="42">
        <f t="shared" si="29"/>
        <v>1409300.5014784143</v>
      </c>
      <c r="M109" s="42">
        <f t="shared" si="29"/>
        <v>1409300.5014784143</v>
      </c>
      <c r="O109" s="42"/>
      <c r="P109" s="42"/>
      <c r="Q109" s="42"/>
      <c r="R109" s="42"/>
      <c r="S109" s="42"/>
      <c r="T109" s="42"/>
      <c r="U109" s="42"/>
      <c r="V109" s="42"/>
      <c r="W109" s="42"/>
      <c r="X109" s="42"/>
    </row>
    <row r="110" spans="2:24" x14ac:dyDescent="0.35">
      <c r="B110" s="179" t="s">
        <v>155</v>
      </c>
      <c r="C110" s="174">
        <f>'ABP Future Assumptions'!C67</f>
        <v>18676</v>
      </c>
      <c r="D110" s="80">
        <f>'ABP Future Assumptions'!J73</f>
        <v>68.95</v>
      </c>
      <c r="E110" s="221"/>
      <c r="F110" s="137"/>
      <c r="G110" s="42">
        <f>(E49*D110)*0.15</f>
        <v>4144142.8521555834</v>
      </c>
      <c r="H110" s="42">
        <f>((E49*D110)-G110)/6</f>
        <v>3913912.6937024952</v>
      </c>
      <c r="I110" s="42">
        <f t="shared" si="29"/>
        <v>3913912.6937024952</v>
      </c>
      <c r="J110" s="42">
        <f t="shared" si="29"/>
        <v>3913912.6937024952</v>
      </c>
      <c r="K110" s="42">
        <f t="shared" si="29"/>
        <v>3913912.6937024952</v>
      </c>
      <c r="L110" s="42">
        <f t="shared" si="29"/>
        <v>3913912.6937024952</v>
      </c>
      <c r="M110" s="42">
        <f t="shared" si="29"/>
        <v>3913912.6937024952</v>
      </c>
      <c r="O110" s="42"/>
      <c r="P110" s="42"/>
      <c r="Q110" s="42"/>
      <c r="R110" s="42"/>
      <c r="S110" s="42"/>
      <c r="T110" s="42"/>
      <c r="U110" s="42"/>
      <c r="V110" s="42"/>
      <c r="W110" s="42"/>
      <c r="X110" s="42"/>
    </row>
    <row r="111" spans="2:24" x14ac:dyDescent="0.35">
      <c r="B111" s="99" t="s">
        <v>156</v>
      </c>
      <c r="C111" s="79">
        <f>'ABP Future Assumptions'!C75</f>
        <v>133400</v>
      </c>
      <c r="D111" s="102"/>
      <c r="E111" s="18">
        <f>SUM(F111:Y111)</f>
        <v>124008944.70201774</v>
      </c>
      <c r="F111" s="136">
        <f t="shared" ref="F111:X111" si="30">SUM(F113:F122)</f>
        <v>18601341.705302659</v>
      </c>
      <c r="G111" s="136">
        <f t="shared" si="30"/>
        <v>17567933.832785849</v>
      </c>
      <c r="H111" s="136">
        <f t="shared" si="30"/>
        <v>17567933.832785849</v>
      </c>
      <c r="I111" s="136">
        <f t="shared" si="30"/>
        <v>17567933.832785849</v>
      </c>
      <c r="J111" s="136">
        <f t="shared" si="30"/>
        <v>17567933.832785849</v>
      </c>
      <c r="K111" s="136">
        <f t="shared" si="30"/>
        <v>17567933.832785849</v>
      </c>
      <c r="L111" s="136">
        <f t="shared" si="30"/>
        <v>17567933.832785849</v>
      </c>
      <c r="M111" s="136">
        <f t="shared" si="30"/>
        <v>0</v>
      </c>
      <c r="N111" s="136">
        <f t="shared" si="30"/>
        <v>0</v>
      </c>
      <c r="O111" s="136">
        <f t="shared" si="30"/>
        <v>0</v>
      </c>
      <c r="P111" s="136">
        <f t="shared" si="30"/>
        <v>0</v>
      </c>
      <c r="Q111" s="136">
        <f t="shared" si="30"/>
        <v>0</v>
      </c>
      <c r="R111" s="136">
        <f t="shared" si="30"/>
        <v>0</v>
      </c>
      <c r="S111" s="136">
        <f t="shared" si="30"/>
        <v>0</v>
      </c>
      <c r="T111" s="136">
        <f t="shared" si="30"/>
        <v>0</v>
      </c>
      <c r="U111" s="136">
        <f t="shared" si="30"/>
        <v>0</v>
      </c>
      <c r="V111" s="136">
        <f t="shared" si="30"/>
        <v>0</v>
      </c>
      <c r="W111" s="136">
        <f t="shared" si="30"/>
        <v>0</v>
      </c>
      <c r="X111" s="136">
        <f t="shared" si="30"/>
        <v>0</v>
      </c>
    </row>
    <row r="112" spans="2:24" x14ac:dyDescent="0.35">
      <c r="B112" s="179" t="s">
        <v>157</v>
      </c>
      <c r="C112" s="174">
        <f>'ABP Future Assumptions'!C76</f>
        <v>40020</v>
      </c>
      <c r="D112" s="103"/>
      <c r="E112" s="179"/>
      <c r="F112" s="176"/>
      <c r="G112" s="176"/>
      <c r="H112" s="176"/>
      <c r="I112" s="176"/>
      <c r="J112" s="176"/>
      <c r="K112" s="176"/>
      <c r="L112" s="176"/>
      <c r="M112" s="176"/>
      <c r="N112" s="176"/>
      <c r="O112" s="176"/>
      <c r="P112" s="176"/>
      <c r="Q112" s="176"/>
      <c r="R112" s="176"/>
      <c r="S112" s="176"/>
      <c r="T112" s="176"/>
      <c r="U112" s="176"/>
      <c r="V112" s="176"/>
      <c r="W112" s="176"/>
      <c r="X112" s="176"/>
    </row>
    <row r="113" spans="2:24" x14ac:dyDescent="0.35">
      <c r="B113" s="221" t="s">
        <v>137</v>
      </c>
      <c r="C113" s="79">
        <f>'ABP Future Assumptions'!C77</f>
        <v>3305.2461204279521</v>
      </c>
      <c r="D113" s="80">
        <f>'ABP Future Assumptions'!J77</f>
        <v>55.89</v>
      </c>
      <c r="E113" s="221"/>
      <c r="F113" s="42">
        <f>(E52*D113)*0.15</f>
        <v>534374.59915289981</v>
      </c>
      <c r="G113" s="42">
        <f>((E52*D113)-F113)/6</f>
        <v>504687.12142218323</v>
      </c>
      <c r="H113" s="42">
        <f t="shared" ref="H113:L116" si="31">G113</f>
        <v>504687.12142218323</v>
      </c>
      <c r="I113" s="42">
        <f t="shared" si="31"/>
        <v>504687.12142218323</v>
      </c>
      <c r="J113" s="42">
        <f t="shared" si="31"/>
        <v>504687.12142218323</v>
      </c>
      <c r="K113" s="42">
        <f t="shared" si="31"/>
        <v>504687.12142218323</v>
      </c>
      <c r="L113" s="42">
        <f t="shared" si="31"/>
        <v>504687.12142218323</v>
      </c>
      <c r="M113" s="42">
        <v>0</v>
      </c>
      <c r="N113" s="42">
        <v>0</v>
      </c>
      <c r="O113" s="42">
        <v>0</v>
      </c>
      <c r="P113" s="42">
        <v>0</v>
      </c>
      <c r="Q113" s="42">
        <v>0</v>
      </c>
      <c r="R113" s="42">
        <v>0</v>
      </c>
      <c r="S113" s="42">
        <v>0</v>
      </c>
      <c r="T113" s="42">
        <v>0</v>
      </c>
      <c r="U113" s="42">
        <v>0</v>
      </c>
      <c r="V113" s="42">
        <v>0</v>
      </c>
      <c r="W113" s="42">
        <v>0</v>
      </c>
      <c r="X113" s="42">
        <v>0</v>
      </c>
    </row>
    <row r="114" spans="2:24" x14ac:dyDescent="0.35">
      <c r="B114" s="221" t="s">
        <v>138</v>
      </c>
      <c r="C114" s="79">
        <f>'ABP Future Assumptions'!C78</f>
        <v>2553.1450264857485</v>
      </c>
      <c r="D114" s="80">
        <f>'ABP Future Assumptions'!J78</f>
        <v>53.63</v>
      </c>
      <c r="E114" s="221"/>
      <c r="F114" s="42">
        <f>(E53*D114)*0.15</f>
        <v>386235.51806922338</v>
      </c>
      <c r="G114" s="42">
        <f>((E53*D114)-F114)/6</f>
        <v>364777.98928759986</v>
      </c>
      <c r="H114" s="42">
        <f t="shared" si="31"/>
        <v>364777.98928759986</v>
      </c>
      <c r="I114" s="42">
        <f t="shared" si="31"/>
        <v>364777.98928759986</v>
      </c>
      <c r="J114" s="42">
        <f t="shared" si="31"/>
        <v>364777.98928759986</v>
      </c>
      <c r="K114" s="42">
        <f t="shared" si="31"/>
        <v>364777.98928759986</v>
      </c>
      <c r="L114" s="42">
        <f t="shared" si="31"/>
        <v>364777.98928759986</v>
      </c>
      <c r="M114" s="42">
        <v>0</v>
      </c>
      <c r="N114" s="42">
        <v>0</v>
      </c>
      <c r="O114" s="42">
        <v>0</v>
      </c>
      <c r="P114" s="42">
        <v>0</v>
      </c>
      <c r="Q114" s="42">
        <v>0</v>
      </c>
      <c r="R114" s="42">
        <v>0</v>
      </c>
      <c r="S114" s="42">
        <v>0</v>
      </c>
      <c r="T114" s="42">
        <v>0</v>
      </c>
      <c r="U114" s="42">
        <v>0</v>
      </c>
      <c r="V114" s="42">
        <v>0</v>
      </c>
      <c r="W114" s="42">
        <v>0</v>
      </c>
      <c r="X114" s="42">
        <v>0</v>
      </c>
    </row>
    <row r="115" spans="2:24" x14ac:dyDescent="0.35">
      <c r="B115" s="221" t="s">
        <v>139</v>
      </c>
      <c r="C115" s="79">
        <f>'ABP Future Assumptions'!C79</f>
        <v>5926.6545474380619</v>
      </c>
      <c r="D115" s="80">
        <f>'ABP Future Assumptions'!J79</f>
        <v>46.58</v>
      </c>
      <c r="E115" s="221"/>
      <c r="F115" s="42">
        <f>(E54*D115)*0.15</f>
        <v>804147.48008925922</v>
      </c>
      <c r="G115" s="42">
        <f>((E54*D115)-F115)/6</f>
        <v>759472.62008430029</v>
      </c>
      <c r="H115" s="42">
        <f t="shared" si="31"/>
        <v>759472.62008430029</v>
      </c>
      <c r="I115" s="42">
        <f t="shared" si="31"/>
        <v>759472.62008430029</v>
      </c>
      <c r="J115" s="42">
        <f t="shared" si="31"/>
        <v>759472.62008430029</v>
      </c>
      <c r="K115" s="42">
        <f t="shared" si="31"/>
        <v>759472.62008430029</v>
      </c>
      <c r="L115" s="42">
        <f t="shared" si="31"/>
        <v>759472.62008430029</v>
      </c>
      <c r="M115" s="42">
        <v>0</v>
      </c>
      <c r="N115" s="42">
        <v>0</v>
      </c>
      <c r="O115" s="42">
        <v>0</v>
      </c>
      <c r="P115" s="42">
        <v>0</v>
      </c>
      <c r="Q115" s="42">
        <v>0</v>
      </c>
      <c r="R115" s="42">
        <v>0</v>
      </c>
      <c r="S115" s="42">
        <v>0</v>
      </c>
      <c r="T115" s="42">
        <v>0</v>
      </c>
      <c r="U115" s="42">
        <v>0</v>
      </c>
      <c r="V115" s="42">
        <v>0</v>
      </c>
      <c r="W115" s="42">
        <v>0</v>
      </c>
      <c r="X115" s="42">
        <v>0</v>
      </c>
    </row>
    <row r="116" spans="2:24" x14ac:dyDescent="0.35">
      <c r="B116" s="221" t="s">
        <v>146</v>
      </c>
      <c r="C116" s="79">
        <f>'ABP Future Assumptions'!C80</f>
        <v>28234.872699670323</v>
      </c>
      <c r="D116" s="80">
        <f>'ABP Future Assumptions'!J80</f>
        <v>43.77</v>
      </c>
      <c r="E116" s="221"/>
      <c r="F116" s="42">
        <f>(E55*D116)*0.15</f>
        <v>3390053.3111743103</v>
      </c>
      <c r="G116" s="42">
        <f>((E55*D116)-F116)/6</f>
        <v>3201717.0161090712</v>
      </c>
      <c r="H116" s="42">
        <f t="shared" si="31"/>
        <v>3201717.0161090712</v>
      </c>
      <c r="I116" s="42">
        <f t="shared" si="31"/>
        <v>3201717.0161090712</v>
      </c>
      <c r="J116" s="42">
        <f t="shared" si="31"/>
        <v>3201717.0161090712</v>
      </c>
      <c r="K116" s="42">
        <f t="shared" si="31"/>
        <v>3201717.0161090712</v>
      </c>
      <c r="L116" s="42">
        <f t="shared" si="31"/>
        <v>3201717.0161090712</v>
      </c>
      <c r="M116" s="42">
        <v>0</v>
      </c>
      <c r="N116" s="42">
        <v>0</v>
      </c>
      <c r="O116" s="42">
        <v>0</v>
      </c>
      <c r="P116" s="42">
        <v>0</v>
      </c>
      <c r="Q116" s="42">
        <v>0</v>
      </c>
      <c r="R116" s="42">
        <v>0</v>
      </c>
      <c r="S116" s="42">
        <v>0</v>
      </c>
      <c r="T116" s="42">
        <v>0</v>
      </c>
      <c r="U116" s="42">
        <v>0</v>
      </c>
      <c r="V116" s="42">
        <v>0</v>
      </c>
      <c r="W116" s="42">
        <v>0</v>
      </c>
      <c r="X116" s="42">
        <v>0</v>
      </c>
    </row>
    <row r="117" spans="2:24" x14ac:dyDescent="0.35">
      <c r="B117" s="221" t="s">
        <v>141</v>
      </c>
      <c r="C117" s="79">
        <f>'ABP Future Assumptions'!C81</f>
        <v>0</v>
      </c>
      <c r="D117" s="80">
        <f>'ABP Future Assumptions'!J81</f>
        <v>33.03</v>
      </c>
      <c r="E117" s="221"/>
      <c r="F117" s="42"/>
      <c r="G117" s="42"/>
      <c r="H117" s="42"/>
      <c r="I117" s="42"/>
      <c r="J117" s="42"/>
      <c r="K117" s="42"/>
      <c r="L117" s="42"/>
      <c r="M117" s="42"/>
      <c r="N117" s="42"/>
      <c r="O117" s="42"/>
      <c r="P117" s="42"/>
      <c r="Q117" s="42"/>
      <c r="R117" s="42"/>
      <c r="S117" s="42"/>
      <c r="T117" s="42"/>
      <c r="U117" s="42"/>
      <c r="V117" s="42"/>
      <c r="W117" s="42"/>
      <c r="X117" s="42"/>
    </row>
    <row r="118" spans="2:24" x14ac:dyDescent="0.35">
      <c r="B118" s="179" t="s">
        <v>158</v>
      </c>
      <c r="C118" s="174">
        <f>'ABP Future Assumptions'!C82</f>
        <v>93380</v>
      </c>
      <c r="D118" s="103"/>
      <c r="E118" s="179"/>
      <c r="F118" s="176"/>
      <c r="G118" s="176"/>
      <c r="H118" s="176"/>
      <c r="I118" s="176"/>
      <c r="J118" s="176"/>
      <c r="K118" s="176"/>
      <c r="L118" s="176"/>
      <c r="M118" s="176"/>
      <c r="N118" s="176"/>
      <c r="O118" s="176"/>
      <c r="P118" s="176"/>
      <c r="Q118" s="176"/>
      <c r="R118" s="176"/>
      <c r="S118" s="176"/>
      <c r="T118" s="176"/>
      <c r="U118" s="176"/>
      <c r="V118" s="176"/>
      <c r="W118" s="176"/>
      <c r="X118" s="176"/>
    </row>
    <row r="119" spans="2:24" x14ac:dyDescent="0.35">
      <c r="B119" s="221" t="s">
        <v>143</v>
      </c>
      <c r="C119" s="79">
        <f>'ABP Future Assumptions'!C83</f>
        <v>3531.4549095663756</v>
      </c>
      <c r="D119" s="80">
        <f>'ABP Future Assumptions'!J83</f>
        <v>70.23</v>
      </c>
      <c r="E119" s="221"/>
      <c r="F119" s="42">
        <f>(E58*D119)*0.15</f>
        <v>675374.38277331775</v>
      </c>
      <c r="G119" s="42">
        <f>((E58*D119)-F119)/6</f>
        <v>637853.5837303556</v>
      </c>
      <c r="H119" s="42">
        <f t="shared" ref="H119:L122" si="32">G119</f>
        <v>637853.5837303556</v>
      </c>
      <c r="I119" s="42">
        <f t="shared" si="32"/>
        <v>637853.5837303556</v>
      </c>
      <c r="J119" s="42">
        <f t="shared" si="32"/>
        <v>637853.5837303556</v>
      </c>
      <c r="K119" s="42">
        <f t="shared" si="32"/>
        <v>637853.5837303556</v>
      </c>
      <c r="L119" s="42">
        <f t="shared" si="32"/>
        <v>637853.5837303556</v>
      </c>
      <c r="M119" s="42">
        <v>0</v>
      </c>
      <c r="N119" s="42">
        <v>0</v>
      </c>
      <c r="O119" s="42">
        <v>0</v>
      </c>
      <c r="P119" s="42">
        <v>0</v>
      </c>
      <c r="Q119" s="42">
        <v>0</v>
      </c>
      <c r="R119" s="42">
        <v>0</v>
      </c>
      <c r="S119" s="42">
        <v>0</v>
      </c>
      <c r="T119" s="42">
        <v>0</v>
      </c>
      <c r="U119" s="42">
        <v>0</v>
      </c>
      <c r="V119" s="42">
        <v>0</v>
      </c>
      <c r="W119" s="42">
        <v>0</v>
      </c>
      <c r="X119" s="42">
        <v>0</v>
      </c>
    </row>
    <row r="120" spans="2:24" x14ac:dyDescent="0.35">
      <c r="B120" s="221" t="s">
        <v>138</v>
      </c>
      <c r="C120" s="79">
        <f>'ABP Future Assumptions'!C84</f>
        <v>2749.9472612294699</v>
      </c>
      <c r="D120" s="80">
        <f>'ABP Future Assumptions'!J84</f>
        <v>63.34</v>
      </c>
      <c r="E120" s="221"/>
      <c r="F120" s="42">
        <f>(E59*D120)*0.15</f>
        <v>470008.98212261422</v>
      </c>
      <c r="G120" s="42">
        <f>((E59*D120)-F120)/6</f>
        <v>443897.37200469128</v>
      </c>
      <c r="H120" s="42">
        <f t="shared" si="32"/>
        <v>443897.37200469128</v>
      </c>
      <c r="I120" s="42">
        <f t="shared" si="32"/>
        <v>443897.37200469128</v>
      </c>
      <c r="J120" s="42">
        <f t="shared" si="32"/>
        <v>443897.37200469128</v>
      </c>
      <c r="K120" s="42">
        <f t="shared" si="32"/>
        <v>443897.37200469128</v>
      </c>
      <c r="L120" s="42">
        <f t="shared" si="32"/>
        <v>443897.37200469128</v>
      </c>
      <c r="M120" s="42">
        <v>0</v>
      </c>
      <c r="N120" s="42">
        <v>0</v>
      </c>
      <c r="O120" s="42">
        <v>0</v>
      </c>
      <c r="P120" s="42">
        <v>0</v>
      </c>
      <c r="Q120" s="42">
        <v>0</v>
      </c>
      <c r="R120" s="42">
        <v>0</v>
      </c>
      <c r="S120" s="42">
        <v>0</v>
      </c>
      <c r="T120" s="42">
        <v>0</v>
      </c>
      <c r="U120" s="42">
        <v>0</v>
      </c>
      <c r="V120" s="42">
        <v>0</v>
      </c>
      <c r="W120" s="42">
        <v>0</v>
      </c>
      <c r="X120" s="42">
        <v>0</v>
      </c>
    </row>
    <row r="121" spans="2:24" x14ac:dyDescent="0.35">
      <c r="B121" s="221" t="s">
        <v>139</v>
      </c>
      <c r="C121" s="79">
        <f>'ABP Future Assumptions'!C85</f>
        <v>10192.344615055583</v>
      </c>
      <c r="D121" s="80">
        <f>'ABP Future Assumptions'!J85</f>
        <v>54.6</v>
      </c>
      <c r="E121" s="221"/>
      <c r="F121" s="42">
        <f>(E60*D121)*0.15</f>
        <v>1495618.0892871537</v>
      </c>
      <c r="G121" s="42">
        <f>((E60*D121)-F121)/6</f>
        <v>1412528.1954378672</v>
      </c>
      <c r="H121" s="42">
        <f t="shared" si="32"/>
        <v>1412528.1954378672</v>
      </c>
      <c r="I121" s="42">
        <f t="shared" si="32"/>
        <v>1412528.1954378672</v>
      </c>
      <c r="J121" s="42">
        <f t="shared" si="32"/>
        <v>1412528.1954378672</v>
      </c>
      <c r="K121" s="42">
        <f t="shared" si="32"/>
        <v>1412528.1954378672</v>
      </c>
      <c r="L121" s="42">
        <f t="shared" si="32"/>
        <v>1412528.1954378672</v>
      </c>
      <c r="M121" s="42">
        <v>0</v>
      </c>
      <c r="N121" s="42">
        <v>0</v>
      </c>
      <c r="O121" s="42">
        <v>0</v>
      </c>
      <c r="P121" s="42">
        <v>0</v>
      </c>
      <c r="Q121" s="42">
        <v>0</v>
      </c>
      <c r="R121" s="42">
        <v>0</v>
      </c>
      <c r="S121" s="42">
        <v>0</v>
      </c>
      <c r="T121" s="42">
        <v>0</v>
      </c>
      <c r="U121" s="42">
        <v>0</v>
      </c>
      <c r="V121" s="42">
        <v>0</v>
      </c>
      <c r="W121" s="42">
        <v>0</v>
      </c>
      <c r="X121" s="42">
        <v>0</v>
      </c>
    </row>
    <row r="122" spans="2:24" x14ac:dyDescent="0.35">
      <c r="B122" s="221" t="s">
        <v>146</v>
      </c>
      <c r="C122" s="79">
        <f>'ABP Future Assumptions'!C86</f>
        <v>76906.220793171669</v>
      </c>
      <c r="D122" s="80">
        <f>'ABP Future Assumptions'!J86</f>
        <v>49.49</v>
      </c>
      <c r="E122" s="221"/>
      <c r="F122" s="42">
        <f>(E61*D122)*0.15</f>
        <v>10845529.342633883</v>
      </c>
      <c r="G122" s="42">
        <f>((E61*D122)-F122)/6</f>
        <v>10242999.934709778</v>
      </c>
      <c r="H122" s="42">
        <f t="shared" si="32"/>
        <v>10242999.934709778</v>
      </c>
      <c r="I122" s="42">
        <f t="shared" si="32"/>
        <v>10242999.934709778</v>
      </c>
      <c r="J122" s="42">
        <f t="shared" si="32"/>
        <v>10242999.934709778</v>
      </c>
      <c r="K122" s="42">
        <f t="shared" si="32"/>
        <v>10242999.934709778</v>
      </c>
      <c r="L122" s="42">
        <f t="shared" si="32"/>
        <v>10242999.934709778</v>
      </c>
      <c r="M122" s="42">
        <v>0</v>
      </c>
      <c r="N122" s="42">
        <v>0</v>
      </c>
      <c r="O122" s="42">
        <v>0</v>
      </c>
      <c r="P122" s="42">
        <v>0</v>
      </c>
      <c r="Q122" s="42">
        <v>0</v>
      </c>
      <c r="R122" s="42">
        <v>0</v>
      </c>
      <c r="S122" s="42">
        <v>0</v>
      </c>
      <c r="T122" s="42">
        <v>0</v>
      </c>
      <c r="U122" s="42">
        <v>0</v>
      </c>
      <c r="V122" s="42">
        <v>0</v>
      </c>
      <c r="W122" s="42">
        <v>0</v>
      </c>
      <c r="X122" s="42">
        <v>0</v>
      </c>
    </row>
    <row r="123" spans="2:24" x14ac:dyDescent="0.35">
      <c r="B123" s="221" t="s">
        <v>141</v>
      </c>
      <c r="C123" s="79">
        <f>'ABP Future Assumptions'!C87</f>
        <v>0</v>
      </c>
      <c r="D123" s="80">
        <f>'ABP Future Assumptions'!J87</f>
        <v>37.049999999999997</v>
      </c>
      <c r="E123" s="221"/>
      <c r="F123" s="42"/>
      <c r="G123" s="42"/>
      <c r="H123" s="42"/>
      <c r="I123" s="42"/>
      <c r="J123" s="42"/>
      <c r="K123" s="42"/>
      <c r="L123" s="42"/>
      <c r="M123" s="42"/>
      <c r="N123" s="42"/>
      <c r="O123" s="42"/>
      <c r="P123" s="42"/>
      <c r="Q123" s="42"/>
      <c r="R123" s="42"/>
      <c r="S123" s="42"/>
      <c r="T123" s="42"/>
      <c r="U123" s="42"/>
      <c r="V123" s="42"/>
      <c r="W123" s="42"/>
      <c r="X123" s="42"/>
    </row>
  </sheetData>
  <printOptions horizontalCentered="1" verticalCentered="1"/>
  <pageMargins left="0.7" right="0.7" top="0.75" bottom="0.75" header="0.3" footer="0.3"/>
  <pageSetup scale="31" fitToHeight="2" orientation="landscape" r:id="rId1"/>
  <headerFooter>
    <oddHeader>&amp;A</oddHeader>
  </headerFooter>
  <rowBreaks count="1" manualBreakCount="1">
    <brk id="63" min="1" max="25" man="1"/>
  </rowBreaks>
  <customProperties>
    <customPr name="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95495-4789-471F-B543-3F1A7BE9C8C0}">
  <sheetPr>
    <tabColor theme="7" tint="0.59999389629810485"/>
    <pageSetUpPr fitToPage="1"/>
  </sheetPr>
  <dimension ref="A1:T16"/>
  <sheetViews>
    <sheetView zoomScaleNormal="100" workbookViewId="0">
      <selection activeCell="L3" sqref="L3"/>
    </sheetView>
  </sheetViews>
  <sheetFormatPr defaultColWidth="9.1796875" defaultRowHeight="14.5" x14ac:dyDescent="0.35"/>
  <cols>
    <col min="1" max="1" width="45.1796875" bestFit="1" customWidth="1"/>
    <col min="2" max="2" width="12.54296875" bestFit="1" customWidth="1"/>
    <col min="3" max="4" width="12.453125" bestFit="1" customWidth="1"/>
    <col min="5" max="5" width="12.54296875" bestFit="1" customWidth="1"/>
    <col min="6" max="6" width="12.453125" bestFit="1" customWidth="1"/>
    <col min="7" max="7" width="12" bestFit="1" customWidth="1"/>
    <col min="8" max="8" width="12.54296875" bestFit="1" customWidth="1"/>
    <col min="9" max="11" width="12.453125" bestFit="1" customWidth="1"/>
    <col min="12" max="13" width="12.54296875" bestFit="1" customWidth="1"/>
    <col min="14" max="14" width="12.453125" bestFit="1" customWidth="1"/>
    <col min="15" max="15" width="12.54296875" bestFit="1" customWidth="1"/>
    <col min="16" max="17" width="12.453125" bestFit="1" customWidth="1"/>
    <col min="18" max="18" width="12" bestFit="1" customWidth="1"/>
    <col min="19" max="20" width="12.54296875" bestFit="1" customWidth="1"/>
  </cols>
  <sheetData>
    <row r="1" spans="1:20" ht="15.5" x14ac:dyDescent="0.35">
      <c r="A1" s="167"/>
      <c r="B1" s="220" t="str">
        <f>'24-25 ABP Activities'!F4</f>
        <v>2025-2026</v>
      </c>
      <c r="C1" s="220" t="str">
        <f>'24-25 ABP Activities'!G4</f>
        <v>2026-2027</v>
      </c>
      <c r="D1" s="220" t="str">
        <f>'24-25 ABP Activities'!H4</f>
        <v>2027-2028</v>
      </c>
      <c r="E1" s="220" t="str">
        <f>'24-25 ABP Activities'!I4</f>
        <v>2028-2029</v>
      </c>
      <c r="F1" s="220" t="str">
        <f>'24-25 ABP Activities'!J4</f>
        <v>2029-2030</v>
      </c>
      <c r="G1" s="220" t="str">
        <f>'24-25 ABP Activities'!K4</f>
        <v>2030-2031</v>
      </c>
      <c r="H1" s="220" t="str">
        <f>'24-25 ABP Activities'!L4</f>
        <v>2031-2032</v>
      </c>
      <c r="I1" s="220" t="str">
        <f>'24-25 ABP Activities'!M4</f>
        <v>2032-2033</v>
      </c>
      <c r="J1" s="220" t="str">
        <f>'24-25 ABP Activities'!N4</f>
        <v>2033-2034</v>
      </c>
      <c r="K1" s="220" t="str">
        <f>'24-25 ABP Activities'!O4</f>
        <v>2034-2035</v>
      </c>
      <c r="L1" s="220" t="str">
        <f>'24-25 ABP Activities'!P4</f>
        <v>2035-2036</v>
      </c>
      <c r="M1" s="220" t="str">
        <f>'24-25 ABP Activities'!Q4</f>
        <v>2036-2037</v>
      </c>
      <c r="N1" s="220" t="str">
        <f>'24-25 ABP Activities'!R4</f>
        <v>2037-2038</v>
      </c>
      <c r="O1" s="220" t="str">
        <f>'24-25 ABP Activities'!S4</f>
        <v>2038-2039</v>
      </c>
      <c r="P1" s="220" t="str">
        <f>'24-25 ABP Activities'!T4</f>
        <v>2039-2040</v>
      </c>
      <c r="Q1" s="220" t="str">
        <f>'24-25 ABP Activities'!U4</f>
        <v>2040-2041</v>
      </c>
      <c r="R1" s="220" t="str">
        <f>'24-25 ABP Activities'!V4</f>
        <v>2041-2042</v>
      </c>
      <c r="S1" s="220" t="str">
        <f>'24-25 ABP Activities'!W4</f>
        <v>2042-2043</v>
      </c>
      <c r="T1" s="220" t="str">
        <f>'24-25 ABP Activities'!X4</f>
        <v>2043-2044</v>
      </c>
    </row>
    <row r="2" spans="1:20" x14ac:dyDescent="0.35">
      <c r="A2" s="184" t="s">
        <v>129</v>
      </c>
      <c r="B2" s="78">
        <f>'24-25 ABP Activities'!F9</f>
        <v>145906.86007555202</v>
      </c>
      <c r="C2" s="78">
        <f>'24-25 ABP Activities'!G9</f>
        <v>145177.32577517425</v>
      </c>
      <c r="D2" s="78">
        <f>'24-25 ABP Activities'!H9</f>
        <v>144451.43914629839</v>
      </c>
      <c r="E2" s="78">
        <f>'24-25 ABP Activities'!I9</f>
        <v>143729.18195056688</v>
      </c>
      <c r="F2" s="78">
        <f>'24-25 ABP Activities'!J9</f>
        <v>143010.53604081407</v>
      </c>
      <c r="G2" s="78">
        <f>'24-25 ABP Activities'!K9</f>
        <v>142295.48336060997</v>
      </c>
      <c r="H2" s="78">
        <f>'24-25 ABP Activities'!L9</f>
        <v>141584.00594380693</v>
      </c>
      <c r="I2" s="78">
        <f>'24-25 ABP Activities'!M9</f>
        <v>140876.08591408789</v>
      </c>
      <c r="J2" s="78">
        <f>'24-25 ABP Activities'!N9</f>
        <v>140171.70548451744</v>
      </c>
      <c r="K2" s="78">
        <f>'24-25 ABP Activities'!O9</f>
        <v>139470.84695709485</v>
      </c>
      <c r="L2" s="78">
        <f>'24-25 ABP Activities'!P9</f>
        <v>138773.49272230937</v>
      </c>
      <c r="M2" s="78">
        <f>'24-25 ABP Activities'!Q9</f>
        <v>138079.62525869784</v>
      </c>
      <c r="N2" s="78">
        <f>'24-25 ABP Activities'!R9</f>
        <v>137389.22713240434</v>
      </c>
      <c r="O2" s="78">
        <f>'24-25 ABP Activities'!S9</f>
        <v>136702.28099674231</v>
      </c>
      <c r="P2" s="78">
        <f>'24-25 ABP Activities'!T9</f>
        <v>136018.76959175861</v>
      </c>
      <c r="Q2" s="78">
        <f>'24-25 ABP Activities'!U9</f>
        <v>0</v>
      </c>
      <c r="R2" s="78">
        <f>'24-25 ABP Activities'!V9</f>
        <v>0</v>
      </c>
      <c r="S2" s="78">
        <f>'24-25 ABP Activities'!W9</f>
        <v>0</v>
      </c>
      <c r="T2" s="78">
        <f>'24-25 ABP Activities'!X9</f>
        <v>0</v>
      </c>
    </row>
    <row r="3" spans="1:20" x14ac:dyDescent="0.35">
      <c r="A3" s="184" t="s">
        <v>135</v>
      </c>
      <c r="B3" s="168">
        <f>'24-25 ABP Activities'!F16</f>
        <v>155342.33973121329</v>
      </c>
      <c r="C3" s="168">
        <f>'24-25 ABP Activities'!G16</f>
        <v>154565.6280325572</v>
      </c>
      <c r="D3" s="168">
        <f>'24-25 ABP Activities'!H16</f>
        <v>153792.79989239443</v>
      </c>
      <c r="E3" s="168">
        <f>'24-25 ABP Activities'!I16</f>
        <v>153023.83589293246</v>
      </c>
      <c r="F3" s="168">
        <f>'24-25 ABP Activities'!J16</f>
        <v>152258.71671346779</v>
      </c>
      <c r="G3" s="168">
        <f>'24-25 ABP Activities'!K16</f>
        <v>151497.42312990045</v>
      </c>
      <c r="H3" s="168">
        <f>'24-25 ABP Activities'!L16</f>
        <v>150739.93601425094</v>
      </c>
      <c r="I3" s="168">
        <f>'24-25 ABP Activities'!M16</f>
        <v>149986.2363341797</v>
      </c>
      <c r="J3" s="168">
        <f>'24-25 ABP Activities'!N16</f>
        <v>149236.30515250878</v>
      </c>
      <c r="K3" s="168">
        <f>'24-25 ABP Activities'!O16</f>
        <v>148490.12362674624</v>
      </c>
      <c r="L3" s="168">
        <f>'24-25 ABP Activities'!P16</f>
        <v>147747.6730086125</v>
      </c>
      <c r="M3" s="168">
        <f>'24-25 ABP Activities'!Q16</f>
        <v>147008.93464356946</v>
      </c>
      <c r="N3" s="168">
        <f>'24-25 ABP Activities'!R16</f>
        <v>146273.88997035159</v>
      </c>
      <c r="O3" s="168">
        <f>'24-25 ABP Activities'!S16</f>
        <v>145542.52052049985</v>
      </c>
      <c r="P3" s="168">
        <f>'24-25 ABP Activities'!T16</f>
        <v>144814.80791789736</v>
      </c>
      <c r="Q3" s="168">
        <f>'24-25 ABP Activities'!U16</f>
        <v>0</v>
      </c>
      <c r="R3" s="168">
        <f>'24-25 ABP Activities'!V16</f>
        <v>0</v>
      </c>
      <c r="S3" s="168">
        <f>'24-25 ABP Activities'!W16</f>
        <v>0</v>
      </c>
      <c r="T3" s="168">
        <f>'24-25 ABP Activities'!X16</f>
        <v>0</v>
      </c>
    </row>
    <row r="4" spans="1:20" x14ac:dyDescent="0.35">
      <c r="A4" s="184" t="s">
        <v>144</v>
      </c>
      <c r="B4" s="168">
        <f>'24-25 ABP Activities'!F29</f>
        <v>0</v>
      </c>
      <c r="C4" s="168">
        <f>'24-25 ABP Activities'!G29</f>
        <v>266722.870788</v>
      </c>
      <c r="D4" s="168">
        <f>'24-25 ABP Activities'!H29</f>
        <v>265389.25643405999</v>
      </c>
      <c r="E4" s="168">
        <f>'24-25 ABP Activities'!I29</f>
        <v>264062.31015188969</v>
      </c>
      <c r="F4" s="168">
        <f>'24-25 ABP Activities'!J29</f>
        <v>262741.99860113027</v>
      </c>
      <c r="G4" s="168">
        <f>'24-25 ABP Activities'!K29</f>
        <v>261428.2886081246</v>
      </c>
      <c r="H4" s="168">
        <f>'24-25 ABP Activities'!L29</f>
        <v>260121.14716508397</v>
      </c>
      <c r="I4" s="168">
        <f>'24-25 ABP Activities'!M29</f>
        <v>258820.54142925856</v>
      </c>
      <c r="J4" s="168">
        <f>'24-25 ABP Activities'!N29</f>
        <v>257526.43872211227</v>
      </c>
      <c r="K4" s="168">
        <f>'24-25 ABP Activities'!O29</f>
        <v>256238.80652850171</v>
      </c>
      <c r="L4" s="168">
        <f>'24-25 ABP Activities'!P29</f>
        <v>254957.61249585918</v>
      </c>
      <c r="M4" s="168">
        <f>'24-25 ABP Activities'!Q29</f>
        <v>253682.82443337986</v>
      </c>
      <c r="N4" s="168">
        <f>'24-25 ABP Activities'!R29</f>
        <v>252414.41031121297</v>
      </c>
      <c r="O4" s="168">
        <f>'24-25 ABP Activities'!S29</f>
        <v>251152.33825965691</v>
      </c>
      <c r="P4" s="168">
        <f>'24-25 ABP Activities'!T29</f>
        <v>249896.57656835864</v>
      </c>
      <c r="Q4" s="168">
        <f>'24-25 ABP Activities'!U29</f>
        <v>248647.09368551683</v>
      </c>
      <c r="R4" s="168">
        <f>'24-25 ABP Activities'!V29</f>
        <v>247403.85821708923</v>
      </c>
      <c r="S4" s="168">
        <f>'24-25 ABP Activities'!W29</f>
        <v>246166.83892600378</v>
      </c>
      <c r="T4" s="168">
        <f>'24-25 ABP Activities'!X29</f>
        <v>244936.00473137377</v>
      </c>
    </row>
    <row r="5" spans="1:20" x14ac:dyDescent="0.35">
      <c r="A5" s="184" t="s">
        <v>149</v>
      </c>
      <c r="B5" s="168">
        <f>'24-25 ABP Activities'!F32</f>
        <v>128422.12297199998</v>
      </c>
      <c r="C5" s="168">
        <f>'24-25 ABP Activities'!G32</f>
        <v>127780.01235713999</v>
      </c>
      <c r="D5" s="168">
        <f>'24-25 ABP Activities'!H32</f>
        <v>127141.11229535428</v>
      </c>
      <c r="E5" s="168">
        <f>'24-25 ABP Activities'!I32</f>
        <v>126505.40673387751</v>
      </c>
      <c r="F5" s="168">
        <f>'24-25 ABP Activities'!J32</f>
        <v>125872.87970020811</v>
      </c>
      <c r="G5" s="168">
        <f>'24-25 ABP Activities'!K32</f>
        <v>125243.51530170708</v>
      </c>
      <c r="H5" s="168">
        <f>'24-25 ABP Activities'!L32</f>
        <v>124617.29772519854</v>
      </c>
      <c r="I5" s="168">
        <f>'24-25 ABP Activities'!M32</f>
        <v>123994.21123657255</v>
      </c>
      <c r="J5" s="168">
        <f>'24-25 ABP Activities'!N32</f>
        <v>123374.24018038969</v>
      </c>
      <c r="K5" s="168">
        <f>'24-25 ABP Activities'!O32</f>
        <v>122757.36897948774</v>
      </c>
      <c r="L5" s="168">
        <f>'24-25 ABP Activities'!P32</f>
        <v>122143.58213459028</v>
      </c>
      <c r="M5" s="168">
        <f>'24-25 ABP Activities'!Q32</f>
        <v>121532.86422391734</v>
      </c>
      <c r="N5" s="168">
        <f>'24-25 ABP Activities'!R32</f>
        <v>120925.19990279774</v>
      </c>
      <c r="O5" s="168">
        <f>'24-25 ABP Activities'!S32</f>
        <v>120320.57390328377</v>
      </c>
      <c r="P5" s="168">
        <f>'24-25 ABP Activities'!T32</f>
        <v>119718.97103376733</v>
      </c>
      <c r="Q5" s="168">
        <f>'24-25 ABP Activities'!U32</f>
        <v>119120.3761785985</v>
      </c>
      <c r="R5" s="168">
        <f>'24-25 ABP Activities'!V32</f>
        <v>118524.77429770552</v>
      </c>
      <c r="S5" s="168">
        <f>'24-25 ABP Activities'!W32</f>
        <v>117932.15042621699</v>
      </c>
      <c r="T5" s="168">
        <f>'24-25 ABP Activities'!X32</f>
        <v>117342.4896740859</v>
      </c>
    </row>
    <row r="6" spans="1:20" x14ac:dyDescent="0.35">
      <c r="A6" s="184" t="s">
        <v>153</v>
      </c>
      <c r="B6" s="168">
        <f>'24-25 ABP Activities'!F47</f>
        <v>0</v>
      </c>
      <c r="C6" s="168">
        <f>'24-25 ABP Activities'!G47</f>
        <v>39514.499376</v>
      </c>
      <c r="D6" s="168">
        <f>'24-25 ABP Activities'!H47</f>
        <v>39316.926879120001</v>
      </c>
      <c r="E6" s="168">
        <f>'24-25 ABP Activities'!I47</f>
        <v>39120.342244724401</v>
      </c>
      <c r="F6" s="168">
        <f>'24-25 ABP Activities'!J47</f>
        <v>38924.740533500779</v>
      </c>
      <c r="G6" s="168">
        <f>'24-25 ABP Activities'!K47</f>
        <v>38730.116830833278</v>
      </c>
      <c r="H6" s="168">
        <f>'24-25 ABP Activities'!L47</f>
        <v>38536.466246679112</v>
      </c>
      <c r="I6" s="168">
        <f>'24-25 ABP Activities'!M47</f>
        <v>38343.783915445718</v>
      </c>
      <c r="J6" s="168">
        <f>'24-25 ABP Activities'!N47</f>
        <v>38152.064995868488</v>
      </c>
      <c r="K6" s="168">
        <f>'24-25 ABP Activities'!O47</f>
        <v>37961.304670889149</v>
      </c>
      <c r="L6" s="168">
        <f>'24-25 ABP Activities'!P47</f>
        <v>37771.498147534701</v>
      </c>
      <c r="M6" s="168">
        <f>'24-25 ABP Activities'!Q47</f>
        <v>37582.640656797026</v>
      </c>
      <c r="N6" s="168">
        <f>'24-25 ABP Activities'!R47</f>
        <v>37394.727453513042</v>
      </c>
      <c r="O6" s="168">
        <f>'24-25 ABP Activities'!S47</f>
        <v>37207.753816245473</v>
      </c>
      <c r="P6" s="168">
        <f>'24-25 ABP Activities'!T47</f>
        <v>37021.715047164245</v>
      </c>
      <c r="Q6" s="168">
        <f>'24-25 ABP Activities'!U47</f>
        <v>36836.606471928426</v>
      </c>
      <c r="R6" s="168">
        <f>'24-25 ABP Activities'!V47</f>
        <v>0</v>
      </c>
      <c r="S6" s="168">
        <f>'24-25 ABP Activities'!W47</f>
        <v>0</v>
      </c>
      <c r="T6" s="168">
        <f>'24-25 ABP Activities'!X47</f>
        <v>0</v>
      </c>
    </row>
    <row r="7" spans="1:20" x14ac:dyDescent="0.35">
      <c r="A7" s="12" t="s">
        <v>156</v>
      </c>
      <c r="B7" s="168">
        <f>'24-25 ABP Activities'!F50</f>
        <v>172602.59970134808</v>
      </c>
      <c r="C7" s="168">
        <f>'24-25 ABP Activities'!G50</f>
        <v>171739.58670284133</v>
      </c>
      <c r="D7" s="168">
        <f>'24-25 ABP Activities'!H50</f>
        <v>170880.88876932714</v>
      </c>
      <c r="E7" s="168">
        <f>'24-25 ABP Activities'!I50</f>
        <v>170026.4843254805</v>
      </c>
      <c r="F7" s="168">
        <f>'24-25 ABP Activities'!J50</f>
        <v>169176.35190385312</v>
      </c>
      <c r="G7" s="168">
        <f>'24-25 ABP Activities'!K50</f>
        <v>168330.47014433384</v>
      </c>
      <c r="H7" s="168">
        <f>'24-25 ABP Activities'!L50</f>
        <v>167488.81779361214</v>
      </c>
      <c r="I7" s="168">
        <f>'24-25 ABP Activities'!M50</f>
        <v>166651.37370464409</v>
      </c>
      <c r="J7" s="168">
        <f>'24-25 ABP Activities'!N50</f>
        <v>165818.11683612087</v>
      </c>
      <c r="K7" s="168">
        <f>'24-25 ABP Activities'!O50</f>
        <v>164989.02625194026</v>
      </c>
      <c r="L7" s="168">
        <f>'24-25 ABP Activities'!P50</f>
        <v>164164.08112068055</v>
      </c>
      <c r="M7" s="168">
        <f>'24-25 ABP Activities'!Q50</f>
        <v>163343.26071507717</v>
      </c>
      <c r="N7" s="168">
        <f>'24-25 ABP Activities'!R50</f>
        <v>162526.54441150179</v>
      </c>
      <c r="O7" s="168">
        <f>'24-25 ABP Activities'!S50</f>
        <v>161713.91168944424</v>
      </c>
      <c r="P7" s="168">
        <f>'24-25 ABP Activities'!T50</f>
        <v>160905.34213099704</v>
      </c>
      <c r="Q7" s="168">
        <f>'24-25 ABP Activities'!U50</f>
        <v>0</v>
      </c>
      <c r="R7" s="168">
        <f>'24-25 ABP Activities'!V50</f>
        <v>0</v>
      </c>
      <c r="S7" s="168">
        <f>'24-25 ABP Activities'!W50</f>
        <v>0</v>
      </c>
      <c r="T7" s="168">
        <f>'24-25 ABP Activities'!X50</f>
        <v>0</v>
      </c>
    </row>
    <row r="10" spans="1:20" ht="15.5" x14ac:dyDescent="0.35">
      <c r="A10" s="167"/>
      <c r="B10" s="220" t="str">
        <f t="shared" ref="B10:T10" si="0">B1</f>
        <v>2025-2026</v>
      </c>
      <c r="C10" s="220" t="str">
        <f t="shared" si="0"/>
        <v>2026-2027</v>
      </c>
      <c r="D10" s="220" t="str">
        <f t="shared" si="0"/>
        <v>2027-2028</v>
      </c>
      <c r="E10" s="220" t="str">
        <f t="shared" si="0"/>
        <v>2028-2029</v>
      </c>
      <c r="F10" s="220" t="str">
        <f t="shared" si="0"/>
        <v>2029-2030</v>
      </c>
      <c r="G10" s="220" t="str">
        <f t="shared" si="0"/>
        <v>2030-2031</v>
      </c>
      <c r="H10" s="220" t="str">
        <f t="shared" si="0"/>
        <v>2031-2032</v>
      </c>
      <c r="I10" s="220" t="str">
        <f t="shared" si="0"/>
        <v>2032-2033</v>
      </c>
      <c r="J10" s="220" t="str">
        <f t="shared" si="0"/>
        <v>2033-2034</v>
      </c>
      <c r="K10" s="220" t="str">
        <f t="shared" si="0"/>
        <v>2034-2035</v>
      </c>
      <c r="L10" s="220" t="str">
        <f t="shared" si="0"/>
        <v>2035-2036</v>
      </c>
      <c r="M10" s="220" t="str">
        <f t="shared" si="0"/>
        <v>2036-2037</v>
      </c>
      <c r="N10" s="220" t="str">
        <f t="shared" si="0"/>
        <v>2037-2038</v>
      </c>
      <c r="O10" s="220" t="str">
        <f t="shared" si="0"/>
        <v>2038-2039</v>
      </c>
      <c r="P10" s="220" t="str">
        <f t="shared" si="0"/>
        <v>2039-2040</v>
      </c>
      <c r="Q10" s="220" t="str">
        <f t="shared" si="0"/>
        <v>2040-2041</v>
      </c>
      <c r="R10" s="220" t="str">
        <f t="shared" si="0"/>
        <v>2041-2042</v>
      </c>
      <c r="S10" s="220" t="str">
        <f t="shared" si="0"/>
        <v>2042-2043</v>
      </c>
      <c r="T10" s="220" t="str">
        <f t="shared" si="0"/>
        <v>2043-2044</v>
      </c>
    </row>
    <row r="11" spans="1:20" x14ac:dyDescent="0.35">
      <c r="A11" s="184" t="s">
        <v>129</v>
      </c>
      <c r="B11" s="166">
        <f>'24-25 ABP Activities'!F70</f>
        <v>160339848.81633624</v>
      </c>
      <c r="C11" s="166">
        <f>'24-25 ABP Activities'!G70</f>
        <v>0</v>
      </c>
      <c r="D11" s="166">
        <f>'24-25 ABP Activities'!H70</f>
        <v>0</v>
      </c>
      <c r="E11" s="166">
        <f>'24-25 ABP Activities'!I70</f>
        <v>0</v>
      </c>
      <c r="F11" s="166">
        <f>'24-25 ABP Activities'!J70</f>
        <v>0</v>
      </c>
      <c r="G11" s="166">
        <f>'24-25 ABP Activities'!K70</f>
        <v>0</v>
      </c>
      <c r="H11" s="166">
        <f>'24-25 ABP Activities'!L70</f>
        <v>0</v>
      </c>
      <c r="I11" s="166">
        <f>'24-25 ABP Activities'!M70</f>
        <v>0</v>
      </c>
      <c r="J11" s="166">
        <f>'24-25 ABP Activities'!N70</f>
        <v>0</v>
      </c>
      <c r="K11" s="166">
        <f>'24-25 ABP Activities'!O70</f>
        <v>0</v>
      </c>
      <c r="L11" s="166">
        <f>'24-25 ABP Activities'!P70</f>
        <v>0</v>
      </c>
      <c r="M11" s="166">
        <f>'24-25 ABP Activities'!Q70</f>
        <v>0</v>
      </c>
      <c r="N11" s="166">
        <f>'24-25 ABP Activities'!R70</f>
        <v>0</v>
      </c>
      <c r="O11" s="166">
        <f>'24-25 ABP Activities'!S70</f>
        <v>0</v>
      </c>
      <c r="P11" s="166">
        <f>'24-25 ABP Activities'!T70</f>
        <v>0</v>
      </c>
      <c r="Q11" s="166">
        <f>'24-25 ABP Activities'!U70</f>
        <v>0</v>
      </c>
      <c r="R11" s="166">
        <f>'24-25 ABP Activities'!V70</f>
        <v>0</v>
      </c>
      <c r="S11" s="166">
        <f>'24-25 ABP Activities'!W70</f>
        <v>0</v>
      </c>
      <c r="T11" s="166">
        <f>'24-25 ABP Activities'!X70</f>
        <v>0</v>
      </c>
    </row>
    <row r="12" spans="1:20" x14ac:dyDescent="0.35">
      <c r="A12" s="184" t="s">
        <v>135</v>
      </c>
      <c r="B12" s="166">
        <f>'24-25 ABP Activities'!F77</f>
        <v>16741207.534772398</v>
      </c>
      <c r="C12" s="166">
        <f>'24-25 ABP Activities'!G77</f>
        <v>15811140.449507266</v>
      </c>
      <c r="D12" s="166">
        <f>'24-25 ABP Activities'!H77</f>
        <v>15811140.449507266</v>
      </c>
      <c r="E12" s="166">
        <f>'24-25 ABP Activities'!I77</f>
        <v>15811140.449507266</v>
      </c>
      <c r="F12" s="166">
        <f>'24-25 ABP Activities'!J77</f>
        <v>15811140.449507266</v>
      </c>
      <c r="G12" s="166">
        <f>'24-25 ABP Activities'!K77</f>
        <v>15811140.449507266</v>
      </c>
      <c r="H12" s="166">
        <f>'24-25 ABP Activities'!L77</f>
        <v>15811140.449507266</v>
      </c>
      <c r="I12" s="166">
        <f>'24-25 ABP Activities'!M77</f>
        <v>0</v>
      </c>
      <c r="J12" s="166">
        <f>'24-25 ABP Activities'!N77</f>
        <v>0</v>
      </c>
      <c r="K12" s="166">
        <f>'24-25 ABP Activities'!O77</f>
        <v>0</v>
      </c>
      <c r="L12" s="166">
        <f>'24-25 ABP Activities'!P77</f>
        <v>0</v>
      </c>
      <c r="M12" s="166">
        <f>'24-25 ABP Activities'!Q77</f>
        <v>0</v>
      </c>
      <c r="N12" s="166">
        <f>'24-25 ABP Activities'!R77</f>
        <v>0</v>
      </c>
      <c r="O12" s="166">
        <f>'24-25 ABP Activities'!S77</f>
        <v>0</v>
      </c>
      <c r="P12" s="166">
        <f>'24-25 ABP Activities'!T77</f>
        <v>0</v>
      </c>
      <c r="Q12" s="166">
        <f>'24-25 ABP Activities'!U77</f>
        <v>0</v>
      </c>
      <c r="R12" s="166">
        <f>'24-25 ABP Activities'!V77</f>
        <v>0</v>
      </c>
      <c r="S12" s="166">
        <f>'24-25 ABP Activities'!W77</f>
        <v>0</v>
      </c>
      <c r="T12" s="166">
        <f>'24-25 ABP Activities'!X77</f>
        <v>0</v>
      </c>
    </row>
    <row r="13" spans="1:20" x14ac:dyDescent="0.35">
      <c r="A13" s="184" t="s">
        <v>144</v>
      </c>
      <c r="B13" s="166">
        <f>'24-25 ABP Activities'!F90</f>
        <v>0</v>
      </c>
      <c r="C13" s="166">
        <f>'24-25 ABP Activities'!G90</f>
        <v>13809309.912177913</v>
      </c>
      <c r="D13" s="166">
        <f>'24-25 ABP Activities'!H90</f>
        <v>13740263.362617023</v>
      </c>
      <c r="E13" s="166">
        <f>'24-25 ABP Activities'!I90</f>
        <v>13671562.045803938</v>
      </c>
      <c r="F13" s="166">
        <f>'24-25 ABP Activities'!J90</f>
        <v>13603204.23557492</v>
      </c>
      <c r="G13" s="166">
        <f>'24-25 ABP Activities'!K90</f>
        <v>13535188.214397043</v>
      </c>
      <c r="H13" s="166">
        <f>'24-25 ABP Activities'!L90</f>
        <v>13467512.273325058</v>
      </c>
      <c r="I13" s="166">
        <f>'24-25 ABP Activities'!M90</f>
        <v>13400174.711958434</v>
      </c>
      <c r="J13" s="166">
        <f>'24-25 ABP Activities'!N90</f>
        <v>13333173.838398643</v>
      </c>
      <c r="K13" s="166">
        <f>'24-25 ABP Activities'!O90</f>
        <v>13266507.969206648</v>
      </c>
      <c r="L13" s="166">
        <f>'24-25 ABP Activities'!P90</f>
        <v>13200175.429360615</v>
      </c>
      <c r="M13" s="166">
        <f>'24-25 ABP Activities'!Q90</f>
        <v>13134174.55221381</v>
      </c>
      <c r="N13" s="166">
        <f>'24-25 ABP Activities'!R90</f>
        <v>13068503.67945274</v>
      </c>
      <c r="O13" s="166">
        <f>'24-25 ABP Activities'!S90</f>
        <v>13003161.161055477</v>
      </c>
      <c r="P13" s="166">
        <f>'24-25 ABP Activities'!T90</f>
        <v>12938145.355250198</v>
      </c>
      <c r="Q13" s="166">
        <f>'24-25 ABP Activities'!U90</f>
        <v>12873454.628473949</v>
      </c>
      <c r="R13" s="166">
        <f>'24-25 ABP Activities'!V90</f>
        <v>12809087.355331577</v>
      </c>
      <c r="S13" s="166">
        <f>'24-25 ABP Activities'!W90</f>
        <v>12745041.918554921</v>
      </c>
      <c r="T13" s="166">
        <f>'24-25 ABP Activities'!X90</f>
        <v>12681316.708962146</v>
      </c>
    </row>
    <row r="14" spans="1:20" x14ac:dyDescent="0.35">
      <c r="A14" s="184" t="s">
        <v>149</v>
      </c>
      <c r="B14" s="166">
        <f>'24-25 ABP Activities'!F93</f>
        <v>8601833.8951314129</v>
      </c>
      <c r="C14" s="166">
        <f>'24-25 ABP Activities'!G93</f>
        <v>8558824.725655755</v>
      </c>
      <c r="D14" s="166">
        <f>'24-25 ABP Activities'!H93</f>
        <v>8516030.6020274758</v>
      </c>
      <c r="E14" s="166">
        <f>'24-25 ABP Activities'!I93</f>
        <v>8473450.4490173385</v>
      </c>
      <c r="F14" s="166">
        <f>'24-25 ABP Activities'!J93</f>
        <v>8431083.1967722513</v>
      </c>
      <c r="G14" s="166">
        <f>'24-25 ABP Activities'!K93</f>
        <v>8388927.78078839</v>
      </c>
      <c r="H14" s="166">
        <f>'24-25 ABP Activities'!L93</f>
        <v>8346983.141884448</v>
      </c>
      <c r="I14" s="166">
        <f>'24-25 ABP Activities'!M93</f>
        <v>8305248.2261750251</v>
      </c>
      <c r="J14" s="166">
        <f>'24-25 ABP Activities'!N93</f>
        <v>8263721.9850441515</v>
      </c>
      <c r="K14" s="166">
        <f>'24-25 ABP Activities'!O93</f>
        <v>8222403.375118929</v>
      </c>
      <c r="L14" s="166">
        <f>'24-25 ABP Activities'!P93</f>
        <v>8181291.358243335</v>
      </c>
      <c r="M14" s="166">
        <f>'24-25 ABP Activities'!Q93</f>
        <v>8140384.9014521195</v>
      </c>
      <c r="N14" s="166">
        <f>'24-25 ABP Activities'!R93</f>
        <v>8099682.9769448582</v>
      </c>
      <c r="O14" s="166">
        <f>'24-25 ABP Activities'!S93</f>
        <v>8059184.5620601336</v>
      </c>
      <c r="P14" s="166">
        <f>'24-25 ABP Activities'!T93</f>
        <v>8018888.6392498324</v>
      </c>
      <c r="Q14" s="166">
        <f>'24-25 ABP Activities'!U93</f>
        <v>7978794.1960535841</v>
      </c>
      <c r="R14" s="166">
        <f>'24-25 ABP Activities'!V93</f>
        <v>7938900.2250733171</v>
      </c>
      <c r="S14" s="166">
        <f>'24-25 ABP Activities'!W93</f>
        <v>7899205.7239479488</v>
      </c>
      <c r="T14" s="166">
        <f>'24-25 ABP Activities'!X93</f>
        <v>7859709.6953282095</v>
      </c>
    </row>
    <row r="15" spans="1:20" x14ac:dyDescent="0.35">
      <c r="A15" s="184" t="s">
        <v>153</v>
      </c>
      <c r="B15" s="166">
        <f>'24-25 ABP Activities'!F108</f>
        <v>0</v>
      </c>
      <c r="C15" s="166">
        <f>'24-25 ABP Activities'!G108</f>
        <v>5636343.3831327278</v>
      </c>
      <c r="D15" s="166">
        <f>'24-25 ABP Activities'!H108</f>
        <v>5323213.1951809097</v>
      </c>
      <c r="E15" s="166">
        <f>'24-25 ABP Activities'!I108</f>
        <v>5323213.1951809097</v>
      </c>
      <c r="F15" s="166">
        <f>'24-25 ABP Activities'!J108</f>
        <v>5323213.1951809097</v>
      </c>
      <c r="G15" s="166">
        <f>'24-25 ABP Activities'!K108</f>
        <v>5323213.1951809097</v>
      </c>
      <c r="H15" s="166">
        <f>'24-25 ABP Activities'!L108</f>
        <v>5323213.1951809097</v>
      </c>
      <c r="I15" s="166">
        <f>'24-25 ABP Activities'!M108</f>
        <v>5323213.1951809097</v>
      </c>
      <c r="J15" s="166">
        <f>'24-25 ABP Activities'!N108</f>
        <v>0</v>
      </c>
      <c r="K15" s="166">
        <f>'24-25 ABP Activities'!O108</f>
        <v>0</v>
      </c>
      <c r="L15" s="166">
        <f>'24-25 ABP Activities'!P108</f>
        <v>0</v>
      </c>
      <c r="M15" s="166">
        <f>'24-25 ABP Activities'!Q108</f>
        <v>0</v>
      </c>
      <c r="N15" s="166">
        <f>'24-25 ABP Activities'!R108</f>
        <v>0</v>
      </c>
      <c r="O15" s="166">
        <f>'24-25 ABP Activities'!S108</f>
        <v>0</v>
      </c>
      <c r="P15" s="166">
        <f>'24-25 ABP Activities'!T108</f>
        <v>0</v>
      </c>
      <c r="Q15" s="166">
        <f>'24-25 ABP Activities'!U108</f>
        <v>0</v>
      </c>
      <c r="R15" s="166">
        <f>'24-25 ABP Activities'!V108</f>
        <v>0</v>
      </c>
      <c r="S15" s="166">
        <f>'24-25 ABP Activities'!W108</f>
        <v>0</v>
      </c>
      <c r="T15" s="166">
        <f>'24-25 ABP Activities'!X108</f>
        <v>0</v>
      </c>
    </row>
    <row r="16" spans="1:20" x14ac:dyDescent="0.35">
      <c r="A16" s="12" t="s">
        <v>156</v>
      </c>
      <c r="B16" s="166">
        <f>'24-25 ABP Activities'!F111</f>
        <v>18601341.705302659</v>
      </c>
      <c r="C16" s="166">
        <f>'24-25 ABP Activities'!G111</f>
        <v>17567933.832785849</v>
      </c>
      <c r="D16" s="166">
        <f>'24-25 ABP Activities'!H111</f>
        <v>17567933.832785849</v>
      </c>
      <c r="E16" s="166">
        <f>'24-25 ABP Activities'!I111</f>
        <v>17567933.832785849</v>
      </c>
      <c r="F16" s="166">
        <f>'24-25 ABP Activities'!J111</f>
        <v>17567933.832785849</v>
      </c>
      <c r="G16" s="166">
        <f>'24-25 ABP Activities'!K111</f>
        <v>17567933.832785849</v>
      </c>
      <c r="H16" s="166">
        <f>'24-25 ABP Activities'!L111</f>
        <v>17567933.832785849</v>
      </c>
      <c r="I16" s="166">
        <f>'24-25 ABP Activities'!M111</f>
        <v>0</v>
      </c>
      <c r="J16" s="166">
        <f>'24-25 ABP Activities'!N111</f>
        <v>0</v>
      </c>
      <c r="K16" s="166">
        <f>'24-25 ABP Activities'!O111</f>
        <v>0</v>
      </c>
      <c r="L16" s="166">
        <f>'24-25 ABP Activities'!P111</f>
        <v>0</v>
      </c>
      <c r="M16" s="166">
        <f>'24-25 ABP Activities'!Q111</f>
        <v>0</v>
      </c>
      <c r="N16" s="166">
        <f>'24-25 ABP Activities'!R111</f>
        <v>0</v>
      </c>
      <c r="O16" s="166">
        <f>'24-25 ABP Activities'!S111</f>
        <v>0</v>
      </c>
      <c r="P16" s="166">
        <f>'24-25 ABP Activities'!T111</f>
        <v>0</v>
      </c>
      <c r="Q16" s="166">
        <f>'24-25 ABP Activities'!U111</f>
        <v>0</v>
      </c>
      <c r="R16" s="166">
        <f>'24-25 ABP Activities'!V111</f>
        <v>0</v>
      </c>
      <c r="S16" s="166">
        <f>'24-25 ABP Activities'!W111</f>
        <v>0</v>
      </c>
      <c r="T16" s="166">
        <f>'24-25 ABP Activities'!X111</f>
        <v>0</v>
      </c>
    </row>
  </sheetData>
  <printOptions horizontalCentered="1" verticalCentered="1"/>
  <pageMargins left="0.7" right="0.7" top="0.75" bottom="0.75" header="0.3" footer="0.3"/>
  <pageSetup scale="43" orientation="landscape" r:id="rId1"/>
  <headerFooter>
    <oddHeader>&amp;A</oddHeader>
  </headerFooter>
  <customProperties>
    <customPr name="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0695E-EA75-435A-857D-F9C5B35E9691}">
  <sheetPr>
    <tabColor theme="7" tint="0.59999389629810485"/>
    <pageSetUpPr fitToPage="1"/>
  </sheetPr>
  <dimension ref="A1:AO183"/>
  <sheetViews>
    <sheetView topLeftCell="A3" zoomScaleNormal="100" workbookViewId="0">
      <selection activeCell="L3" sqref="L3"/>
    </sheetView>
  </sheetViews>
  <sheetFormatPr defaultColWidth="9.1796875" defaultRowHeight="14.5" x14ac:dyDescent="0.35"/>
  <cols>
    <col min="1" max="1" width="45.1796875" bestFit="1" customWidth="1"/>
    <col min="2" max="2" width="9" bestFit="1" customWidth="1"/>
    <col min="3" max="5" width="11.54296875" bestFit="1" customWidth="1"/>
    <col min="6" max="6" width="12" bestFit="1" customWidth="1"/>
    <col min="7" max="7" width="12.54296875" bestFit="1" customWidth="1"/>
    <col min="8" max="8" width="12.453125" bestFit="1" customWidth="1"/>
    <col min="9" max="21" width="12.54296875" bestFit="1" customWidth="1"/>
  </cols>
  <sheetData>
    <row r="1" spans="1:21" ht="15.5" x14ac:dyDescent="0.35">
      <c r="A1" s="77" t="s">
        <v>172</v>
      </c>
      <c r="B1" s="220">
        <v>2024</v>
      </c>
      <c r="C1" s="220">
        <v>2025</v>
      </c>
      <c r="D1" s="220">
        <v>2026</v>
      </c>
      <c r="E1" s="220">
        <v>2027</v>
      </c>
      <c r="F1" s="220">
        <v>2028</v>
      </c>
      <c r="G1" s="220">
        <v>2029</v>
      </c>
      <c r="H1" s="220">
        <v>2030</v>
      </c>
      <c r="I1" s="220">
        <v>2031</v>
      </c>
      <c r="J1" s="220">
        <v>2032</v>
      </c>
      <c r="K1" s="220">
        <v>2033</v>
      </c>
      <c r="L1" s="220">
        <v>2034</v>
      </c>
      <c r="M1" s="220">
        <v>2035</v>
      </c>
      <c r="N1" s="220">
        <v>2036</v>
      </c>
      <c r="O1" s="220">
        <v>2037</v>
      </c>
      <c r="P1" s="220">
        <v>2038</v>
      </c>
      <c r="Q1" s="220">
        <v>2039</v>
      </c>
      <c r="R1" s="220">
        <v>2040</v>
      </c>
      <c r="S1" s="220">
        <v>2041</v>
      </c>
      <c r="T1" s="220">
        <v>2042</v>
      </c>
      <c r="U1" s="220">
        <v>2043</v>
      </c>
    </row>
    <row r="2" spans="1:21" x14ac:dyDescent="0.35">
      <c r="A2" s="184" t="s">
        <v>129</v>
      </c>
      <c r="B2" s="78">
        <f>SUM('ABP Future Assumptions'!G8:G12)</f>
        <v>0</v>
      </c>
      <c r="C2" s="78">
        <f>B2*0.995</f>
        <v>0</v>
      </c>
      <c r="D2" s="78">
        <f>C2*0.995</f>
        <v>0</v>
      </c>
      <c r="E2" s="78">
        <f>D2*0.995</f>
        <v>0</v>
      </c>
      <c r="F2" s="78">
        <f t="shared" ref="F2:U2" si="0">E2*0.995</f>
        <v>0</v>
      </c>
      <c r="G2" s="78">
        <f t="shared" si="0"/>
        <v>0</v>
      </c>
      <c r="H2" s="78">
        <f t="shared" si="0"/>
        <v>0</v>
      </c>
      <c r="I2" s="78">
        <f t="shared" si="0"/>
        <v>0</v>
      </c>
      <c r="J2" s="78">
        <f t="shared" si="0"/>
        <v>0</v>
      </c>
      <c r="K2" s="78">
        <f t="shared" si="0"/>
        <v>0</v>
      </c>
      <c r="L2" s="78">
        <f t="shared" si="0"/>
        <v>0</v>
      </c>
      <c r="M2" s="78">
        <f t="shared" si="0"/>
        <v>0</v>
      </c>
      <c r="N2" s="78">
        <f t="shared" si="0"/>
        <v>0</v>
      </c>
      <c r="O2" s="78">
        <f t="shared" si="0"/>
        <v>0</v>
      </c>
      <c r="P2" s="78">
        <f t="shared" si="0"/>
        <v>0</v>
      </c>
      <c r="Q2" s="78"/>
      <c r="R2" s="78">
        <f t="shared" si="0"/>
        <v>0</v>
      </c>
      <c r="S2" s="78">
        <f t="shared" si="0"/>
        <v>0</v>
      </c>
      <c r="T2" s="78">
        <f t="shared" si="0"/>
        <v>0</v>
      </c>
      <c r="U2" s="78">
        <f t="shared" si="0"/>
        <v>0</v>
      </c>
    </row>
    <row r="3" spans="1:21" x14ac:dyDescent="0.35">
      <c r="A3" s="184" t="s">
        <v>135</v>
      </c>
      <c r="B3" s="78">
        <f>SUM('ABP Future Assumptions'!G15:G24)</f>
        <v>101155.41433727674</v>
      </c>
      <c r="C3" s="78">
        <f>B3*0.995</f>
        <v>100649.63726559035</v>
      </c>
      <c r="D3" s="78">
        <f t="shared" ref="D3:U7" si="1">C3*0.995</f>
        <v>100146.3890792624</v>
      </c>
      <c r="E3" s="78">
        <f t="shared" si="1"/>
        <v>99645.657133866087</v>
      </c>
      <c r="F3" s="78">
        <f t="shared" si="1"/>
        <v>99147.428848196752</v>
      </c>
      <c r="G3" s="78">
        <f t="shared" si="1"/>
        <v>98651.691703955774</v>
      </c>
      <c r="H3" s="78">
        <f t="shared" si="1"/>
        <v>98158.433245435997</v>
      </c>
      <c r="I3" s="78">
        <f t="shared" si="1"/>
        <v>97667.641079208814</v>
      </c>
      <c r="J3" s="78">
        <f t="shared" si="1"/>
        <v>97179.302873812776</v>
      </c>
      <c r="K3" s="78">
        <f t="shared" si="1"/>
        <v>96693.406359443718</v>
      </c>
      <c r="L3" s="78">
        <f t="shared" si="1"/>
        <v>96209.939327646498</v>
      </c>
      <c r="M3" s="78">
        <f t="shared" si="1"/>
        <v>95728.889631008264</v>
      </c>
      <c r="N3" s="78">
        <f t="shared" si="1"/>
        <v>95250.245182853221</v>
      </c>
      <c r="O3" s="78">
        <f t="shared" si="1"/>
        <v>94773.993956938953</v>
      </c>
      <c r="P3" s="78">
        <f t="shared" si="1"/>
        <v>94300.123987154264</v>
      </c>
      <c r="Q3" s="78"/>
      <c r="R3" s="78">
        <f t="shared" si="1"/>
        <v>0</v>
      </c>
      <c r="S3" s="78">
        <f t="shared" si="1"/>
        <v>0</v>
      </c>
      <c r="T3" s="78">
        <f t="shared" si="1"/>
        <v>0</v>
      </c>
      <c r="U3" s="78">
        <f t="shared" si="1"/>
        <v>0</v>
      </c>
    </row>
    <row r="4" spans="1:21" x14ac:dyDescent="0.35">
      <c r="A4" s="184" t="s">
        <v>144</v>
      </c>
      <c r="B4" s="78"/>
      <c r="C4" s="78">
        <f>SUM('ABP Future Assumptions'!G28:G42)</f>
        <v>0</v>
      </c>
      <c r="D4" s="78">
        <f t="shared" si="1"/>
        <v>0</v>
      </c>
      <c r="E4" s="78">
        <f t="shared" si="1"/>
        <v>0</v>
      </c>
      <c r="F4" s="78">
        <f t="shared" si="1"/>
        <v>0</v>
      </c>
      <c r="G4" s="78">
        <f t="shared" si="1"/>
        <v>0</v>
      </c>
      <c r="H4" s="78">
        <f t="shared" si="1"/>
        <v>0</v>
      </c>
      <c r="I4" s="78">
        <f t="shared" si="1"/>
        <v>0</v>
      </c>
      <c r="J4" s="78">
        <f t="shared" si="1"/>
        <v>0</v>
      </c>
      <c r="K4" s="78">
        <f t="shared" si="1"/>
        <v>0</v>
      </c>
      <c r="L4" s="78">
        <f t="shared" si="1"/>
        <v>0</v>
      </c>
      <c r="M4" s="78">
        <f t="shared" si="1"/>
        <v>0</v>
      </c>
      <c r="N4" s="78">
        <f t="shared" si="1"/>
        <v>0</v>
      </c>
      <c r="O4" s="78">
        <f t="shared" si="1"/>
        <v>0</v>
      </c>
      <c r="P4" s="78">
        <f t="shared" si="1"/>
        <v>0</v>
      </c>
      <c r="Q4" s="78">
        <f t="shared" si="1"/>
        <v>0</v>
      </c>
      <c r="R4" s="78">
        <f t="shared" si="1"/>
        <v>0</v>
      </c>
      <c r="S4" s="78">
        <f t="shared" si="1"/>
        <v>0</v>
      </c>
      <c r="T4" s="78">
        <f t="shared" si="1"/>
        <v>0</v>
      </c>
      <c r="U4" s="78">
        <f t="shared" si="1"/>
        <v>0</v>
      </c>
    </row>
    <row r="5" spans="1:21" x14ac:dyDescent="0.35">
      <c r="A5" s="184" t="s">
        <v>149</v>
      </c>
      <c r="B5" s="78">
        <f>SUM('ABP Future Assumptions'!G45:G57)</f>
        <v>357892.72480000003</v>
      </c>
      <c r="C5" s="78">
        <f>B5*0.995</f>
        <v>356103.261176</v>
      </c>
      <c r="D5" s="78">
        <f t="shared" si="1"/>
        <v>354322.74487012002</v>
      </c>
      <c r="E5" s="78">
        <f t="shared" si="1"/>
        <v>352551.13114576944</v>
      </c>
      <c r="F5" s="78">
        <f t="shared" si="1"/>
        <v>350788.37549004058</v>
      </c>
      <c r="G5" s="78">
        <f t="shared" si="1"/>
        <v>349034.43361259036</v>
      </c>
      <c r="H5" s="78">
        <f t="shared" si="1"/>
        <v>347289.26144452742</v>
      </c>
      <c r="I5" s="78">
        <f t="shared" si="1"/>
        <v>345552.81513730477</v>
      </c>
      <c r="J5" s="78">
        <f t="shared" si="1"/>
        <v>343825.05106161826</v>
      </c>
      <c r="K5" s="78">
        <f t="shared" si="1"/>
        <v>342105.92580631014</v>
      </c>
      <c r="L5" s="78">
        <f t="shared" si="1"/>
        <v>340395.3961772786</v>
      </c>
      <c r="M5" s="78">
        <f t="shared" si="1"/>
        <v>338693.41919639218</v>
      </c>
      <c r="N5" s="78">
        <f t="shared" si="1"/>
        <v>336999.95210041024</v>
      </c>
      <c r="O5" s="78">
        <f t="shared" si="1"/>
        <v>335314.95233990817</v>
      </c>
      <c r="P5" s="78">
        <f t="shared" si="1"/>
        <v>333638.37757820863</v>
      </c>
      <c r="Q5" s="78"/>
      <c r="R5" s="78"/>
      <c r="S5" s="78"/>
      <c r="T5" s="78"/>
      <c r="U5" s="78"/>
    </row>
    <row r="6" spans="1:21" x14ac:dyDescent="0.35">
      <c r="A6" s="184" t="s">
        <v>153</v>
      </c>
      <c r="B6" s="78"/>
      <c r="C6" s="78">
        <f>SUM('ABP Future Assumptions'!G64:G73)</f>
        <v>0</v>
      </c>
      <c r="D6" s="78">
        <f t="shared" si="1"/>
        <v>0</v>
      </c>
      <c r="E6" s="78">
        <f t="shared" si="1"/>
        <v>0</v>
      </c>
      <c r="F6" s="78">
        <f t="shared" si="1"/>
        <v>0</v>
      </c>
      <c r="G6" s="78">
        <f t="shared" si="1"/>
        <v>0</v>
      </c>
      <c r="H6" s="78">
        <f t="shared" si="1"/>
        <v>0</v>
      </c>
      <c r="I6" s="78">
        <f t="shared" si="1"/>
        <v>0</v>
      </c>
      <c r="J6" s="78">
        <f t="shared" si="1"/>
        <v>0</v>
      </c>
      <c r="K6" s="78">
        <f t="shared" si="1"/>
        <v>0</v>
      </c>
      <c r="L6" s="78">
        <f t="shared" si="1"/>
        <v>0</v>
      </c>
      <c r="M6" s="78">
        <f t="shared" si="1"/>
        <v>0</v>
      </c>
      <c r="N6" s="78">
        <f t="shared" si="1"/>
        <v>0</v>
      </c>
      <c r="O6" s="78">
        <f t="shared" si="1"/>
        <v>0</v>
      </c>
      <c r="P6" s="78">
        <f t="shared" si="1"/>
        <v>0</v>
      </c>
      <c r="Q6" s="78">
        <f t="shared" si="1"/>
        <v>0</v>
      </c>
      <c r="R6" s="78">
        <f t="shared" si="1"/>
        <v>0</v>
      </c>
      <c r="S6" s="78">
        <f t="shared" si="1"/>
        <v>0</v>
      </c>
      <c r="T6" s="78">
        <f t="shared" si="1"/>
        <v>0</v>
      </c>
      <c r="U6" s="78">
        <f t="shared" si="1"/>
        <v>0</v>
      </c>
    </row>
    <row r="7" spans="1:21" x14ac:dyDescent="0.35">
      <c r="A7" s="12" t="s">
        <v>156</v>
      </c>
      <c r="B7" s="78">
        <f>SUM('ABP Future Assumptions'!G77:G87)</f>
        <v>0</v>
      </c>
      <c r="C7" s="78">
        <f>B7*0.995</f>
        <v>0</v>
      </c>
      <c r="D7" s="78">
        <f t="shared" si="1"/>
        <v>0</v>
      </c>
      <c r="E7" s="78">
        <f t="shared" si="1"/>
        <v>0</v>
      </c>
      <c r="F7" s="78">
        <f t="shared" si="1"/>
        <v>0</v>
      </c>
      <c r="G7" s="78">
        <f t="shared" si="1"/>
        <v>0</v>
      </c>
      <c r="H7" s="78">
        <f t="shared" si="1"/>
        <v>0</v>
      </c>
      <c r="I7" s="78">
        <f t="shared" si="1"/>
        <v>0</v>
      </c>
      <c r="J7" s="78">
        <f t="shared" si="1"/>
        <v>0</v>
      </c>
      <c r="K7" s="78">
        <f t="shared" si="1"/>
        <v>0</v>
      </c>
      <c r="L7" s="78">
        <f t="shared" si="1"/>
        <v>0</v>
      </c>
      <c r="M7" s="78">
        <f t="shared" si="1"/>
        <v>0</v>
      </c>
      <c r="N7" s="78">
        <f t="shared" si="1"/>
        <v>0</v>
      </c>
      <c r="O7" s="78">
        <f t="shared" si="1"/>
        <v>0</v>
      </c>
      <c r="P7" s="78">
        <f t="shared" si="1"/>
        <v>0</v>
      </c>
      <c r="Q7" s="78"/>
      <c r="R7" s="78"/>
      <c r="S7" s="78"/>
      <c r="T7" s="78"/>
      <c r="U7" s="78"/>
    </row>
    <row r="8" spans="1:21" x14ac:dyDescent="0.35">
      <c r="A8" s="14" t="s">
        <v>89</v>
      </c>
      <c r="B8" s="14"/>
      <c r="C8" s="79">
        <f>SUM(B2:B7)</f>
        <v>459048.1391372768</v>
      </c>
      <c r="D8" s="79">
        <f>SUM(C2:C7)</f>
        <v>456752.89844159037</v>
      </c>
      <c r="E8" s="79">
        <f t="shared" ref="E8:U8" si="2">SUM(D2:D7)</f>
        <v>454469.13394938241</v>
      </c>
      <c r="F8" s="79">
        <f t="shared" si="2"/>
        <v>452196.78827963554</v>
      </c>
      <c r="G8" s="79">
        <f t="shared" si="2"/>
        <v>449935.80433823733</v>
      </c>
      <c r="H8" s="79">
        <f t="shared" si="2"/>
        <v>447686.12531654612</v>
      </c>
      <c r="I8" s="79">
        <f t="shared" si="2"/>
        <v>445447.69468996342</v>
      </c>
      <c r="J8" s="79">
        <f t="shared" si="2"/>
        <v>443220.45621651359</v>
      </c>
      <c r="K8" s="79">
        <f t="shared" si="2"/>
        <v>441004.35393543105</v>
      </c>
      <c r="L8" s="79">
        <f t="shared" si="2"/>
        <v>438799.33216575388</v>
      </c>
      <c r="M8" s="79">
        <f t="shared" si="2"/>
        <v>436605.33550492511</v>
      </c>
      <c r="N8" s="79">
        <f t="shared" si="2"/>
        <v>434422.30882740044</v>
      </c>
      <c r="O8" s="79">
        <f t="shared" si="2"/>
        <v>432250.19728326343</v>
      </c>
      <c r="P8" s="79">
        <f t="shared" si="2"/>
        <v>430088.94629684713</v>
      </c>
      <c r="Q8" s="79">
        <f t="shared" si="2"/>
        <v>427938.50156536291</v>
      </c>
      <c r="R8" s="79">
        <f t="shared" si="2"/>
        <v>0</v>
      </c>
      <c r="S8" s="79">
        <f t="shared" si="2"/>
        <v>0</v>
      </c>
      <c r="T8" s="79">
        <f t="shared" si="2"/>
        <v>0</v>
      </c>
      <c r="U8" s="79">
        <f t="shared" si="2"/>
        <v>0</v>
      </c>
    </row>
    <row r="9" spans="1:21" x14ac:dyDescent="0.35">
      <c r="A9" s="14"/>
      <c r="B9" s="14"/>
      <c r="C9" s="79"/>
      <c r="D9" s="79"/>
      <c r="E9" s="79"/>
      <c r="F9" s="79"/>
      <c r="G9" s="79"/>
      <c r="H9" s="79"/>
      <c r="I9" s="79"/>
      <c r="J9" s="79"/>
      <c r="K9" s="79"/>
      <c r="L9" s="79"/>
      <c r="M9" s="79"/>
      <c r="N9" s="79"/>
      <c r="O9" s="79"/>
      <c r="P9" s="79"/>
      <c r="Q9" s="79"/>
      <c r="R9" s="79"/>
      <c r="S9" s="79"/>
      <c r="T9" s="79"/>
      <c r="U9" s="79"/>
    </row>
    <row r="10" spans="1:21" ht="15.5" x14ac:dyDescent="0.35">
      <c r="A10" s="77">
        <v>2024</v>
      </c>
      <c r="B10" s="220">
        <v>2024</v>
      </c>
      <c r="C10" s="220">
        <v>2025</v>
      </c>
      <c r="D10" s="220">
        <v>2026</v>
      </c>
      <c r="E10" s="220">
        <v>2027</v>
      </c>
      <c r="F10" s="220">
        <v>2028</v>
      </c>
      <c r="G10" s="220">
        <v>2029</v>
      </c>
      <c r="H10" s="220">
        <v>2030</v>
      </c>
      <c r="I10" s="220">
        <v>2031</v>
      </c>
      <c r="J10" s="220">
        <v>2032</v>
      </c>
      <c r="K10" s="220">
        <v>2033</v>
      </c>
      <c r="L10" s="220">
        <v>2034</v>
      </c>
      <c r="M10" s="220">
        <v>2035</v>
      </c>
      <c r="N10" s="220">
        <v>2036</v>
      </c>
      <c r="O10" s="220">
        <v>2037</v>
      </c>
      <c r="P10" s="220">
        <v>2038</v>
      </c>
      <c r="Q10" s="220">
        <v>2039</v>
      </c>
      <c r="R10" s="220">
        <v>2040</v>
      </c>
      <c r="S10" s="220">
        <v>2041</v>
      </c>
      <c r="T10" s="220">
        <v>2042</v>
      </c>
      <c r="U10" s="220">
        <v>2043</v>
      </c>
    </row>
    <row r="11" spans="1:21" x14ac:dyDescent="0.35">
      <c r="A11" s="184" t="s">
        <v>129</v>
      </c>
      <c r="B11" s="184"/>
      <c r="C11" s="78">
        <f>'24-25 ABP Summary'!B2</f>
        <v>145906.86007555202</v>
      </c>
      <c r="D11" s="78">
        <f>'24-25 ABP Summary'!C2</f>
        <v>145177.32577517425</v>
      </c>
      <c r="E11" s="78">
        <f>'24-25 ABP Summary'!D2</f>
        <v>144451.43914629839</v>
      </c>
      <c r="F11" s="78">
        <f>'24-25 ABP Summary'!E2</f>
        <v>143729.18195056688</v>
      </c>
      <c r="G11" s="78">
        <f>'24-25 ABP Summary'!F2</f>
        <v>143010.53604081407</v>
      </c>
      <c r="H11" s="78">
        <f>'24-25 ABP Summary'!G2</f>
        <v>142295.48336060997</v>
      </c>
      <c r="I11" s="78">
        <f>'24-25 ABP Summary'!H2</f>
        <v>141584.00594380693</v>
      </c>
      <c r="J11" s="78">
        <f>'24-25 ABP Summary'!I2</f>
        <v>140876.08591408789</v>
      </c>
      <c r="K11" s="78">
        <f>'24-25 ABP Summary'!J2</f>
        <v>140171.70548451744</v>
      </c>
      <c r="L11" s="78">
        <f>'24-25 ABP Summary'!K2</f>
        <v>139470.84695709485</v>
      </c>
      <c r="M11" s="78">
        <f>'24-25 ABP Summary'!L2</f>
        <v>138773.49272230937</v>
      </c>
      <c r="N11" s="78">
        <f>'24-25 ABP Summary'!M2</f>
        <v>138079.62525869784</v>
      </c>
      <c r="O11" s="78">
        <f>'24-25 ABP Summary'!N2</f>
        <v>137389.22713240434</v>
      </c>
      <c r="P11" s="78">
        <f>'24-25 ABP Summary'!O2</f>
        <v>136702.28099674231</v>
      </c>
      <c r="Q11" s="78">
        <f>'24-25 ABP Summary'!P2</f>
        <v>136018.76959175861</v>
      </c>
      <c r="R11" s="78">
        <f>'24-25 ABP Summary'!Q2</f>
        <v>0</v>
      </c>
      <c r="S11" s="78">
        <f>'24-25 ABP Summary'!R2</f>
        <v>0</v>
      </c>
      <c r="T11" s="78">
        <f>'24-25 ABP Summary'!S2</f>
        <v>0</v>
      </c>
      <c r="U11" s="78">
        <f>'24-25 ABP Summary'!T2</f>
        <v>0</v>
      </c>
    </row>
    <row r="12" spans="1:21" x14ac:dyDescent="0.35">
      <c r="A12" s="184" t="s">
        <v>135</v>
      </c>
      <c r="B12" s="184"/>
      <c r="C12" s="78">
        <f>'24-25 ABP Summary'!B3</f>
        <v>155342.33973121329</v>
      </c>
      <c r="D12" s="78">
        <f>'24-25 ABP Summary'!C3</f>
        <v>154565.6280325572</v>
      </c>
      <c r="E12" s="78">
        <f>'24-25 ABP Summary'!D3</f>
        <v>153792.79989239443</v>
      </c>
      <c r="F12" s="78">
        <f>'24-25 ABP Summary'!E3</f>
        <v>153023.83589293246</v>
      </c>
      <c r="G12" s="78">
        <f>'24-25 ABP Summary'!F3</f>
        <v>152258.71671346779</v>
      </c>
      <c r="H12" s="78">
        <f>'24-25 ABP Summary'!G3</f>
        <v>151497.42312990045</v>
      </c>
      <c r="I12" s="78">
        <f>'24-25 ABP Summary'!H3</f>
        <v>150739.93601425094</v>
      </c>
      <c r="J12" s="78">
        <f>'24-25 ABP Summary'!I3</f>
        <v>149986.2363341797</v>
      </c>
      <c r="K12" s="78">
        <f>'24-25 ABP Summary'!J3</f>
        <v>149236.30515250878</v>
      </c>
      <c r="L12" s="78">
        <f>'24-25 ABP Summary'!K3</f>
        <v>148490.12362674624</v>
      </c>
      <c r="M12" s="78">
        <f>'24-25 ABP Summary'!L3</f>
        <v>147747.6730086125</v>
      </c>
      <c r="N12" s="78">
        <f>'24-25 ABP Summary'!M3</f>
        <v>147008.93464356946</v>
      </c>
      <c r="O12" s="78">
        <f>'24-25 ABP Summary'!N3</f>
        <v>146273.88997035159</v>
      </c>
      <c r="P12" s="78">
        <f>'24-25 ABP Summary'!O3</f>
        <v>145542.52052049985</v>
      </c>
      <c r="Q12" s="78">
        <f>'24-25 ABP Summary'!P3</f>
        <v>144814.80791789736</v>
      </c>
      <c r="R12" s="78">
        <f>'24-25 ABP Summary'!Q3</f>
        <v>0</v>
      </c>
      <c r="S12" s="78">
        <f>'24-25 ABP Summary'!R3</f>
        <v>0</v>
      </c>
      <c r="T12" s="78">
        <f>'24-25 ABP Summary'!S3</f>
        <v>0</v>
      </c>
      <c r="U12" s="78">
        <f>'24-25 ABP Summary'!T3</f>
        <v>0</v>
      </c>
    </row>
    <row r="13" spans="1:21" x14ac:dyDescent="0.35">
      <c r="A13" s="184" t="s">
        <v>144</v>
      </c>
      <c r="B13" s="184"/>
      <c r="C13" s="78">
        <f>'24-25 ABP Summary'!B4</f>
        <v>0</v>
      </c>
      <c r="D13" s="78">
        <f>'24-25 ABP Summary'!C4</f>
        <v>266722.870788</v>
      </c>
      <c r="E13" s="78">
        <f>'24-25 ABP Summary'!D4</f>
        <v>265389.25643405999</v>
      </c>
      <c r="F13" s="78">
        <f>'24-25 ABP Summary'!E4</f>
        <v>264062.31015188969</v>
      </c>
      <c r="G13" s="78">
        <f>'24-25 ABP Summary'!F4</f>
        <v>262741.99860113027</v>
      </c>
      <c r="H13" s="78">
        <f>'24-25 ABP Summary'!G4</f>
        <v>261428.2886081246</v>
      </c>
      <c r="I13" s="78">
        <f>'24-25 ABP Summary'!H4</f>
        <v>260121.14716508397</v>
      </c>
      <c r="J13" s="78">
        <f>'24-25 ABP Summary'!I4</f>
        <v>258820.54142925856</v>
      </c>
      <c r="K13" s="78">
        <f>'24-25 ABP Summary'!J4</f>
        <v>257526.43872211227</v>
      </c>
      <c r="L13" s="78">
        <f>'24-25 ABP Summary'!K4</f>
        <v>256238.80652850171</v>
      </c>
      <c r="M13" s="78">
        <f>'24-25 ABP Summary'!L4</f>
        <v>254957.61249585918</v>
      </c>
      <c r="N13" s="78">
        <f>'24-25 ABP Summary'!M4</f>
        <v>253682.82443337986</v>
      </c>
      <c r="O13" s="78">
        <f>'24-25 ABP Summary'!N4</f>
        <v>252414.41031121297</v>
      </c>
      <c r="P13" s="78">
        <f>'24-25 ABP Summary'!O4</f>
        <v>251152.33825965691</v>
      </c>
      <c r="Q13" s="78">
        <f>'24-25 ABP Summary'!P4</f>
        <v>249896.57656835864</v>
      </c>
      <c r="R13" s="78">
        <f>'24-25 ABP Summary'!Q4</f>
        <v>248647.09368551683</v>
      </c>
      <c r="S13" s="78">
        <f>'24-25 ABP Summary'!R4</f>
        <v>247403.85821708923</v>
      </c>
      <c r="T13" s="78">
        <f>'24-25 ABP Summary'!S4</f>
        <v>246166.83892600378</v>
      </c>
      <c r="U13" s="78">
        <f>'24-25 ABP Summary'!T4</f>
        <v>244936.00473137377</v>
      </c>
    </row>
    <row r="14" spans="1:21" x14ac:dyDescent="0.35">
      <c r="A14" s="184" t="s">
        <v>149</v>
      </c>
      <c r="B14" s="184"/>
      <c r="C14" s="78">
        <f>'24-25 ABP Summary'!B5</f>
        <v>128422.12297199998</v>
      </c>
      <c r="D14" s="78">
        <f>'24-25 ABP Summary'!C5</f>
        <v>127780.01235713999</v>
      </c>
      <c r="E14" s="78">
        <f>'24-25 ABP Summary'!D5</f>
        <v>127141.11229535428</v>
      </c>
      <c r="F14" s="78">
        <f>'24-25 ABP Summary'!E5</f>
        <v>126505.40673387751</v>
      </c>
      <c r="G14" s="78">
        <f>'24-25 ABP Summary'!F5</f>
        <v>125872.87970020811</v>
      </c>
      <c r="H14" s="78">
        <f>'24-25 ABP Summary'!G5</f>
        <v>125243.51530170708</v>
      </c>
      <c r="I14" s="78">
        <f>'24-25 ABP Summary'!H5</f>
        <v>124617.29772519854</v>
      </c>
      <c r="J14" s="78">
        <f>'24-25 ABP Summary'!I5</f>
        <v>123994.21123657255</v>
      </c>
      <c r="K14" s="78">
        <f>'24-25 ABP Summary'!J5</f>
        <v>123374.24018038969</v>
      </c>
      <c r="L14" s="78">
        <f>'24-25 ABP Summary'!K5</f>
        <v>122757.36897948774</v>
      </c>
      <c r="M14" s="78">
        <f>'24-25 ABP Summary'!L5</f>
        <v>122143.58213459028</v>
      </c>
      <c r="N14" s="78">
        <f>'24-25 ABP Summary'!M5</f>
        <v>121532.86422391734</v>
      </c>
      <c r="O14" s="78">
        <f>'24-25 ABP Summary'!N5</f>
        <v>120925.19990279774</v>
      </c>
      <c r="P14" s="78">
        <f>'24-25 ABP Summary'!O5</f>
        <v>120320.57390328377</v>
      </c>
      <c r="Q14" s="78">
        <f>'24-25 ABP Summary'!P5</f>
        <v>119718.97103376733</v>
      </c>
      <c r="R14" s="78">
        <f>'24-25 ABP Summary'!Q5</f>
        <v>119120.3761785985</v>
      </c>
      <c r="S14" s="78">
        <f>'24-25 ABP Summary'!R5</f>
        <v>118524.77429770552</v>
      </c>
      <c r="T14" s="78">
        <f>'24-25 ABP Summary'!S5</f>
        <v>117932.15042621699</v>
      </c>
      <c r="U14" s="78">
        <f>'24-25 ABP Summary'!T5</f>
        <v>117342.4896740859</v>
      </c>
    </row>
    <row r="15" spans="1:21" x14ac:dyDescent="0.35">
      <c r="A15" s="184" t="s">
        <v>153</v>
      </c>
      <c r="B15" s="184"/>
      <c r="C15" s="78">
        <f>'24-25 ABP Summary'!B6</f>
        <v>0</v>
      </c>
      <c r="D15" s="78">
        <f>'24-25 ABP Summary'!C6</f>
        <v>39514.499376</v>
      </c>
      <c r="E15" s="78">
        <f>'24-25 ABP Summary'!D6</f>
        <v>39316.926879120001</v>
      </c>
      <c r="F15" s="78">
        <f>'24-25 ABP Summary'!E6</f>
        <v>39120.342244724401</v>
      </c>
      <c r="G15" s="78">
        <f>'24-25 ABP Summary'!F6</f>
        <v>38924.740533500779</v>
      </c>
      <c r="H15" s="78">
        <f>'24-25 ABP Summary'!G6</f>
        <v>38730.116830833278</v>
      </c>
      <c r="I15" s="78">
        <f>'24-25 ABP Summary'!H6</f>
        <v>38536.466246679112</v>
      </c>
      <c r="J15" s="78">
        <f>'24-25 ABP Summary'!I6</f>
        <v>38343.783915445718</v>
      </c>
      <c r="K15" s="78">
        <f>'24-25 ABP Summary'!J6</f>
        <v>38152.064995868488</v>
      </c>
      <c r="L15" s="78">
        <f>'24-25 ABP Summary'!K6</f>
        <v>37961.304670889149</v>
      </c>
      <c r="M15" s="78">
        <f>'24-25 ABP Summary'!L6</f>
        <v>37771.498147534701</v>
      </c>
      <c r="N15" s="78">
        <f>'24-25 ABP Summary'!M6</f>
        <v>37582.640656797026</v>
      </c>
      <c r="O15" s="78">
        <f>'24-25 ABP Summary'!N6</f>
        <v>37394.727453513042</v>
      </c>
      <c r="P15" s="78">
        <f>'24-25 ABP Summary'!O6</f>
        <v>37207.753816245473</v>
      </c>
      <c r="Q15" s="78">
        <f>'24-25 ABP Summary'!P6</f>
        <v>37021.715047164245</v>
      </c>
      <c r="R15" s="78">
        <f>'24-25 ABP Summary'!Q6</f>
        <v>36836.606471928426</v>
      </c>
      <c r="S15" s="78">
        <f>'24-25 ABP Summary'!R6</f>
        <v>0</v>
      </c>
      <c r="T15" s="78">
        <f>'24-25 ABP Summary'!S6</f>
        <v>0</v>
      </c>
      <c r="U15" s="78">
        <f>'24-25 ABP Summary'!T6</f>
        <v>0</v>
      </c>
    </row>
    <row r="16" spans="1:21" x14ac:dyDescent="0.35">
      <c r="A16" s="12" t="s">
        <v>156</v>
      </c>
      <c r="B16" s="12"/>
      <c r="C16" s="78">
        <f>'24-25 ABP Summary'!B7</f>
        <v>172602.59970134808</v>
      </c>
      <c r="D16" s="78">
        <f>'24-25 ABP Summary'!C7</f>
        <v>171739.58670284133</v>
      </c>
      <c r="E16" s="78">
        <f>'24-25 ABP Summary'!D7</f>
        <v>170880.88876932714</v>
      </c>
      <c r="F16" s="78">
        <f>'24-25 ABP Summary'!E7</f>
        <v>170026.4843254805</v>
      </c>
      <c r="G16" s="78">
        <f>'24-25 ABP Summary'!F7</f>
        <v>169176.35190385312</v>
      </c>
      <c r="H16" s="78">
        <f>'24-25 ABP Summary'!G7</f>
        <v>168330.47014433384</v>
      </c>
      <c r="I16" s="78">
        <f>'24-25 ABP Summary'!H7</f>
        <v>167488.81779361214</v>
      </c>
      <c r="J16" s="78">
        <f>'24-25 ABP Summary'!I7</f>
        <v>166651.37370464409</v>
      </c>
      <c r="K16" s="78">
        <f>'24-25 ABP Summary'!J7</f>
        <v>165818.11683612087</v>
      </c>
      <c r="L16" s="78">
        <f>'24-25 ABP Summary'!K7</f>
        <v>164989.02625194026</v>
      </c>
      <c r="M16" s="78">
        <f>'24-25 ABP Summary'!L7</f>
        <v>164164.08112068055</v>
      </c>
      <c r="N16" s="78">
        <f>'24-25 ABP Summary'!M7</f>
        <v>163343.26071507717</v>
      </c>
      <c r="O16" s="78">
        <f>'24-25 ABP Summary'!N7</f>
        <v>162526.54441150179</v>
      </c>
      <c r="P16" s="78">
        <f>'24-25 ABP Summary'!O7</f>
        <v>161713.91168944424</v>
      </c>
      <c r="Q16" s="78">
        <f>'24-25 ABP Summary'!P7</f>
        <v>160905.34213099704</v>
      </c>
      <c r="R16" s="78">
        <f>'24-25 ABP Summary'!Q7</f>
        <v>0</v>
      </c>
      <c r="S16" s="78">
        <f>'24-25 ABP Summary'!R7</f>
        <v>0</v>
      </c>
      <c r="T16" s="78">
        <f>'24-25 ABP Summary'!S7</f>
        <v>0</v>
      </c>
      <c r="U16" s="78">
        <f>'24-25 ABP Summary'!T7</f>
        <v>0</v>
      </c>
    </row>
    <row r="17" spans="1:21" x14ac:dyDescent="0.35">
      <c r="A17" s="14" t="s">
        <v>89</v>
      </c>
      <c r="B17" s="14"/>
      <c r="C17" s="79">
        <f t="shared" ref="C17:U17" si="3">SUM(C11:C16)</f>
        <v>602273.92248011334</v>
      </c>
      <c r="D17" s="79">
        <f>SUM(D11:D16)</f>
        <v>905499.92303171277</v>
      </c>
      <c r="E17" s="79">
        <f t="shared" si="3"/>
        <v>900972.42341655423</v>
      </c>
      <c r="F17" s="79">
        <f t="shared" si="3"/>
        <v>896467.56129947142</v>
      </c>
      <c r="G17" s="79">
        <f t="shared" si="3"/>
        <v>891985.22349297418</v>
      </c>
      <c r="H17" s="79">
        <f t="shared" si="3"/>
        <v>887525.29737550928</v>
      </c>
      <c r="I17" s="79">
        <f t="shared" si="3"/>
        <v>883087.6708886316</v>
      </c>
      <c r="J17" s="79">
        <f t="shared" si="3"/>
        <v>878672.23253418854</v>
      </c>
      <c r="K17" s="79">
        <f t="shared" si="3"/>
        <v>874278.87137151754</v>
      </c>
      <c r="L17" s="79">
        <f t="shared" si="3"/>
        <v>869907.4770146599</v>
      </c>
      <c r="M17" s="79">
        <f t="shared" si="3"/>
        <v>865557.93962958653</v>
      </c>
      <c r="N17" s="79">
        <f t="shared" si="3"/>
        <v>861230.14993143862</v>
      </c>
      <c r="O17" s="79">
        <f t="shared" si="3"/>
        <v>856923.99918178143</v>
      </c>
      <c r="P17" s="79">
        <f t="shared" si="3"/>
        <v>852639.3791858725</v>
      </c>
      <c r="Q17" s="79">
        <f t="shared" si="3"/>
        <v>848376.18228994333</v>
      </c>
      <c r="R17" s="79">
        <f t="shared" si="3"/>
        <v>404604.07633604377</v>
      </c>
      <c r="S17" s="79">
        <f t="shared" si="3"/>
        <v>365928.63251479476</v>
      </c>
      <c r="T17" s="79">
        <f t="shared" si="3"/>
        <v>364098.98935222079</v>
      </c>
      <c r="U17" s="79">
        <f t="shared" si="3"/>
        <v>362278.49440545967</v>
      </c>
    </row>
    <row r="19" spans="1:21" ht="15.5" x14ac:dyDescent="0.35">
      <c r="A19" s="77">
        <v>2025</v>
      </c>
      <c r="B19" s="220">
        <v>2024</v>
      </c>
      <c r="C19" s="220">
        <f>C10</f>
        <v>2025</v>
      </c>
      <c r="D19" s="220">
        <f t="shared" ref="D19:U19" si="4">D10</f>
        <v>2026</v>
      </c>
      <c r="E19" s="220">
        <f t="shared" si="4"/>
        <v>2027</v>
      </c>
      <c r="F19" s="220">
        <f t="shared" si="4"/>
        <v>2028</v>
      </c>
      <c r="G19" s="220">
        <f t="shared" si="4"/>
        <v>2029</v>
      </c>
      <c r="H19" s="220">
        <f t="shared" si="4"/>
        <v>2030</v>
      </c>
      <c r="I19" s="220">
        <f t="shared" si="4"/>
        <v>2031</v>
      </c>
      <c r="J19" s="220">
        <f t="shared" si="4"/>
        <v>2032</v>
      </c>
      <c r="K19" s="220">
        <f t="shared" si="4"/>
        <v>2033</v>
      </c>
      <c r="L19" s="220">
        <f t="shared" si="4"/>
        <v>2034</v>
      </c>
      <c r="M19" s="220">
        <f t="shared" si="4"/>
        <v>2035</v>
      </c>
      <c r="N19" s="220">
        <f t="shared" si="4"/>
        <v>2036</v>
      </c>
      <c r="O19" s="220">
        <f t="shared" si="4"/>
        <v>2037</v>
      </c>
      <c r="P19" s="220">
        <f t="shared" si="4"/>
        <v>2038</v>
      </c>
      <c r="Q19" s="220">
        <f t="shared" si="4"/>
        <v>2039</v>
      </c>
      <c r="R19" s="220">
        <f t="shared" si="4"/>
        <v>2040</v>
      </c>
      <c r="S19" s="220">
        <f t="shared" si="4"/>
        <v>2041</v>
      </c>
      <c r="T19" s="220">
        <f t="shared" si="4"/>
        <v>2042</v>
      </c>
      <c r="U19" s="220">
        <f t="shared" si="4"/>
        <v>2043</v>
      </c>
    </row>
    <row r="20" spans="1:21" x14ac:dyDescent="0.35">
      <c r="A20" s="184" t="s">
        <v>129</v>
      </c>
      <c r="B20" s="184"/>
      <c r="C20" s="78"/>
      <c r="D20" s="78">
        <f>C11</f>
        <v>145906.86007555202</v>
      </c>
      <c r="E20" s="78">
        <f>D11</f>
        <v>145177.32577517425</v>
      </c>
      <c r="F20" s="78">
        <f>E11</f>
        <v>144451.43914629839</v>
      </c>
      <c r="G20" s="78">
        <f>F11</f>
        <v>143729.18195056688</v>
      </c>
      <c r="H20" s="78">
        <f t="shared" ref="H20:U20" si="5">G11</f>
        <v>143010.53604081407</v>
      </c>
      <c r="I20" s="78">
        <f t="shared" si="5"/>
        <v>142295.48336060997</v>
      </c>
      <c r="J20" s="78">
        <f t="shared" si="5"/>
        <v>141584.00594380693</v>
      </c>
      <c r="K20" s="78">
        <f t="shared" si="5"/>
        <v>140876.08591408789</v>
      </c>
      <c r="L20" s="78">
        <f t="shared" si="5"/>
        <v>140171.70548451744</v>
      </c>
      <c r="M20" s="78">
        <f t="shared" si="5"/>
        <v>139470.84695709485</v>
      </c>
      <c r="N20" s="78">
        <f t="shared" si="5"/>
        <v>138773.49272230937</v>
      </c>
      <c r="O20" s="78">
        <f t="shared" si="5"/>
        <v>138079.62525869784</v>
      </c>
      <c r="P20" s="78">
        <f t="shared" si="5"/>
        <v>137389.22713240434</v>
      </c>
      <c r="Q20" s="78">
        <f t="shared" si="5"/>
        <v>136702.28099674231</v>
      </c>
      <c r="R20" s="78">
        <f t="shared" si="5"/>
        <v>136018.76959175861</v>
      </c>
      <c r="S20" s="78">
        <f t="shared" si="5"/>
        <v>0</v>
      </c>
      <c r="T20" s="78">
        <f t="shared" si="5"/>
        <v>0</v>
      </c>
      <c r="U20" s="78">
        <f t="shared" si="5"/>
        <v>0</v>
      </c>
    </row>
    <row r="21" spans="1:21" x14ac:dyDescent="0.35">
      <c r="A21" s="184" t="s">
        <v>135</v>
      </c>
      <c r="B21" s="184"/>
      <c r="C21" s="78"/>
      <c r="D21" s="78">
        <f t="shared" ref="D21:U21" si="6">C12</f>
        <v>155342.33973121329</v>
      </c>
      <c r="E21" s="78">
        <f t="shared" si="6"/>
        <v>154565.6280325572</v>
      </c>
      <c r="F21" s="78">
        <f t="shared" si="6"/>
        <v>153792.79989239443</v>
      </c>
      <c r="G21" s="78">
        <f t="shared" si="6"/>
        <v>153023.83589293246</v>
      </c>
      <c r="H21" s="78">
        <f t="shared" si="6"/>
        <v>152258.71671346779</v>
      </c>
      <c r="I21" s="78">
        <f t="shared" si="6"/>
        <v>151497.42312990045</v>
      </c>
      <c r="J21" s="78">
        <f t="shared" si="6"/>
        <v>150739.93601425094</v>
      </c>
      <c r="K21" s="78">
        <f t="shared" si="6"/>
        <v>149986.2363341797</v>
      </c>
      <c r="L21" s="78">
        <f t="shared" si="6"/>
        <v>149236.30515250878</v>
      </c>
      <c r="M21" s="78">
        <f t="shared" si="6"/>
        <v>148490.12362674624</v>
      </c>
      <c r="N21" s="78">
        <f t="shared" si="6"/>
        <v>147747.6730086125</v>
      </c>
      <c r="O21" s="78">
        <f t="shared" si="6"/>
        <v>147008.93464356946</v>
      </c>
      <c r="P21" s="78">
        <f t="shared" si="6"/>
        <v>146273.88997035159</v>
      </c>
      <c r="Q21" s="78">
        <f t="shared" si="6"/>
        <v>145542.52052049985</v>
      </c>
      <c r="R21" s="78">
        <f t="shared" si="6"/>
        <v>144814.80791789736</v>
      </c>
      <c r="S21" s="78">
        <f t="shared" si="6"/>
        <v>0</v>
      </c>
      <c r="T21" s="78">
        <f t="shared" si="6"/>
        <v>0</v>
      </c>
      <c r="U21" s="78">
        <f t="shared" si="6"/>
        <v>0</v>
      </c>
    </row>
    <row r="22" spans="1:21" x14ac:dyDescent="0.35">
      <c r="A22" s="184" t="s">
        <v>144</v>
      </c>
      <c r="B22" s="184"/>
      <c r="C22" s="78"/>
      <c r="D22" s="78">
        <f t="shared" ref="D22:U22" si="7">C13</f>
        <v>0</v>
      </c>
      <c r="E22" s="78">
        <f t="shared" si="7"/>
        <v>266722.870788</v>
      </c>
      <c r="F22" s="78">
        <f t="shared" si="7"/>
        <v>265389.25643405999</v>
      </c>
      <c r="G22" s="78">
        <f t="shared" si="7"/>
        <v>264062.31015188969</v>
      </c>
      <c r="H22" s="78">
        <f t="shared" si="7"/>
        <v>262741.99860113027</v>
      </c>
      <c r="I22" s="78">
        <f t="shared" si="7"/>
        <v>261428.2886081246</v>
      </c>
      <c r="J22" s="78">
        <f t="shared" si="7"/>
        <v>260121.14716508397</v>
      </c>
      <c r="K22" s="78">
        <f t="shared" si="7"/>
        <v>258820.54142925856</v>
      </c>
      <c r="L22" s="78">
        <f t="shared" si="7"/>
        <v>257526.43872211227</v>
      </c>
      <c r="M22" s="78">
        <f t="shared" si="7"/>
        <v>256238.80652850171</v>
      </c>
      <c r="N22" s="78">
        <f t="shared" si="7"/>
        <v>254957.61249585918</v>
      </c>
      <c r="O22" s="78">
        <f t="shared" si="7"/>
        <v>253682.82443337986</v>
      </c>
      <c r="P22" s="78">
        <f t="shared" si="7"/>
        <v>252414.41031121297</v>
      </c>
      <c r="Q22" s="78">
        <f t="shared" si="7"/>
        <v>251152.33825965691</v>
      </c>
      <c r="R22" s="78">
        <f t="shared" si="7"/>
        <v>249896.57656835864</v>
      </c>
      <c r="S22" s="78">
        <f t="shared" si="7"/>
        <v>248647.09368551683</v>
      </c>
      <c r="T22" s="78">
        <f t="shared" si="7"/>
        <v>247403.85821708923</v>
      </c>
      <c r="U22" s="78">
        <f t="shared" si="7"/>
        <v>246166.83892600378</v>
      </c>
    </row>
    <row r="23" spans="1:21" x14ac:dyDescent="0.35">
      <c r="A23" s="184" t="s">
        <v>149</v>
      </c>
      <c r="B23" s="184"/>
      <c r="C23" s="78"/>
      <c r="D23" s="78">
        <f t="shared" ref="D23:U23" si="8">C14</f>
        <v>128422.12297199998</v>
      </c>
      <c r="E23" s="78">
        <f t="shared" si="8"/>
        <v>127780.01235713999</v>
      </c>
      <c r="F23" s="78">
        <f t="shared" si="8"/>
        <v>127141.11229535428</v>
      </c>
      <c r="G23" s="78">
        <f t="shared" si="8"/>
        <v>126505.40673387751</v>
      </c>
      <c r="H23" s="78">
        <f t="shared" si="8"/>
        <v>125872.87970020811</v>
      </c>
      <c r="I23" s="78">
        <f t="shared" si="8"/>
        <v>125243.51530170708</v>
      </c>
      <c r="J23" s="78">
        <f t="shared" si="8"/>
        <v>124617.29772519854</v>
      </c>
      <c r="K23" s="78">
        <f t="shared" si="8"/>
        <v>123994.21123657255</v>
      </c>
      <c r="L23" s="78">
        <f t="shared" si="8"/>
        <v>123374.24018038969</v>
      </c>
      <c r="M23" s="78">
        <f t="shared" si="8"/>
        <v>122757.36897948774</v>
      </c>
      <c r="N23" s="78">
        <f t="shared" si="8"/>
        <v>122143.58213459028</v>
      </c>
      <c r="O23" s="78">
        <f t="shared" si="8"/>
        <v>121532.86422391734</v>
      </c>
      <c r="P23" s="78">
        <f t="shared" si="8"/>
        <v>120925.19990279774</v>
      </c>
      <c r="Q23" s="78">
        <f t="shared" si="8"/>
        <v>120320.57390328377</v>
      </c>
      <c r="R23" s="78">
        <f t="shared" si="8"/>
        <v>119718.97103376733</v>
      </c>
      <c r="S23" s="78">
        <f t="shared" si="8"/>
        <v>119120.3761785985</v>
      </c>
      <c r="T23" s="78">
        <f t="shared" si="8"/>
        <v>118524.77429770552</v>
      </c>
      <c r="U23" s="78">
        <f t="shared" si="8"/>
        <v>117932.15042621699</v>
      </c>
    </row>
    <row r="24" spans="1:21" x14ac:dyDescent="0.35">
      <c r="A24" s="184" t="s">
        <v>153</v>
      </c>
      <c r="B24" s="184"/>
      <c r="C24" s="78"/>
      <c r="D24" s="78">
        <f t="shared" ref="D24:U24" si="9">C15</f>
        <v>0</v>
      </c>
      <c r="E24" s="78">
        <f t="shared" si="9"/>
        <v>39514.499376</v>
      </c>
      <c r="F24" s="78">
        <f t="shared" si="9"/>
        <v>39316.926879120001</v>
      </c>
      <c r="G24" s="78">
        <f t="shared" si="9"/>
        <v>39120.342244724401</v>
      </c>
      <c r="H24" s="78">
        <f t="shared" si="9"/>
        <v>38924.740533500779</v>
      </c>
      <c r="I24" s="78">
        <f t="shared" si="9"/>
        <v>38730.116830833278</v>
      </c>
      <c r="J24" s="78">
        <f t="shared" si="9"/>
        <v>38536.466246679112</v>
      </c>
      <c r="K24" s="78">
        <f t="shared" si="9"/>
        <v>38343.783915445718</v>
      </c>
      <c r="L24" s="78">
        <f t="shared" si="9"/>
        <v>38152.064995868488</v>
      </c>
      <c r="M24" s="78">
        <f t="shared" si="9"/>
        <v>37961.304670889149</v>
      </c>
      <c r="N24" s="78">
        <f t="shared" si="9"/>
        <v>37771.498147534701</v>
      </c>
      <c r="O24" s="78">
        <f t="shared" si="9"/>
        <v>37582.640656797026</v>
      </c>
      <c r="P24" s="78">
        <f t="shared" si="9"/>
        <v>37394.727453513042</v>
      </c>
      <c r="Q24" s="78">
        <f t="shared" si="9"/>
        <v>37207.753816245473</v>
      </c>
      <c r="R24" s="78">
        <f t="shared" si="9"/>
        <v>37021.715047164245</v>
      </c>
      <c r="S24" s="78">
        <f t="shared" si="9"/>
        <v>36836.606471928426</v>
      </c>
      <c r="T24" s="78">
        <f t="shared" si="9"/>
        <v>0</v>
      </c>
      <c r="U24" s="78">
        <f t="shared" si="9"/>
        <v>0</v>
      </c>
    </row>
    <row r="25" spans="1:21" x14ac:dyDescent="0.35">
      <c r="A25" s="12" t="s">
        <v>156</v>
      </c>
      <c r="B25" s="12"/>
      <c r="C25" s="78"/>
      <c r="D25" s="78">
        <f t="shared" ref="D25:U25" si="10">C16</f>
        <v>172602.59970134808</v>
      </c>
      <c r="E25" s="78">
        <f t="shared" si="10"/>
        <v>171739.58670284133</v>
      </c>
      <c r="F25" s="78">
        <f t="shared" si="10"/>
        <v>170880.88876932714</v>
      </c>
      <c r="G25" s="78">
        <f t="shared" si="10"/>
        <v>170026.4843254805</v>
      </c>
      <c r="H25" s="78">
        <f t="shared" si="10"/>
        <v>169176.35190385312</v>
      </c>
      <c r="I25" s="78">
        <f t="shared" si="10"/>
        <v>168330.47014433384</v>
      </c>
      <c r="J25" s="78">
        <f t="shared" si="10"/>
        <v>167488.81779361214</v>
      </c>
      <c r="K25" s="78">
        <f t="shared" si="10"/>
        <v>166651.37370464409</v>
      </c>
      <c r="L25" s="78">
        <f t="shared" si="10"/>
        <v>165818.11683612087</v>
      </c>
      <c r="M25" s="78">
        <f t="shared" si="10"/>
        <v>164989.02625194026</v>
      </c>
      <c r="N25" s="78">
        <f t="shared" si="10"/>
        <v>164164.08112068055</v>
      </c>
      <c r="O25" s="78">
        <f t="shared" si="10"/>
        <v>163343.26071507717</v>
      </c>
      <c r="P25" s="78">
        <f t="shared" si="10"/>
        <v>162526.54441150179</v>
      </c>
      <c r="Q25" s="78">
        <f t="shared" si="10"/>
        <v>161713.91168944424</v>
      </c>
      <c r="R25" s="78">
        <f t="shared" si="10"/>
        <v>160905.34213099704</v>
      </c>
      <c r="S25" s="78">
        <f t="shared" si="10"/>
        <v>0</v>
      </c>
      <c r="T25" s="78">
        <f t="shared" si="10"/>
        <v>0</v>
      </c>
      <c r="U25" s="78">
        <f t="shared" si="10"/>
        <v>0</v>
      </c>
    </row>
    <row r="26" spans="1:21" x14ac:dyDescent="0.35">
      <c r="A26" s="14" t="s">
        <v>89</v>
      </c>
      <c r="B26" s="14"/>
      <c r="C26" s="79">
        <f t="shared" ref="C26:U26" si="11">SUM(C20:C25)</f>
        <v>0</v>
      </c>
      <c r="D26" s="79">
        <f t="shared" si="11"/>
        <v>602273.92248011334</v>
      </c>
      <c r="E26" s="79">
        <f t="shared" si="11"/>
        <v>905499.92303171277</v>
      </c>
      <c r="F26" s="79">
        <f t="shared" si="11"/>
        <v>900972.42341655423</v>
      </c>
      <c r="G26" s="79">
        <f t="shared" si="11"/>
        <v>896467.56129947142</v>
      </c>
      <c r="H26" s="79">
        <f t="shared" si="11"/>
        <v>891985.22349297418</v>
      </c>
      <c r="I26" s="79">
        <f t="shared" si="11"/>
        <v>887525.29737550928</v>
      </c>
      <c r="J26" s="79">
        <f t="shared" si="11"/>
        <v>883087.6708886316</v>
      </c>
      <c r="K26" s="79">
        <f t="shared" si="11"/>
        <v>878672.23253418854</v>
      </c>
      <c r="L26" s="79">
        <f t="shared" si="11"/>
        <v>874278.87137151754</v>
      </c>
      <c r="M26" s="79">
        <f t="shared" si="11"/>
        <v>869907.4770146599</v>
      </c>
      <c r="N26" s="79">
        <f t="shared" si="11"/>
        <v>865557.93962958653</v>
      </c>
      <c r="O26" s="79">
        <f t="shared" si="11"/>
        <v>861230.14993143862</v>
      </c>
      <c r="P26" s="79">
        <f t="shared" si="11"/>
        <v>856923.99918178143</v>
      </c>
      <c r="Q26" s="79">
        <f t="shared" si="11"/>
        <v>852639.3791858725</v>
      </c>
      <c r="R26" s="79">
        <f t="shared" si="11"/>
        <v>848376.18228994333</v>
      </c>
      <c r="S26" s="79">
        <f t="shared" si="11"/>
        <v>404604.07633604377</v>
      </c>
      <c r="T26" s="79">
        <f t="shared" si="11"/>
        <v>365928.63251479476</v>
      </c>
      <c r="U26" s="79">
        <f t="shared" si="11"/>
        <v>364098.98935222079</v>
      </c>
    </row>
    <row r="28" spans="1:21" ht="15.5" x14ac:dyDescent="0.35">
      <c r="A28" s="77">
        <v>2026</v>
      </c>
      <c r="B28" s="220">
        <v>2024</v>
      </c>
      <c r="C28" s="220">
        <f>C19</f>
        <v>2025</v>
      </c>
      <c r="D28" s="220">
        <f t="shared" ref="D28:U28" si="12">D19</f>
        <v>2026</v>
      </c>
      <c r="E28" s="220">
        <f t="shared" si="12"/>
        <v>2027</v>
      </c>
      <c r="F28" s="220">
        <f t="shared" si="12"/>
        <v>2028</v>
      </c>
      <c r="G28" s="220">
        <f t="shared" si="12"/>
        <v>2029</v>
      </c>
      <c r="H28" s="220">
        <f t="shared" si="12"/>
        <v>2030</v>
      </c>
      <c r="I28" s="220">
        <f t="shared" si="12"/>
        <v>2031</v>
      </c>
      <c r="J28" s="220">
        <f t="shared" si="12"/>
        <v>2032</v>
      </c>
      <c r="K28" s="220">
        <f t="shared" si="12"/>
        <v>2033</v>
      </c>
      <c r="L28" s="220">
        <f t="shared" si="12"/>
        <v>2034</v>
      </c>
      <c r="M28" s="220">
        <f t="shared" si="12"/>
        <v>2035</v>
      </c>
      <c r="N28" s="220">
        <f t="shared" si="12"/>
        <v>2036</v>
      </c>
      <c r="O28" s="220">
        <f t="shared" si="12"/>
        <v>2037</v>
      </c>
      <c r="P28" s="220">
        <f t="shared" si="12"/>
        <v>2038</v>
      </c>
      <c r="Q28" s="220">
        <f t="shared" si="12"/>
        <v>2039</v>
      </c>
      <c r="R28" s="220">
        <f t="shared" si="12"/>
        <v>2040</v>
      </c>
      <c r="S28" s="220">
        <f t="shared" si="12"/>
        <v>2041</v>
      </c>
      <c r="T28" s="220">
        <f t="shared" si="12"/>
        <v>2042</v>
      </c>
      <c r="U28" s="220">
        <f t="shared" si="12"/>
        <v>2043</v>
      </c>
    </row>
    <row r="29" spans="1:21" x14ac:dyDescent="0.35">
      <c r="A29" s="184" t="s">
        <v>129</v>
      </c>
      <c r="B29" s="184"/>
      <c r="C29" s="78"/>
      <c r="D29" s="78"/>
      <c r="E29" s="78">
        <f>D20</f>
        <v>145906.86007555202</v>
      </c>
      <c r="F29" s="78">
        <f t="shared" ref="F29:U29" si="13">E20</f>
        <v>145177.32577517425</v>
      </c>
      <c r="G29" s="78">
        <f t="shared" si="13"/>
        <v>144451.43914629839</v>
      </c>
      <c r="H29" s="78">
        <f t="shared" si="13"/>
        <v>143729.18195056688</v>
      </c>
      <c r="I29" s="78">
        <f t="shared" si="13"/>
        <v>143010.53604081407</v>
      </c>
      <c r="J29" s="78">
        <f t="shared" si="13"/>
        <v>142295.48336060997</v>
      </c>
      <c r="K29" s="78">
        <f t="shared" si="13"/>
        <v>141584.00594380693</v>
      </c>
      <c r="L29" s="78">
        <f t="shared" si="13"/>
        <v>140876.08591408789</v>
      </c>
      <c r="M29" s="78">
        <f t="shared" si="13"/>
        <v>140171.70548451744</v>
      </c>
      <c r="N29" s="78">
        <f t="shared" si="13"/>
        <v>139470.84695709485</v>
      </c>
      <c r="O29" s="78">
        <f t="shared" si="13"/>
        <v>138773.49272230937</v>
      </c>
      <c r="P29" s="78">
        <f t="shared" si="13"/>
        <v>138079.62525869784</v>
      </c>
      <c r="Q29" s="78">
        <f t="shared" si="13"/>
        <v>137389.22713240434</v>
      </c>
      <c r="R29" s="78">
        <f t="shared" si="13"/>
        <v>136702.28099674231</v>
      </c>
      <c r="S29" s="78">
        <f t="shared" si="13"/>
        <v>136018.76959175861</v>
      </c>
      <c r="T29" s="78">
        <f t="shared" si="13"/>
        <v>0</v>
      </c>
      <c r="U29" s="78">
        <f t="shared" si="13"/>
        <v>0</v>
      </c>
    </row>
    <row r="30" spans="1:21" x14ac:dyDescent="0.35">
      <c r="A30" s="184" t="s">
        <v>135</v>
      </c>
      <c r="B30" s="184"/>
      <c r="C30" s="78"/>
      <c r="D30" s="78"/>
      <c r="E30" s="78">
        <f t="shared" ref="E30:U30" si="14">D21</f>
        <v>155342.33973121329</v>
      </c>
      <c r="F30" s="78">
        <f t="shared" si="14"/>
        <v>154565.6280325572</v>
      </c>
      <c r="G30" s="78">
        <f t="shared" si="14"/>
        <v>153792.79989239443</v>
      </c>
      <c r="H30" s="78">
        <f t="shared" si="14"/>
        <v>153023.83589293246</v>
      </c>
      <c r="I30" s="78">
        <f t="shared" si="14"/>
        <v>152258.71671346779</v>
      </c>
      <c r="J30" s="78">
        <f t="shared" si="14"/>
        <v>151497.42312990045</v>
      </c>
      <c r="K30" s="78">
        <f t="shared" si="14"/>
        <v>150739.93601425094</v>
      </c>
      <c r="L30" s="78">
        <f t="shared" si="14"/>
        <v>149986.2363341797</v>
      </c>
      <c r="M30" s="78">
        <f t="shared" si="14"/>
        <v>149236.30515250878</v>
      </c>
      <c r="N30" s="78">
        <f t="shared" si="14"/>
        <v>148490.12362674624</v>
      </c>
      <c r="O30" s="78">
        <f t="shared" si="14"/>
        <v>147747.6730086125</v>
      </c>
      <c r="P30" s="78">
        <f t="shared" si="14"/>
        <v>147008.93464356946</v>
      </c>
      <c r="Q30" s="78">
        <f t="shared" si="14"/>
        <v>146273.88997035159</v>
      </c>
      <c r="R30" s="78">
        <f t="shared" si="14"/>
        <v>145542.52052049985</v>
      </c>
      <c r="S30" s="78">
        <f t="shared" si="14"/>
        <v>144814.80791789736</v>
      </c>
      <c r="T30" s="78">
        <f t="shared" si="14"/>
        <v>0</v>
      </c>
      <c r="U30" s="78">
        <f t="shared" si="14"/>
        <v>0</v>
      </c>
    </row>
    <row r="31" spans="1:21" x14ac:dyDescent="0.35">
      <c r="A31" s="184" t="s">
        <v>144</v>
      </c>
      <c r="B31" s="184"/>
      <c r="C31" s="78"/>
      <c r="D31" s="78"/>
      <c r="E31" s="78">
        <f t="shared" ref="E31:U31" si="15">D22</f>
        <v>0</v>
      </c>
      <c r="F31" s="78">
        <f t="shared" si="15"/>
        <v>266722.870788</v>
      </c>
      <c r="G31" s="78">
        <f t="shared" si="15"/>
        <v>265389.25643405999</v>
      </c>
      <c r="H31" s="78">
        <f t="shared" si="15"/>
        <v>264062.31015188969</v>
      </c>
      <c r="I31" s="78">
        <f t="shared" si="15"/>
        <v>262741.99860113027</v>
      </c>
      <c r="J31" s="78">
        <f t="shared" si="15"/>
        <v>261428.2886081246</v>
      </c>
      <c r="K31" s="78">
        <f t="shared" si="15"/>
        <v>260121.14716508397</v>
      </c>
      <c r="L31" s="78">
        <f t="shared" si="15"/>
        <v>258820.54142925856</v>
      </c>
      <c r="M31" s="78">
        <f t="shared" si="15"/>
        <v>257526.43872211227</v>
      </c>
      <c r="N31" s="78">
        <f t="shared" si="15"/>
        <v>256238.80652850171</v>
      </c>
      <c r="O31" s="78">
        <f t="shared" si="15"/>
        <v>254957.61249585918</v>
      </c>
      <c r="P31" s="78">
        <f t="shared" si="15"/>
        <v>253682.82443337986</v>
      </c>
      <c r="Q31" s="78">
        <f t="shared" si="15"/>
        <v>252414.41031121297</v>
      </c>
      <c r="R31" s="78">
        <f t="shared" si="15"/>
        <v>251152.33825965691</v>
      </c>
      <c r="S31" s="78">
        <f t="shared" si="15"/>
        <v>249896.57656835864</v>
      </c>
      <c r="T31" s="78">
        <f t="shared" si="15"/>
        <v>248647.09368551683</v>
      </c>
      <c r="U31" s="78">
        <f t="shared" si="15"/>
        <v>247403.85821708923</v>
      </c>
    </row>
    <row r="32" spans="1:21" x14ac:dyDescent="0.35">
      <c r="A32" s="184" t="s">
        <v>149</v>
      </c>
      <c r="B32" s="184"/>
      <c r="C32" s="78"/>
      <c r="D32" s="78"/>
      <c r="E32" s="78">
        <f t="shared" ref="E32:U32" si="16">D23</f>
        <v>128422.12297199998</v>
      </c>
      <c r="F32" s="78">
        <f t="shared" si="16"/>
        <v>127780.01235713999</v>
      </c>
      <c r="G32" s="78">
        <f t="shared" si="16"/>
        <v>127141.11229535428</v>
      </c>
      <c r="H32" s="78">
        <f t="shared" si="16"/>
        <v>126505.40673387751</v>
      </c>
      <c r="I32" s="78">
        <f t="shared" si="16"/>
        <v>125872.87970020811</v>
      </c>
      <c r="J32" s="78">
        <f t="shared" si="16"/>
        <v>125243.51530170708</v>
      </c>
      <c r="K32" s="78">
        <f t="shared" si="16"/>
        <v>124617.29772519854</v>
      </c>
      <c r="L32" s="78">
        <f t="shared" si="16"/>
        <v>123994.21123657255</v>
      </c>
      <c r="M32" s="78">
        <f t="shared" si="16"/>
        <v>123374.24018038969</v>
      </c>
      <c r="N32" s="78">
        <f t="shared" si="16"/>
        <v>122757.36897948774</v>
      </c>
      <c r="O32" s="78">
        <f t="shared" si="16"/>
        <v>122143.58213459028</v>
      </c>
      <c r="P32" s="78">
        <f t="shared" si="16"/>
        <v>121532.86422391734</v>
      </c>
      <c r="Q32" s="78">
        <f t="shared" si="16"/>
        <v>120925.19990279774</v>
      </c>
      <c r="R32" s="78">
        <f t="shared" si="16"/>
        <v>120320.57390328377</v>
      </c>
      <c r="S32" s="78">
        <f t="shared" si="16"/>
        <v>119718.97103376733</v>
      </c>
      <c r="T32" s="78">
        <f t="shared" si="16"/>
        <v>119120.3761785985</v>
      </c>
      <c r="U32" s="78">
        <f t="shared" si="16"/>
        <v>118524.77429770552</v>
      </c>
    </row>
    <row r="33" spans="1:21" x14ac:dyDescent="0.35">
      <c r="A33" s="184" t="s">
        <v>153</v>
      </c>
      <c r="B33" s="184"/>
      <c r="C33" s="78"/>
      <c r="D33" s="78"/>
      <c r="E33" s="78">
        <f t="shared" ref="E33:U33" si="17">D24</f>
        <v>0</v>
      </c>
      <c r="F33" s="78">
        <f t="shared" si="17"/>
        <v>39514.499376</v>
      </c>
      <c r="G33" s="78">
        <f t="shared" si="17"/>
        <v>39316.926879120001</v>
      </c>
      <c r="H33" s="78">
        <f t="shared" si="17"/>
        <v>39120.342244724401</v>
      </c>
      <c r="I33" s="78">
        <f t="shared" si="17"/>
        <v>38924.740533500779</v>
      </c>
      <c r="J33" s="78">
        <f t="shared" si="17"/>
        <v>38730.116830833278</v>
      </c>
      <c r="K33" s="78">
        <f t="shared" si="17"/>
        <v>38536.466246679112</v>
      </c>
      <c r="L33" s="78">
        <f t="shared" si="17"/>
        <v>38343.783915445718</v>
      </c>
      <c r="M33" s="78">
        <f t="shared" si="17"/>
        <v>38152.064995868488</v>
      </c>
      <c r="N33" s="78">
        <f t="shared" si="17"/>
        <v>37961.304670889149</v>
      </c>
      <c r="O33" s="78">
        <f t="shared" si="17"/>
        <v>37771.498147534701</v>
      </c>
      <c r="P33" s="78">
        <f t="shared" si="17"/>
        <v>37582.640656797026</v>
      </c>
      <c r="Q33" s="78">
        <f t="shared" si="17"/>
        <v>37394.727453513042</v>
      </c>
      <c r="R33" s="78">
        <f t="shared" si="17"/>
        <v>37207.753816245473</v>
      </c>
      <c r="S33" s="78">
        <f t="shared" si="17"/>
        <v>37021.715047164245</v>
      </c>
      <c r="T33" s="78">
        <f t="shared" si="17"/>
        <v>36836.606471928426</v>
      </c>
      <c r="U33" s="78">
        <f t="shared" si="17"/>
        <v>0</v>
      </c>
    </row>
    <row r="34" spans="1:21" x14ac:dyDescent="0.35">
      <c r="A34" s="12" t="s">
        <v>156</v>
      </c>
      <c r="B34" s="12"/>
      <c r="C34" s="78"/>
      <c r="D34" s="78"/>
      <c r="E34" s="78">
        <f t="shared" ref="E34:U34" si="18">D25</f>
        <v>172602.59970134808</v>
      </c>
      <c r="F34" s="78">
        <f t="shared" si="18"/>
        <v>171739.58670284133</v>
      </c>
      <c r="G34" s="78">
        <f t="shared" si="18"/>
        <v>170880.88876932714</v>
      </c>
      <c r="H34" s="78">
        <f t="shared" si="18"/>
        <v>170026.4843254805</v>
      </c>
      <c r="I34" s="78">
        <f t="shared" si="18"/>
        <v>169176.35190385312</v>
      </c>
      <c r="J34" s="78">
        <f t="shared" si="18"/>
        <v>168330.47014433384</v>
      </c>
      <c r="K34" s="78">
        <f t="shared" si="18"/>
        <v>167488.81779361214</v>
      </c>
      <c r="L34" s="78">
        <f t="shared" si="18"/>
        <v>166651.37370464409</v>
      </c>
      <c r="M34" s="78">
        <f t="shared" si="18"/>
        <v>165818.11683612087</v>
      </c>
      <c r="N34" s="78">
        <f t="shared" si="18"/>
        <v>164989.02625194026</v>
      </c>
      <c r="O34" s="78">
        <f t="shared" si="18"/>
        <v>164164.08112068055</v>
      </c>
      <c r="P34" s="78">
        <f t="shared" si="18"/>
        <v>163343.26071507717</v>
      </c>
      <c r="Q34" s="78">
        <f t="shared" si="18"/>
        <v>162526.54441150179</v>
      </c>
      <c r="R34" s="78">
        <f t="shared" si="18"/>
        <v>161713.91168944424</v>
      </c>
      <c r="S34" s="78">
        <f t="shared" si="18"/>
        <v>160905.34213099704</v>
      </c>
      <c r="T34" s="78">
        <f t="shared" si="18"/>
        <v>0</v>
      </c>
      <c r="U34" s="78">
        <f t="shared" si="18"/>
        <v>0</v>
      </c>
    </row>
    <row r="35" spans="1:21" x14ac:dyDescent="0.35">
      <c r="A35" s="14" t="s">
        <v>89</v>
      </c>
      <c r="B35" s="14"/>
      <c r="C35" s="79">
        <f t="shared" ref="C35:U35" si="19">SUM(C29:C34)</f>
        <v>0</v>
      </c>
      <c r="D35" s="79">
        <f t="shared" si="19"/>
        <v>0</v>
      </c>
      <c r="E35" s="79">
        <f t="shared" si="19"/>
        <v>602273.92248011334</v>
      </c>
      <c r="F35" s="79">
        <f t="shared" si="19"/>
        <v>905499.92303171277</v>
      </c>
      <c r="G35" s="79">
        <f t="shared" si="19"/>
        <v>900972.42341655423</v>
      </c>
      <c r="H35" s="79">
        <f t="shared" si="19"/>
        <v>896467.56129947142</v>
      </c>
      <c r="I35" s="79">
        <f t="shared" si="19"/>
        <v>891985.22349297418</v>
      </c>
      <c r="J35" s="79">
        <f t="shared" si="19"/>
        <v>887525.29737550928</v>
      </c>
      <c r="K35" s="79">
        <f t="shared" si="19"/>
        <v>883087.6708886316</v>
      </c>
      <c r="L35" s="79">
        <f t="shared" si="19"/>
        <v>878672.23253418854</v>
      </c>
      <c r="M35" s="79">
        <f t="shared" si="19"/>
        <v>874278.87137151754</v>
      </c>
      <c r="N35" s="79">
        <f t="shared" si="19"/>
        <v>869907.4770146599</v>
      </c>
      <c r="O35" s="79">
        <f t="shared" si="19"/>
        <v>865557.93962958653</v>
      </c>
      <c r="P35" s="79">
        <f t="shared" si="19"/>
        <v>861230.14993143862</v>
      </c>
      <c r="Q35" s="79">
        <f t="shared" si="19"/>
        <v>856923.99918178143</v>
      </c>
      <c r="R35" s="79">
        <f t="shared" si="19"/>
        <v>852639.3791858725</v>
      </c>
      <c r="S35" s="79">
        <f t="shared" si="19"/>
        <v>848376.18228994333</v>
      </c>
      <c r="T35" s="79">
        <f t="shared" si="19"/>
        <v>404604.07633604377</v>
      </c>
      <c r="U35" s="79">
        <f t="shared" si="19"/>
        <v>365928.63251479476</v>
      </c>
    </row>
    <row r="37" spans="1:21" ht="15.5" x14ac:dyDescent="0.35">
      <c r="A37" s="77">
        <v>2027</v>
      </c>
      <c r="B37" s="220">
        <v>2024</v>
      </c>
      <c r="C37" s="220">
        <f>C28</f>
        <v>2025</v>
      </c>
      <c r="D37" s="220">
        <f t="shared" ref="D37:U37" si="20">D28</f>
        <v>2026</v>
      </c>
      <c r="E37" s="220">
        <f t="shared" si="20"/>
        <v>2027</v>
      </c>
      <c r="F37" s="220">
        <f t="shared" si="20"/>
        <v>2028</v>
      </c>
      <c r="G37" s="220">
        <f t="shared" si="20"/>
        <v>2029</v>
      </c>
      <c r="H37" s="220">
        <f t="shared" si="20"/>
        <v>2030</v>
      </c>
      <c r="I37" s="220">
        <f t="shared" si="20"/>
        <v>2031</v>
      </c>
      <c r="J37" s="220">
        <f t="shared" si="20"/>
        <v>2032</v>
      </c>
      <c r="K37" s="220">
        <f t="shared" si="20"/>
        <v>2033</v>
      </c>
      <c r="L37" s="220">
        <f t="shared" si="20"/>
        <v>2034</v>
      </c>
      <c r="M37" s="220">
        <f t="shared" si="20"/>
        <v>2035</v>
      </c>
      <c r="N37" s="220">
        <f t="shared" si="20"/>
        <v>2036</v>
      </c>
      <c r="O37" s="220">
        <f t="shared" si="20"/>
        <v>2037</v>
      </c>
      <c r="P37" s="220">
        <f t="shared" si="20"/>
        <v>2038</v>
      </c>
      <c r="Q37" s="220">
        <f t="shared" si="20"/>
        <v>2039</v>
      </c>
      <c r="R37" s="220">
        <f t="shared" si="20"/>
        <v>2040</v>
      </c>
      <c r="S37" s="220">
        <f t="shared" si="20"/>
        <v>2041</v>
      </c>
      <c r="T37" s="220">
        <f t="shared" si="20"/>
        <v>2042</v>
      </c>
      <c r="U37" s="220">
        <f t="shared" si="20"/>
        <v>2043</v>
      </c>
    </row>
    <row r="38" spans="1:21" x14ac:dyDescent="0.35">
      <c r="A38" s="184" t="s">
        <v>129</v>
      </c>
      <c r="B38" s="184"/>
      <c r="C38" s="78"/>
      <c r="D38" s="78"/>
      <c r="E38" s="78"/>
      <c r="F38" s="78">
        <f>E29</f>
        <v>145906.86007555202</v>
      </c>
      <c r="G38" s="78">
        <f>F29</f>
        <v>145177.32577517425</v>
      </c>
      <c r="H38" s="78">
        <f t="shared" ref="H38:U38" si="21">G29</f>
        <v>144451.43914629839</v>
      </c>
      <c r="I38" s="78">
        <f t="shared" si="21"/>
        <v>143729.18195056688</v>
      </c>
      <c r="J38" s="78">
        <f t="shared" si="21"/>
        <v>143010.53604081407</v>
      </c>
      <c r="K38" s="78">
        <f t="shared" si="21"/>
        <v>142295.48336060997</v>
      </c>
      <c r="L38" s="78">
        <f t="shared" si="21"/>
        <v>141584.00594380693</v>
      </c>
      <c r="M38" s="78">
        <f t="shared" si="21"/>
        <v>140876.08591408789</v>
      </c>
      <c r="N38" s="78">
        <f t="shared" si="21"/>
        <v>140171.70548451744</v>
      </c>
      <c r="O38" s="78">
        <f t="shared" si="21"/>
        <v>139470.84695709485</v>
      </c>
      <c r="P38" s="78">
        <f t="shared" si="21"/>
        <v>138773.49272230937</v>
      </c>
      <c r="Q38" s="78">
        <f t="shared" si="21"/>
        <v>138079.62525869784</v>
      </c>
      <c r="R38" s="78">
        <f t="shared" si="21"/>
        <v>137389.22713240434</v>
      </c>
      <c r="S38" s="78">
        <f t="shared" si="21"/>
        <v>136702.28099674231</v>
      </c>
      <c r="T38" s="78">
        <f t="shared" si="21"/>
        <v>136018.76959175861</v>
      </c>
      <c r="U38" s="78">
        <f t="shared" si="21"/>
        <v>0</v>
      </c>
    </row>
    <row r="39" spans="1:21" x14ac:dyDescent="0.35">
      <c r="A39" s="184" t="s">
        <v>135</v>
      </c>
      <c r="B39" s="184"/>
      <c r="C39" s="78"/>
      <c r="D39" s="78"/>
      <c r="E39" s="78"/>
      <c r="F39" s="78">
        <f>E30</f>
        <v>155342.33973121329</v>
      </c>
      <c r="G39" s="78">
        <f t="shared" ref="G39:U39" si="22">F30</f>
        <v>154565.6280325572</v>
      </c>
      <c r="H39" s="78">
        <f t="shared" si="22"/>
        <v>153792.79989239443</v>
      </c>
      <c r="I39" s="78">
        <f t="shared" si="22"/>
        <v>153023.83589293246</v>
      </c>
      <c r="J39" s="78">
        <f t="shared" si="22"/>
        <v>152258.71671346779</v>
      </c>
      <c r="K39" s="78">
        <f t="shared" si="22"/>
        <v>151497.42312990045</v>
      </c>
      <c r="L39" s="78">
        <f t="shared" si="22"/>
        <v>150739.93601425094</v>
      </c>
      <c r="M39" s="78">
        <f t="shared" si="22"/>
        <v>149986.2363341797</v>
      </c>
      <c r="N39" s="78">
        <f t="shared" si="22"/>
        <v>149236.30515250878</v>
      </c>
      <c r="O39" s="78">
        <f t="shared" si="22"/>
        <v>148490.12362674624</v>
      </c>
      <c r="P39" s="78">
        <f t="shared" si="22"/>
        <v>147747.6730086125</v>
      </c>
      <c r="Q39" s="78">
        <f t="shared" si="22"/>
        <v>147008.93464356946</v>
      </c>
      <c r="R39" s="78">
        <f t="shared" si="22"/>
        <v>146273.88997035159</v>
      </c>
      <c r="S39" s="78">
        <f t="shared" si="22"/>
        <v>145542.52052049985</v>
      </c>
      <c r="T39" s="78">
        <f t="shared" si="22"/>
        <v>144814.80791789736</v>
      </c>
      <c r="U39" s="78">
        <f t="shared" si="22"/>
        <v>0</v>
      </c>
    </row>
    <row r="40" spans="1:21" x14ac:dyDescent="0.35">
      <c r="A40" s="184" t="s">
        <v>144</v>
      </c>
      <c r="B40" s="184"/>
      <c r="C40" s="78"/>
      <c r="D40" s="78"/>
      <c r="E40" s="78"/>
      <c r="F40" s="78">
        <f t="shared" ref="F40:U40" si="23">E31</f>
        <v>0</v>
      </c>
      <c r="G40" s="78">
        <f t="shared" si="23"/>
        <v>266722.870788</v>
      </c>
      <c r="H40" s="78">
        <f t="shared" si="23"/>
        <v>265389.25643405999</v>
      </c>
      <c r="I40" s="78">
        <f t="shared" si="23"/>
        <v>264062.31015188969</v>
      </c>
      <c r="J40" s="78">
        <f t="shared" si="23"/>
        <v>262741.99860113027</v>
      </c>
      <c r="K40" s="78">
        <f t="shared" si="23"/>
        <v>261428.2886081246</v>
      </c>
      <c r="L40" s="78">
        <f t="shared" si="23"/>
        <v>260121.14716508397</v>
      </c>
      <c r="M40" s="78">
        <f t="shared" si="23"/>
        <v>258820.54142925856</v>
      </c>
      <c r="N40" s="78">
        <f t="shared" si="23"/>
        <v>257526.43872211227</v>
      </c>
      <c r="O40" s="78">
        <f t="shared" si="23"/>
        <v>256238.80652850171</v>
      </c>
      <c r="P40" s="78">
        <f t="shared" si="23"/>
        <v>254957.61249585918</v>
      </c>
      <c r="Q40" s="78">
        <f t="shared" si="23"/>
        <v>253682.82443337986</v>
      </c>
      <c r="R40" s="78">
        <f t="shared" si="23"/>
        <v>252414.41031121297</v>
      </c>
      <c r="S40" s="78">
        <f t="shared" si="23"/>
        <v>251152.33825965691</v>
      </c>
      <c r="T40" s="78">
        <f t="shared" si="23"/>
        <v>249896.57656835864</v>
      </c>
      <c r="U40" s="78">
        <f t="shared" si="23"/>
        <v>248647.09368551683</v>
      </c>
    </row>
    <row r="41" spans="1:21" x14ac:dyDescent="0.35">
      <c r="A41" s="184" t="s">
        <v>149</v>
      </c>
      <c r="B41" s="184"/>
      <c r="C41" s="78"/>
      <c r="D41" s="78"/>
      <c r="E41" s="78"/>
      <c r="F41" s="78">
        <f t="shared" ref="F41:U41" si="24">E32</f>
        <v>128422.12297199998</v>
      </c>
      <c r="G41" s="78">
        <f t="shared" si="24"/>
        <v>127780.01235713999</v>
      </c>
      <c r="H41" s="78">
        <f t="shared" si="24"/>
        <v>127141.11229535428</v>
      </c>
      <c r="I41" s="78">
        <f t="shared" si="24"/>
        <v>126505.40673387751</v>
      </c>
      <c r="J41" s="78">
        <f t="shared" si="24"/>
        <v>125872.87970020811</v>
      </c>
      <c r="K41" s="78">
        <f t="shared" si="24"/>
        <v>125243.51530170708</v>
      </c>
      <c r="L41" s="78">
        <f t="shared" si="24"/>
        <v>124617.29772519854</v>
      </c>
      <c r="M41" s="78">
        <f t="shared" si="24"/>
        <v>123994.21123657255</v>
      </c>
      <c r="N41" s="78">
        <f t="shared" si="24"/>
        <v>123374.24018038969</v>
      </c>
      <c r="O41" s="78">
        <f t="shared" si="24"/>
        <v>122757.36897948774</v>
      </c>
      <c r="P41" s="78">
        <f t="shared" si="24"/>
        <v>122143.58213459028</v>
      </c>
      <c r="Q41" s="78">
        <f t="shared" si="24"/>
        <v>121532.86422391734</v>
      </c>
      <c r="R41" s="78">
        <f t="shared" si="24"/>
        <v>120925.19990279774</v>
      </c>
      <c r="S41" s="78">
        <f t="shared" si="24"/>
        <v>120320.57390328377</v>
      </c>
      <c r="T41" s="78">
        <f t="shared" si="24"/>
        <v>119718.97103376733</v>
      </c>
      <c r="U41" s="78">
        <f t="shared" si="24"/>
        <v>119120.3761785985</v>
      </c>
    </row>
    <row r="42" spans="1:21" x14ac:dyDescent="0.35">
      <c r="A42" s="184" t="s">
        <v>153</v>
      </c>
      <c r="B42" s="184"/>
      <c r="C42" s="78"/>
      <c r="D42" s="78"/>
      <c r="E42" s="78"/>
      <c r="F42" s="78">
        <f t="shared" ref="F42:U42" si="25">E33</f>
        <v>0</v>
      </c>
      <c r="G42" s="78">
        <f t="shared" si="25"/>
        <v>39514.499376</v>
      </c>
      <c r="H42" s="78">
        <f t="shared" si="25"/>
        <v>39316.926879120001</v>
      </c>
      <c r="I42" s="78">
        <f t="shared" si="25"/>
        <v>39120.342244724401</v>
      </c>
      <c r="J42" s="78">
        <f t="shared" si="25"/>
        <v>38924.740533500779</v>
      </c>
      <c r="K42" s="78">
        <f t="shared" si="25"/>
        <v>38730.116830833278</v>
      </c>
      <c r="L42" s="78">
        <f t="shared" si="25"/>
        <v>38536.466246679112</v>
      </c>
      <c r="M42" s="78">
        <f t="shared" si="25"/>
        <v>38343.783915445718</v>
      </c>
      <c r="N42" s="78">
        <f t="shared" si="25"/>
        <v>38152.064995868488</v>
      </c>
      <c r="O42" s="78">
        <f t="shared" si="25"/>
        <v>37961.304670889149</v>
      </c>
      <c r="P42" s="78">
        <f t="shared" si="25"/>
        <v>37771.498147534701</v>
      </c>
      <c r="Q42" s="78">
        <f t="shared" si="25"/>
        <v>37582.640656797026</v>
      </c>
      <c r="R42" s="78">
        <f t="shared" si="25"/>
        <v>37394.727453513042</v>
      </c>
      <c r="S42" s="78">
        <f t="shared" si="25"/>
        <v>37207.753816245473</v>
      </c>
      <c r="T42" s="78">
        <f t="shared" si="25"/>
        <v>37021.715047164245</v>
      </c>
      <c r="U42" s="78">
        <f t="shared" si="25"/>
        <v>36836.606471928426</v>
      </c>
    </row>
    <row r="43" spans="1:21" x14ac:dyDescent="0.35">
      <c r="A43" s="12" t="s">
        <v>156</v>
      </c>
      <c r="B43" s="12"/>
      <c r="C43" s="78"/>
      <c r="D43" s="78"/>
      <c r="E43" s="78"/>
      <c r="F43" s="78">
        <f t="shared" ref="F43:U43" si="26">E34</f>
        <v>172602.59970134808</v>
      </c>
      <c r="G43" s="78">
        <f t="shared" si="26"/>
        <v>171739.58670284133</v>
      </c>
      <c r="H43" s="78">
        <f t="shared" si="26"/>
        <v>170880.88876932714</v>
      </c>
      <c r="I43" s="78">
        <f t="shared" si="26"/>
        <v>170026.4843254805</v>
      </c>
      <c r="J43" s="78">
        <f t="shared" si="26"/>
        <v>169176.35190385312</v>
      </c>
      <c r="K43" s="78">
        <f t="shared" si="26"/>
        <v>168330.47014433384</v>
      </c>
      <c r="L43" s="78">
        <f t="shared" si="26"/>
        <v>167488.81779361214</v>
      </c>
      <c r="M43" s="78">
        <f t="shared" si="26"/>
        <v>166651.37370464409</v>
      </c>
      <c r="N43" s="78">
        <f t="shared" si="26"/>
        <v>165818.11683612087</v>
      </c>
      <c r="O43" s="78">
        <f t="shared" si="26"/>
        <v>164989.02625194026</v>
      </c>
      <c r="P43" s="78">
        <f t="shared" si="26"/>
        <v>164164.08112068055</v>
      </c>
      <c r="Q43" s="78">
        <f t="shared" si="26"/>
        <v>163343.26071507717</v>
      </c>
      <c r="R43" s="78">
        <f t="shared" si="26"/>
        <v>162526.54441150179</v>
      </c>
      <c r="S43" s="78">
        <f t="shared" si="26"/>
        <v>161713.91168944424</v>
      </c>
      <c r="T43" s="78">
        <f t="shared" si="26"/>
        <v>160905.34213099704</v>
      </c>
      <c r="U43" s="78">
        <f t="shared" si="26"/>
        <v>0</v>
      </c>
    </row>
    <row r="44" spans="1:21" x14ac:dyDescent="0.35">
      <c r="A44" s="14" t="s">
        <v>89</v>
      </c>
      <c r="B44" s="14"/>
      <c r="C44" s="79">
        <f t="shared" ref="C44:U44" si="27">SUM(C38:C43)</f>
        <v>0</v>
      </c>
      <c r="D44" s="79">
        <f t="shared" si="27"/>
        <v>0</v>
      </c>
      <c r="E44" s="79">
        <f t="shared" si="27"/>
        <v>0</v>
      </c>
      <c r="F44" s="79">
        <f t="shared" si="27"/>
        <v>602273.92248011334</v>
      </c>
      <c r="G44" s="79">
        <f t="shared" si="27"/>
        <v>905499.92303171277</v>
      </c>
      <c r="H44" s="79">
        <f t="shared" si="27"/>
        <v>900972.42341655423</v>
      </c>
      <c r="I44" s="79">
        <f t="shared" si="27"/>
        <v>896467.56129947142</v>
      </c>
      <c r="J44" s="79">
        <f t="shared" si="27"/>
        <v>891985.22349297418</v>
      </c>
      <c r="K44" s="79">
        <f t="shared" si="27"/>
        <v>887525.29737550928</v>
      </c>
      <c r="L44" s="79">
        <f t="shared" si="27"/>
        <v>883087.6708886316</v>
      </c>
      <c r="M44" s="79">
        <f t="shared" si="27"/>
        <v>878672.23253418854</v>
      </c>
      <c r="N44" s="79">
        <f t="shared" si="27"/>
        <v>874278.87137151754</v>
      </c>
      <c r="O44" s="79">
        <f t="shared" si="27"/>
        <v>869907.4770146599</v>
      </c>
      <c r="P44" s="79">
        <f t="shared" si="27"/>
        <v>865557.93962958653</v>
      </c>
      <c r="Q44" s="79">
        <f t="shared" si="27"/>
        <v>861230.14993143862</v>
      </c>
      <c r="R44" s="79">
        <f t="shared" si="27"/>
        <v>856923.99918178143</v>
      </c>
      <c r="S44" s="79">
        <f t="shared" si="27"/>
        <v>852639.3791858725</v>
      </c>
      <c r="T44" s="79">
        <f t="shared" si="27"/>
        <v>848376.18228994333</v>
      </c>
      <c r="U44" s="79">
        <f t="shared" si="27"/>
        <v>404604.07633604377</v>
      </c>
    </row>
    <row r="46" spans="1:21" ht="15.5" x14ac:dyDescent="0.35">
      <c r="A46" s="77">
        <v>2028</v>
      </c>
      <c r="B46" s="220">
        <v>2024</v>
      </c>
      <c r="C46" s="220">
        <f>C37</f>
        <v>2025</v>
      </c>
      <c r="D46" s="220">
        <f t="shared" ref="D46:U46" si="28">D37</f>
        <v>2026</v>
      </c>
      <c r="E46" s="220">
        <f t="shared" si="28"/>
        <v>2027</v>
      </c>
      <c r="F46" s="220">
        <f t="shared" si="28"/>
        <v>2028</v>
      </c>
      <c r="G46" s="220">
        <f t="shared" si="28"/>
        <v>2029</v>
      </c>
      <c r="H46" s="220">
        <f t="shared" si="28"/>
        <v>2030</v>
      </c>
      <c r="I46" s="220">
        <f t="shared" si="28"/>
        <v>2031</v>
      </c>
      <c r="J46" s="220">
        <f t="shared" si="28"/>
        <v>2032</v>
      </c>
      <c r="K46" s="220">
        <f t="shared" si="28"/>
        <v>2033</v>
      </c>
      <c r="L46" s="220">
        <f t="shared" si="28"/>
        <v>2034</v>
      </c>
      <c r="M46" s="220">
        <f t="shared" si="28"/>
        <v>2035</v>
      </c>
      <c r="N46" s="220">
        <f t="shared" si="28"/>
        <v>2036</v>
      </c>
      <c r="O46" s="220">
        <f t="shared" si="28"/>
        <v>2037</v>
      </c>
      <c r="P46" s="220">
        <f t="shared" si="28"/>
        <v>2038</v>
      </c>
      <c r="Q46" s="220">
        <f t="shared" si="28"/>
        <v>2039</v>
      </c>
      <c r="R46" s="220">
        <f t="shared" si="28"/>
        <v>2040</v>
      </c>
      <c r="S46" s="220">
        <f t="shared" si="28"/>
        <v>2041</v>
      </c>
      <c r="T46" s="220">
        <f t="shared" si="28"/>
        <v>2042</v>
      </c>
      <c r="U46" s="220">
        <f t="shared" si="28"/>
        <v>2043</v>
      </c>
    </row>
    <row r="47" spans="1:21" x14ac:dyDescent="0.35">
      <c r="A47" s="184" t="s">
        <v>129</v>
      </c>
      <c r="B47" s="184"/>
      <c r="C47" s="78"/>
      <c r="D47" s="78"/>
      <c r="E47" s="78"/>
      <c r="F47" s="78"/>
      <c r="G47" s="78">
        <f>F38</f>
        <v>145906.86007555202</v>
      </c>
      <c r="H47" s="78">
        <f t="shared" ref="H47:U47" si="29">G38</f>
        <v>145177.32577517425</v>
      </c>
      <c r="I47" s="78">
        <f t="shared" si="29"/>
        <v>144451.43914629839</v>
      </c>
      <c r="J47" s="78">
        <f t="shared" si="29"/>
        <v>143729.18195056688</v>
      </c>
      <c r="K47" s="78">
        <f t="shared" si="29"/>
        <v>143010.53604081407</v>
      </c>
      <c r="L47" s="78">
        <f t="shared" si="29"/>
        <v>142295.48336060997</v>
      </c>
      <c r="M47" s="78">
        <f t="shared" si="29"/>
        <v>141584.00594380693</v>
      </c>
      <c r="N47" s="78">
        <f t="shared" si="29"/>
        <v>140876.08591408789</v>
      </c>
      <c r="O47" s="78">
        <f t="shared" si="29"/>
        <v>140171.70548451744</v>
      </c>
      <c r="P47" s="78">
        <f t="shared" si="29"/>
        <v>139470.84695709485</v>
      </c>
      <c r="Q47" s="78">
        <f t="shared" si="29"/>
        <v>138773.49272230937</v>
      </c>
      <c r="R47" s="78">
        <f t="shared" si="29"/>
        <v>138079.62525869784</v>
      </c>
      <c r="S47" s="78">
        <f t="shared" si="29"/>
        <v>137389.22713240434</v>
      </c>
      <c r="T47" s="78">
        <f t="shared" si="29"/>
        <v>136702.28099674231</v>
      </c>
      <c r="U47" s="78">
        <f t="shared" si="29"/>
        <v>136018.76959175861</v>
      </c>
    </row>
    <row r="48" spans="1:21" x14ac:dyDescent="0.35">
      <c r="A48" s="184" t="s">
        <v>135</v>
      </c>
      <c r="B48" s="184"/>
      <c r="C48" s="78"/>
      <c r="D48" s="78"/>
      <c r="E48" s="78"/>
      <c r="F48" s="78"/>
      <c r="G48" s="78">
        <f t="shared" ref="G48:U48" si="30">F39</f>
        <v>155342.33973121329</v>
      </c>
      <c r="H48" s="78">
        <f t="shared" si="30"/>
        <v>154565.6280325572</v>
      </c>
      <c r="I48" s="78">
        <f t="shared" si="30"/>
        <v>153792.79989239443</v>
      </c>
      <c r="J48" s="78">
        <f t="shared" si="30"/>
        <v>153023.83589293246</v>
      </c>
      <c r="K48" s="78">
        <f t="shared" si="30"/>
        <v>152258.71671346779</v>
      </c>
      <c r="L48" s="78">
        <f t="shared" si="30"/>
        <v>151497.42312990045</v>
      </c>
      <c r="M48" s="78">
        <f t="shared" si="30"/>
        <v>150739.93601425094</v>
      </c>
      <c r="N48" s="78">
        <f t="shared" si="30"/>
        <v>149986.2363341797</v>
      </c>
      <c r="O48" s="78">
        <f t="shared" si="30"/>
        <v>149236.30515250878</v>
      </c>
      <c r="P48" s="78">
        <f t="shared" si="30"/>
        <v>148490.12362674624</v>
      </c>
      <c r="Q48" s="78">
        <f t="shared" si="30"/>
        <v>147747.6730086125</v>
      </c>
      <c r="R48" s="78">
        <f t="shared" si="30"/>
        <v>147008.93464356946</v>
      </c>
      <c r="S48" s="78">
        <f t="shared" si="30"/>
        <v>146273.88997035159</v>
      </c>
      <c r="T48" s="78">
        <f t="shared" si="30"/>
        <v>145542.52052049985</v>
      </c>
      <c r="U48" s="78">
        <f t="shared" si="30"/>
        <v>144814.80791789736</v>
      </c>
    </row>
    <row r="49" spans="1:21" x14ac:dyDescent="0.35">
      <c r="A49" s="184" t="s">
        <v>144</v>
      </c>
      <c r="B49" s="184"/>
      <c r="C49" s="78"/>
      <c r="D49" s="78"/>
      <c r="E49" s="78"/>
      <c r="F49" s="78"/>
      <c r="G49" s="78">
        <f t="shared" ref="G49:U49" si="31">F40</f>
        <v>0</v>
      </c>
      <c r="H49" s="78">
        <f t="shared" si="31"/>
        <v>266722.870788</v>
      </c>
      <c r="I49" s="78">
        <f t="shared" si="31"/>
        <v>265389.25643405999</v>
      </c>
      <c r="J49" s="78">
        <f t="shared" si="31"/>
        <v>264062.31015188969</v>
      </c>
      <c r="K49" s="78">
        <f t="shared" si="31"/>
        <v>262741.99860113027</v>
      </c>
      <c r="L49" s="78">
        <f t="shared" si="31"/>
        <v>261428.2886081246</v>
      </c>
      <c r="M49" s="78">
        <f t="shared" si="31"/>
        <v>260121.14716508397</v>
      </c>
      <c r="N49" s="78">
        <f t="shared" si="31"/>
        <v>258820.54142925856</v>
      </c>
      <c r="O49" s="78">
        <f t="shared" si="31"/>
        <v>257526.43872211227</v>
      </c>
      <c r="P49" s="78">
        <f t="shared" si="31"/>
        <v>256238.80652850171</v>
      </c>
      <c r="Q49" s="78">
        <f t="shared" si="31"/>
        <v>254957.61249585918</v>
      </c>
      <c r="R49" s="78">
        <f t="shared" si="31"/>
        <v>253682.82443337986</v>
      </c>
      <c r="S49" s="78">
        <f t="shared" si="31"/>
        <v>252414.41031121297</v>
      </c>
      <c r="T49" s="78">
        <f t="shared" si="31"/>
        <v>251152.33825965691</v>
      </c>
      <c r="U49" s="78">
        <f t="shared" si="31"/>
        <v>249896.57656835864</v>
      </c>
    </row>
    <row r="50" spans="1:21" x14ac:dyDescent="0.35">
      <c r="A50" s="184" t="s">
        <v>149</v>
      </c>
      <c r="B50" s="184"/>
      <c r="C50" s="78"/>
      <c r="D50" s="78"/>
      <c r="E50" s="78"/>
      <c r="F50" s="78"/>
      <c r="G50" s="78">
        <f t="shared" ref="G50:U50" si="32">F41</f>
        <v>128422.12297199998</v>
      </c>
      <c r="H50" s="78">
        <f t="shared" si="32"/>
        <v>127780.01235713999</v>
      </c>
      <c r="I50" s="78">
        <f t="shared" si="32"/>
        <v>127141.11229535428</v>
      </c>
      <c r="J50" s="78">
        <f t="shared" si="32"/>
        <v>126505.40673387751</v>
      </c>
      <c r="K50" s="78">
        <f t="shared" si="32"/>
        <v>125872.87970020811</v>
      </c>
      <c r="L50" s="78">
        <f t="shared" si="32"/>
        <v>125243.51530170708</v>
      </c>
      <c r="M50" s="78">
        <f t="shared" si="32"/>
        <v>124617.29772519854</v>
      </c>
      <c r="N50" s="78">
        <f t="shared" si="32"/>
        <v>123994.21123657255</v>
      </c>
      <c r="O50" s="78">
        <f t="shared" si="32"/>
        <v>123374.24018038969</v>
      </c>
      <c r="P50" s="78">
        <f t="shared" si="32"/>
        <v>122757.36897948774</v>
      </c>
      <c r="Q50" s="78">
        <f t="shared" si="32"/>
        <v>122143.58213459028</v>
      </c>
      <c r="R50" s="78">
        <f t="shared" si="32"/>
        <v>121532.86422391734</v>
      </c>
      <c r="S50" s="78">
        <f t="shared" si="32"/>
        <v>120925.19990279774</v>
      </c>
      <c r="T50" s="78">
        <f t="shared" si="32"/>
        <v>120320.57390328377</v>
      </c>
      <c r="U50" s="78">
        <f t="shared" si="32"/>
        <v>119718.97103376733</v>
      </c>
    </row>
    <row r="51" spans="1:21" x14ac:dyDescent="0.35">
      <c r="A51" s="184" t="s">
        <v>153</v>
      </c>
      <c r="B51" s="184"/>
      <c r="C51" s="78"/>
      <c r="D51" s="78"/>
      <c r="E51" s="78"/>
      <c r="F51" s="78"/>
      <c r="G51" s="78">
        <f t="shared" ref="G51:U51" si="33">F42</f>
        <v>0</v>
      </c>
      <c r="H51" s="78">
        <f t="shared" si="33"/>
        <v>39514.499376</v>
      </c>
      <c r="I51" s="78">
        <f t="shared" si="33"/>
        <v>39316.926879120001</v>
      </c>
      <c r="J51" s="78">
        <f t="shared" si="33"/>
        <v>39120.342244724401</v>
      </c>
      <c r="K51" s="78">
        <f t="shared" si="33"/>
        <v>38924.740533500779</v>
      </c>
      <c r="L51" s="78">
        <f t="shared" si="33"/>
        <v>38730.116830833278</v>
      </c>
      <c r="M51" s="78">
        <f t="shared" si="33"/>
        <v>38536.466246679112</v>
      </c>
      <c r="N51" s="78">
        <f t="shared" si="33"/>
        <v>38343.783915445718</v>
      </c>
      <c r="O51" s="78">
        <f t="shared" si="33"/>
        <v>38152.064995868488</v>
      </c>
      <c r="P51" s="78">
        <f t="shared" si="33"/>
        <v>37961.304670889149</v>
      </c>
      <c r="Q51" s="78">
        <f t="shared" si="33"/>
        <v>37771.498147534701</v>
      </c>
      <c r="R51" s="78">
        <f t="shared" si="33"/>
        <v>37582.640656797026</v>
      </c>
      <c r="S51" s="78">
        <f t="shared" si="33"/>
        <v>37394.727453513042</v>
      </c>
      <c r="T51" s="78">
        <f t="shared" si="33"/>
        <v>37207.753816245473</v>
      </c>
      <c r="U51" s="78">
        <f t="shared" si="33"/>
        <v>37021.715047164245</v>
      </c>
    </row>
    <row r="52" spans="1:21" x14ac:dyDescent="0.35">
      <c r="A52" s="12" t="s">
        <v>156</v>
      </c>
      <c r="B52" s="12"/>
      <c r="C52" s="78"/>
      <c r="D52" s="78"/>
      <c r="E52" s="78"/>
      <c r="F52" s="78"/>
      <c r="G52" s="78">
        <f t="shared" ref="G52:U52" si="34">F43</f>
        <v>172602.59970134808</v>
      </c>
      <c r="H52" s="78">
        <f t="shared" si="34"/>
        <v>171739.58670284133</v>
      </c>
      <c r="I52" s="78">
        <f t="shared" si="34"/>
        <v>170880.88876932714</v>
      </c>
      <c r="J52" s="78">
        <f t="shared" si="34"/>
        <v>170026.4843254805</v>
      </c>
      <c r="K52" s="78">
        <f t="shared" si="34"/>
        <v>169176.35190385312</v>
      </c>
      <c r="L52" s="78">
        <f t="shared" si="34"/>
        <v>168330.47014433384</v>
      </c>
      <c r="M52" s="78">
        <f t="shared" si="34"/>
        <v>167488.81779361214</v>
      </c>
      <c r="N52" s="78">
        <f t="shared" si="34"/>
        <v>166651.37370464409</v>
      </c>
      <c r="O52" s="78">
        <f t="shared" si="34"/>
        <v>165818.11683612087</v>
      </c>
      <c r="P52" s="78">
        <f t="shared" si="34"/>
        <v>164989.02625194026</v>
      </c>
      <c r="Q52" s="78">
        <f t="shared" si="34"/>
        <v>164164.08112068055</v>
      </c>
      <c r="R52" s="78">
        <f t="shared" si="34"/>
        <v>163343.26071507717</v>
      </c>
      <c r="S52" s="78">
        <f t="shared" si="34"/>
        <v>162526.54441150179</v>
      </c>
      <c r="T52" s="78">
        <f t="shared" si="34"/>
        <v>161713.91168944424</v>
      </c>
      <c r="U52" s="78">
        <f t="shared" si="34"/>
        <v>160905.34213099704</v>
      </c>
    </row>
    <row r="53" spans="1:21" x14ac:dyDescent="0.35">
      <c r="A53" s="14" t="s">
        <v>89</v>
      </c>
      <c r="B53" s="14"/>
      <c r="C53" s="79">
        <f t="shared" ref="C53:U53" si="35">SUM(C47:C52)</f>
        <v>0</v>
      </c>
      <c r="D53" s="79">
        <f t="shared" si="35"/>
        <v>0</v>
      </c>
      <c r="E53" s="79">
        <f t="shared" si="35"/>
        <v>0</v>
      </c>
      <c r="F53" s="79">
        <f t="shared" si="35"/>
        <v>0</v>
      </c>
      <c r="G53" s="79">
        <f t="shared" si="35"/>
        <v>602273.92248011334</v>
      </c>
      <c r="H53" s="79">
        <f t="shared" si="35"/>
        <v>905499.92303171277</v>
      </c>
      <c r="I53" s="79">
        <f t="shared" si="35"/>
        <v>900972.42341655423</v>
      </c>
      <c r="J53" s="79">
        <f t="shared" si="35"/>
        <v>896467.56129947142</v>
      </c>
      <c r="K53" s="79">
        <f t="shared" si="35"/>
        <v>891985.22349297418</v>
      </c>
      <c r="L53" s="79">
        <f t="shared" si="35"/>
        <v>887525.29737550928</v>
      </c>
      <c r="M53" s="79">
        <f t="shared" si="35"/>
        <v>883087.6708886316</v>
      </c>
      <c r="N53" s="79">
        <f t="shared" si="35"/>
        <v>878672.23253418854</v>
      </c>
      <c r="O53" s="79">
        <f t="shared" si="35"/>
        <v>874278.87137151754</v>
      </c>
      <c r="P53" s="79">
        <f t="shared" si="35"/>
        <v>869907.4770146599</v>
      </c>
      <c r="Q53" s="79">
        <f t="shared" si="35"/>
        <v>865557.93962958653</v>
      </c>
      <c r="R53" s="79">
        <f t="shared" si="35"/>
        <v>861230.14993143862</v>
      </c>
      <c r="S53" s="79">
        <f t="shared" si="35"/>
        <v>856923.99918178143</v>
      </c>
      <c r="T53" s="79">
        <f t="shared" si="35"/>
        <v>852639.3791858725</v>
      </c>
      <c r="U53" s="79">
        <f t="shared" si="35"/>
        <v>848376.18228994333</v>
      </c>
    </row>
    <row r="55" spans="1:21" ht="15.5" x14ac:dyDescent="0.35">
      <c r="A55" s="77">
        <v>2029</v>
      </c>
      <c r="B55" s="220">
        <v>2024</v>
      </c>
      <c r="C55" s="220">
        <f>C46</f>
        <v>2025</v>
      </c>
      <c r="D55" s="220">
        <f t="shared" ref="D55:U55" si="36">D46</f>
        <v>2026</v>
      </c>
      <c r="E55" s="220">
        <f t="shared" si="36"/>
        <v>2027</v>
      </c>
      <c r="F55" s="220">
        <f t="shared" si="36"/>
        <v>2028</v>
      </c>
      <c r="G55" s="220">
        <f t="shared" si="36"/>
        <v>2029</v>
      </c>
      <c r="H55" s="220">
        <f t="shared" si="36"/>
        <v>2030</v>
      </c>
      <c r="I55" s="220">
        <f t="shared" si="36"/>
        <v>2031</v>
      </c>
      <c r="J55" s="220">
        <f t="shared" si="36"/>
        <v>2032</v>
      </c>
      <c r="K55" s="220">
        <f t="shared" si="36"/>
        <v>2033</v>
      </c>
      <c r="L55" s="220">
        <f t="shared" si="36"/>
        <v>2034</v>
      </c>
      <c r="M55" s="220">
        <f t="shared" si="36"/>
        <v>2035</v>
      </c>
      <c r="N55" s="220">
        <f t="shared" si="36"/>
        <v>2036</v>
      </c>
      <c r="O55" s="220">
        <f t="shared" si="36"/>
        <v>2037</v>
      </c>
      <c r="P55" s="220">
        <f t="shared" si="36"/>
        <v>2038</v>
      </c>
      <c r="Q55" s="220">
        <f t="shared" si="36"/>
        <v>2039</v>
      </c>
      <c r="R55" s="220">
        <f t="shared" si="36"/>
        <v>2040</v>
      </c>
      <c r="S55" s="220">
        <f t="shared" si="36"/>
        <v>2041</v>
      </c>
      <c r="T55" s="220">
        <f t="shared" si="36"/>
        <v>2042</v>
      </c>
      <c r="U55" s="220">
        <f t="shared" si="36"/>
        <v>2043</v>
      </c>
    </row>
    <row r="56" spans="1:21" x14ac:dyDescent="0.35">
      <c r="A56" s="184" t="s">
        <v>129</v>
      </c>
      <c r="B56" s="184"/>
      <c r="C56" s="78"/>
      <c r="D56" s="78"/>
      <c r="E56" s="78"/>
      <c r="F56" s="78"/>
      <c r="G56" s="78"/>
      <c r="H56" s="78">
        <f>G47</f>
        <v>145906.86007555202</v>
      </c>
      <c r="I56" s="78">
        <f t="shared" ref="I56:U56" si="37">H47</f>
        <v>145177.32577517425</v>
      </c>
      <c r="J56" s="78">
        <f t="shared" si="37"/>
        <v>144451.43914629839</v>
      </c>
      <c r="K56" s="78">
        <f t="shared" si="37"/>
        <v>143729.18195056688</v>
      </c>
      <c r="L56" s="78">
        <f t="shared" si="37"/>
        <v>143010.53604081407</v>
      </c>
      <c r="M56" s="78">
        <f t="shared" si="37"/>
        <v>142295.48336060997</v>
      </c>
      <c r="N56" s="78">
        <f t="shared" si="37"/>
        <v>141584.00594380693</v>
      </c>
      <c r="O56" s="78">
        <f t="shared" si="37"/>
        <v>140876.08591408789</v>
      </c>
      <c r="P56" s="78">
        <f t="shared" si="37"/>
        <v>140171.70548451744</v>
      </c>
      <c r="Q56" s="78">
        <f t="shared" si="37"/>
        <v>139470.84695709485</v>
      </c>
      <c r="R56" s="78">
        <f t="shared" si="37"/>
        <v>138773.49272230937</v>
      </c>
      <c r="S56" s="78">
        <f t="shared" si="37"/>
        <v>138079.62525869784</v>
      </c>
      <c r="T56" s="78">
        <f t="shared" si="37"/>
        <v>137389.22713240434</v>
      </c>
      <c r="U56" s="78">
        <f t="shared" si="37"/>
        <v>136702.28099674231</v>
      </c>
    </row>
    <row r="57" spans="1:21" x14ac:dyDescent="0.35">
      <c r="A57" s="184" t="s">
        <v>135</v>
      </c>
      <c r="B57" s="184"/>
      <c r="C57" s="78"/>
      <c r="D57" s="78"/>
      <c r="E57" s="78"/>
      <c r="F57" s="78"/>
      <c r="G57" s="78"/>
      <c r="H57" s="78">
        <f t="shared" ref="H57:U57" si="38">G48</f>
        <v>155342.33973121329</v>
      </c>
      <c r="I57" s="78">
        <f t="shared" si="38"/>
        <v>154565.6280325572</v>
      </c>
      <c r="J57" s="78">
        <f t="shared" si="38"/>
        <v>153792.79989239443</v>
      </c>
      <c r="K57" s="78">
        <f t="shared" si="38"/>
        <v>153023.83589293246</v>
      </c>
      <c r="L57" s="78">
        <f t="shared" si="38"/>
        <v>152258.71671346779</v>
      </c>
      <c r="M57" s="78">
        <f t="shared" si="38"/>
        <v>151497.42312990045</v>
      </c>
      <c r="N57" s="78">
        <f t="shared" si="38"/>
        <v>150739.93601425094</v>
      </c>
      <c r="O57" s="78">
        <f t="shared" si="38"/>
        <v>149986.2363341797</v>
      </c>
      <c r="P57" s="78">
        <f t="shared" si="38"/>
        <v>149236.30515250878</v>
      </c>
      <c r="Q57" s="78">
        <f t="shared" si="38"/>
        <v>148490.12362674624</v>
      </c>
      <c r="R57" s="78">
        <f t="shared" si="38"/>
        <v>147747.6730086125</v>
      </c>
      <c r="S57" s="78">
        <f t="shared" si="38"/>
        <v>147008.93464356946</v>
      </c>
      <c r="T57" s="78">
        <f t="shared" si="38"/>
        <v>146273.88997035159</v>
      </c>
      <c r="U57" s="78">
        <f t="shared" si="38"/>
        <v>145542.52052049985</v>
      </c>
    </row>
    <row r="58" spans="1:21" x14ac:dyDescent="0.35">
      <c r="A58" s="184" t="s">
        <v>144</v>
      </c>
      <c r="B58" s="184"/>
      <c r="C58" s="78"/>
      <c r="D58" s="78"/>
      <c r="E58" s="78"/>
      <c r="F58" s="78"/>
      <c r="G58" s="78"/>
      <c r="H58" s="78">
        <f t="shared" ref="H58:U58" si="39">G49</f>
        <v>0</v>
      </c>
      <c r="I58" s="78">
        <f t="shared" si="39"/>
        <v>266722.870788</v>
      </c>
      <c r="J58" s="78">
        <f t="shared" si="39"/>
        <v>265389.25643405999</v>
      </c>
      <c r="K58" s="78">
        <f t="shared" si="39"/>
        <v>264062.31015188969</v>
      </c>
      <c r="L58" s="78">
        <f t="shared" si="39"/>
        <v>262741.99860113027</v>
      </c>
      <c r="M58" s="78">
        <f t="shared" si="39"/>
        <v>261428.2886081246</v>
      </c>
      <c r="N58" s="78">
        <f t="shared" si="39"/>
        <v>260121.14716508397</v>
      </c>
      <c r="O58" s="78">
        <f t="shared" si="39"/>
        <v>258820.54142925856</v>
      </c>
      <c r="P58" s="78">
        <f t="shared" si="39"/>
        <v>257526.43872211227</v>
      </c>
      <c r="Q58" s="78">
        <f t="shared" si="39"/>
        <v>256238.80652850171</v>
      </c>
      <c r="R58" s="78">
        <f t="shared" si="39"/>
        <v>254957.61249585918</v>
      </c>
      <c r="S58" s="78">
        <f t="shared" si="39"/>
        <v>253682.82443337986</v>
      </c>
      <c r="T58" s="78">
        <f t="shared" si="39"/>
        <v>252414.41031121297</v>
      </c>
      <c r="U58" s="78">
        <f t="shared" si="39"/>
        <v>251152.33825965691</v>
      </c>
    </row>
    <row r="59" spans="1:21" x14ac:dyDescent="0.35">
      <c r="A59" s="184" t="s">
        <v>149</v>
      </c>
      <c r="B59" s="184"/>
      <c r="C59" s="78"/>
      <c r="D59" s="78"/>
      <c r="E59" s="78"/>
      <c r="F59" s="78"/>
      <c r="G59" s="78"/>
      <c r="H59" s="78">
        <f t="shared" ref="H59:U59" si="40">G50</f>
        <v>128422.12297199998</v>
      </c>
      <c r="I59" s="78">
        <f t="shared" si="40"/>
        <v>127780.01235713999</v>
      </c>
      <c r="J59" s="78">
        <f t="shared" si="40"/>
        <v>127141.11229535428</v>
      </c>
      <c r="K59" s="78">
        <f t="shared" si="40"/>
        <v>126505.40673387751</v>
      </c>
      <c r="L59" s="78">
        <f t="shared" si="40"/>
        <v>125872.87970020811</v>
      </c>
      <c r="M59" s="78">
        <f t="shared" si="40"/>
        <v>125243.51530170708</v>
      </c>
      <c r="N59" s="78">
        <f t="shared" si="40"/>
        <v>124617.29772519854</v>
      </c>
      <c r="O59" s="78">
        <f t="shared" si="40"/>
        <v>123994.21123657255</v>
      </c>
      <c r="P59" s="78">
        <f t="shared" si="40"/>
        <v>123374.24018038969</v>
      </c>
      <c r="Q59" s="78">
        <f t="shared" si="40"/>
        <v>122757.36897948774</v>
      </c>
      <c r="R59" s="78">
        <f t="shared" si="40"/>
        <v>122143.58213459028</v>
      </c>
      <c r="S59" s="78">
        <f t="shared" si="40"/>
        <v>121532.86422391734</v>
      </c>
      <c r="T59" s="78">
        <f t="shared" si="40"/>
        <v>120925.19990279774</v>
      </c>
      <c r="U59" s="78">
        <f t="shared" si="40"/>
        <v>120320.57390328377</v>
      </c>
    </row>
    <row r="60" spans="1:21" x14ac:dyDescent="0.35">
      <c r="A60" s="184" t="s">
        <v>153</v>
      </c>
      <c r="B60" s="184"/>
      <c r="C60" s="78"/>
      <c r="D60" s="78"/>
      <c r="E60" s="78"/>
      <c r="F60" s="78"/>
      <c r="G60" s="78"/>
      <c r="H60" s="78">
        <f t="shared" ref="H60:U60" si="41">G51</f>
        <v>0</v>
      </c>
      <c r="I60" s="78">
        <f t="shared" si="41"/>
        <v>39514.499376</v>
      </c>
      <c r="J60" s="78">
        <f t="shared" si="41"/>
        <v>39316.926879120001</v>
      </c>
      <c r="K60" s="78">
        <f t="shared" si="41"/>
        <v>39120.342244724401</v>
      </c>
      <c r="L60" s="78">
        <f t="shared" si="41"/>
        <v>38924.740533500779</v>
      </c>
      <c r="M60" s="78">
        <f t="shared" si="41"/>
        <v>38730.116830833278</v>
      </c>
      <c r="N60" s="78">
        <f t="shared" si="41"/>
        <v>38536.466246679112</v>
      </c>
      <c r="O60" s="78">
        <f t="shared" si="41"/>
        <v>38343.783915445718</v>
      </c>
      <c r="P60" s="78">
        <f t="shared" si="41"/>
        <v>38152.064995868488</v>
      </c>
      <c r="Q60" s="78">
        <f t="shared" si="41"/>
        <v>37961.304670889149</v>
      </c>
      <c r="R60" s="78">
        <f t="shared" si="41"/>
        <v>37771.498147534701</v>
      </c>
      <c r="S60" s="78">
        <f t="shared" si="41"/>
        <v>37582.640656797026</v>
      </c>
      <c r="T60" s="78">
        <f t="shared" si="41"/>
        <v>37394.727453513042</v>
      </c>
      <c r="U60" s="78">
        <f t="shared" si="41"/>
        <v>37207.753816245473</v>
      </c>
    </row>
    <row r="61" spans="1:21" x14ac:dyDescent="0.35">
      <c r="A61" s="12" t="s">
        <v>156</v>
      </c>
      <c r="B61" s="12"/>
      <c r="C61" s="78"/>
      <c r="D61" s="78"/>
      <c r="E61" s="78"/>
      <c r="F61" s="78"/>
      <c r="G61" s="78"/>
      <c r="H61" s="78">
        <f t="shared" ref="H61:U61" si="42">G52</f>
        <v>172602.59970134808</v>
      </c>
      <c r="I61" s="78">
        <f t="shared" si="42"/>
        <v>171739.58670284133</v>
      </c>
      <c r="J61" s="78">
        <f t="shared" si="42"/>
        <v>170880.88876932714</v>
      </c>
      <c r="K61" s="78">
        <f t="shared" si="42"/>
        <v>170026.4843254805</v>
      </c>
      <c r="L61" s="78">
        <f t="shared" si="42"/>
        <v>169176.35190385312</v>
      </c>
      <c r="M61" s="78">
        <f t="shared" si="42"/>
        <v>168330.47014433384</v>
      </c>
      <c r="N61" s="78">
        <f t="shared" si="42"/>
        <v>167488.81779361214</v>
      </c>
      <c r="O61" s="78">
        <f t="shared" si="42"/>
        <v>166651.37370464409</v>
      </c>
      <c r="P61" s="78">
        <f t="shared" si="42"/>
        <v>165818.11683612087</v>
      </c>
      <c r="Q61" s="78">
        <f t="shared" si="42"/>
        <v>164989.02625194026</v>
      </c>
      <c r="R61" s="78">
        <f t="shared" si="42"/>
        <v>164164.08112068055</v>
      </c>
      <c r="S61" s="78">
        <f t="shared" si="42"/>
        <v>163343.26071507717</v>
      </c>
      <c r="T61" s="78">
        <f t="shared" si="42"/>
        <v>162526.54441150179</v>
      </c>
      <c r="U61" s="78">
        <f t="shared" si="42"/>
        <v>161713.91168944424</v>
      </c>
    </row>
    <row r="62" spans="1:21" x14ac:dyDescent="0.35">
      <c r="A62" s="14" t="s">
        <v>89</v>
      </c>
      <c r="B62" s="14"/>
      <c r="C62" s="79">
        <f t="shared" ref="C62:U62" si="43">SUM(C56:C61)</f>
        <v>0</v>
      </c>
      <c r="D62" s="79">
        <f t="shared" si="43"/>
        <v>0</v>
      </c>
      <c r="E62" s="79">
        <f t="shared" si="43"/>
        <v>0</v>
      </c>
      <c r="F62" s="79">
        <f t="shared" si="43"/>
        <v>0</v>
      </c>
      <c r="G62" s="79">
        <f t="shared" si="43"/>
        <v>0</v>
      </c>
      <c r="H62" s="79">
        <f t="shared" si="43"/>
        <v>602273.92248011334</v>
      </c>
      <c r="I62" s="79">
        <f t="shared" si="43"/>
        <v>905499.92303171277</v>
      </c>
      <c r="J62" s="79">
        <f t="shared" si="43"/>
        <v>900972.42341655423</v>
      </c>
      <c r="K62" s="79">
        <f t="shared" si="43"/>
        <v>896467.56129947142</v>
      </c>
      <c r="L62" s="79">
        <f t="shared" si="43"/>
        <v>891985.22349297418</v>
      </c>
      <c r="M62" s="79">
        <f t="shared" si="43"/>
        <v>887525.29737550928</v>
      </c>
      <c r="N62" s="79">
        <f t="shared" si="43"/>
        <v>883087.6708886316</v>
      </c>
      <c r="O62" s="79">
        <f t="shared" si="43"/>
        <v>878672.23253418854</v>
      </c>
      <c r="P62" s="79">
        <f t="shared" si="43"/>
        <v>874278.87137151754</v>
      </c>
      <c r="Q62" s="79">
        <f t="shared" si="43"/>
        <v>869907.4770146599</v>
      </c>
      <c r="R62" s="79">
        <f t="shared" si="43"/>
        <v>865557.93962958653</v>
      </c>
      <c r="S62" s="79">
        <f t="shared" si="43"/>
        <v>861230.14993143862</v>
      </c>
      <c r="T62" s="79">
        <f t="shared" si="43"/>
        <v>856923.99918178143</v>
      </c>
      <c r="U62" s="79">
        <f t="shared" si="43"/>
        <v>852639.3791858725</v>
      </c>
    </row>
    <row r="64" spans="1:21" ht="15.5" x14ac:dyDescent="0.35">
      <c r="A64" s="77">
        <v>2030</v>
      </c>
      <c r="B64" s="220">
        <v>2024</v>
      </c>
      <c r="C64" s="220">
        <f>C55</f>
        <v>2025</v>
      </c>
      <c r="D64" s="220">
        <f t="shared" ref="D64:U64" si="44">D55</f>
        <v>2026</v>
      </c>
      <c r="E64" s="220">
        <f t="shared" si="44"/>
        <v>2027</v>
      </c>
      <c r="F64" s="220">
        <f t="shared" si="44"/>
        <v>2028</v>
      </c>
      <c r="G64" s="220">
        <f t="shared" si="44"/>
        <v>2029</v>
      </c>
      <c r="H64" s="220">
        <f t="shared" si="44"/>
        <v>2030</v>
      </c>
      <c r="I64" s="220">
        <f t="shared" si="44"/>
        <v>2031</v>
      </c>
      <c r="J64" s="220">
        <f t="shared" si="44"/>
        <v>2032</v>
      </c>
      <c r="K64" s="220">
        <f t="shared" si="44"/>
        <v>2033</v>
      </c>
      <c r="L64" s="220">
        <f t="shared" si="44"/>
        <v>2034</v>
      </c>
      <c r="M64" s="220">
        <f t="shared" si="44"/>
        <v>2035</v>
      </c>
      <c r="N64" s="220">
        <f t="shared" si="44"/>
        <v>2036</v>
      </c>
      <c r="O64" s="220">
        <f t="shared" si="44"/>
        <v>2037</v>
      </c>
      <c r="P64" s="220">
        <f t="shared" si="44"/>
        <v>2038</v>
      </c>
      <c r="Q64" s="220">
        <f t="shared" si="44"/>
        <v>2039</v>
      </c>
      <c r="R64" s="220">
        <f t="shared" si="44"/>
        <v>2040</v>
      </c>
      <c r="S64" s="220">
        <f t="shared" si="44"/>
        <v>2041</v>
      </c>
      <c r="T64" s="220">
        <f t="shared" si="44"/>
        <v>2042</v>
      </c>
      <c r="U64" s="220">
        <f t="shared" si="44"/>
        <v>2043</v>
      </c>
    </row>
    <row r="65" spans="1:41" x14ac:dyDescent="0.35">
      <c r="A65" s="184" t="s">
        <v>129</v>
      </c>
      <c r="B65" s="184"/>
      <c r="C65" s="78"/>
      <c r="D65" s="78"/>
      <c r="E65" s="78"/>
      <c r="F65" s="78"/>
      <c r="G65" s="78"/>
      <c r="H65" s="78"/>
      <c r="I65" s="78">
        <v>162118.73341727999</v>
      </c>
      <c r="J65" s="78">
        <v>161308.1397501936</v>
      </c>
      <c r="K65" s="78">
        <v>160501.59905144264</v>
      </c>
      <c r="L65" s="78">
        <v>159699.09105618543</v>
      </c>
      <c r="M65" s="78">
        <v>158900.59560090449</v>
      </c>
      <c r="N65" s="78">
        <v>158106.09262289997</v>
      </c>
      <c r="O65" s="78">
        <v>157315.56215978548</v>
      </c>
      <c r="P65" s="78">
        <v>156528.98434898653</v>
      </c>
      <c r="Q65" s="78">
        <v>155746.33942724159</v>
      </c>
      <c r="R65" s="78">
        <v>154967.6077301054</v>
      </c>
      <c r="S65" s="78">
        <v>154192.76969145489</v>
      </c>
      <c r="T65" s="78">
        <v>153421.80584299756</v>
      </c>
      <c r="U65" s="78">
        <v>152654.69681378259</v>
      </c>
      <c r="W65" s="31"/>
      <c r="X65" s="31"/>
      <c r="Y65" s="31"/>
      <c r="Z65" s="31"/>
      <c r="AA65" s="31"/>
      <c r="AB65" s="31"/>
      <c r="AC65" s="31"/>
      <c r="AD65" s="31"/>
      <c r="AE65" s="31"/>
      <c r="AF65" s="31"/>
      <c r="AG65" s="31"/>
      <c r="AH65" s="31"/>
      <c r="AI65" s="31"/>
      <c r="AJ65" s="31"/>
      <c r="AK65" s="31"/>
      <c r="AL65" s="31"/>
      <c r="AM65" s="31"/>
      <c r="AN65" s="31"/>
      <c r="AO65" s="31"/>
    </row>
    <row r="66" spans="1:41" x14ac:dyDescent="0.35">
      <c r="A66" s="184" t="s">
        <v>135</v>
      </c>
      <c r="B66" s="184"/>
      <c r="C66" s="78"/>
      <c r="D66" s="78"/>
      <c r="E66" s="78"/>
      <c r="F66" s="78"/>
      <c r="G66" s="78"/>
      <c r="H66" s="78"/>
      <c r="I66" s="78">
        <v>172602.59970134808</v>
      </c>
      <c r="J66" s="78">
        <v>171739.58670284133</v>
      </c>
      <c r="K66" s="78">
        <v>170880.88876932714</v>
      </c>
      <c r="L66" s="78">
        <v>170026.4843254805</v>
      </c>
      <c r="M66" s="78">
        <v>169176.35190385312</v>
      </c>
      <c r="N66" s="78">
        <v>168330.47014433384</v>
      </c>
      <c r="O66" s="78">
        <v>167488.81779361214</v>
      </c>
      <c r="P66" s="78">
        <v>166651.37370464409</v>
      </c>
      <c r="Q66" s="78">
        <v>165818.11683612087</v>
      </c>
      <c r="R66" s="78">
        <v>164989.02625194026</v>
      </c>
      <c r="S66" s="78">
        <v>164164.08112068055</v>
      </c>
      <c r="T66" s="78">
        <v>163343.26071507717</v>
      </c>
      <c r="U66" s="78">
        <v>162526.54441150179</v>
      </c>
      <c r="W66" s="31"/>
      <c r="X66" s="31"/>
      <c r="Y66" s="31"/>
      <c r="Z66" s="31"/>
      <c r="AA66" s="31"/>
      <c r="AB66" s="31"/>
      <c r="AC66" s="31"/>
      <c r="AD66" s="31"/>
      <c r="AE66" s="31"/>
      <c r="AF66" s="31"/>
      <c r="AG66" s="31"/>
      <c r="AH66" s="31"/>
      <c r="AI66" s="31"/>
      <c r="AJ66" s="31"/>
      <c r="AK66" s="31"/>
      <c r="AL66" s="31"/>
      <c r="AM66" s="31"/>
      <c r="AN66" s="31"/>
      <c r="AO66" s="31"/>
    </row>
    <row r="67" spans="1:41" x14ac:dyDescent="0.35">
      <c r="A67" s="184" t="s">
        <v>144</v>
      </c>
      <c r="B67" s="184"/>
      <c r="C67" s="78"/>
      <c r="D67" s="78"/>
      <c r="E67" s="78"/>
      <c r="F67" s="78"/>
      <c r="G67" s="78"/>
      <c r="H67" s="78"/>
      <c r="I67" s="78">
        <v>0</v>
      </c>
      <c r="J67" s="78">
        <v>296358.74531999999</v>
      </c>
      <c r="K67" s="78">
        <v>294876.95159339998</v>
      </c>
      <c r="L67" s="78">
        <v>293402.56683543301</v>
      </c>
      <c r="M67" s="78">
        <v>291935.55400125583</v>
      </c>
      <c r="N67" s="78">
        <v>290475.87623124954</v>
      </c>
      <c r="O67" s="78">
        <v>289023.4968500933</v>
      </c>
      <c r="P67" s="78">
        <v>287578.37936584279</v>
      </c>
      <c r="Q67" s="78">
        <v>286140.48746901361</v>
      </c>
      <c r="R67" s="78">
        <v>284709.78503166855</v>
      </c>
      <c r="S67" s="78">
        <v>283286.23610651016</v>
      </c>
      <c r="T67" s="78">
        <v>281869.8049259776</v>
      </c>
      <c r="U67" s="78">
        <v>280460.45590134774</v>
      </c>
      <c r="W67" s="31"/>
      <c r="X67" s="31"/>
      <c r="Y67" s="31"/>
      <c r="Z67" s="31"/>
      <c r="AA67" s="31"/>
      <c r="AB67" s="31"/>
      <c r="AC67" s="31"/>
      <c r="AD67" s="31"/>
      <c r="AE67" s="31"/>
      <c r="AF67" s="31"/>
      <c r="AG67" s="31"/>
      <c r="AH67" s="31"/>
      <c r="AI67" s="31"/>
      <c r="AJ67" s="31"/>
      <c r="AK67" s="31"/>
      <c r="AL67" s="31"/>
      <c r="AM67" s="31"/>
      <c r="AN67" s="31"/>
      <c r="AO67" s="31"/>
    </row>
    <row r="68" spans="1:41" x14ac:dyDescent="0.35">
      <c r="A68" s="184" t="s">
        <v>149</v>
      </c>
      <c r="B68" s="184"/>
      <c r="C68" s="78"/>
      <c r="D68" s="78"/>
      <c r="E68" s="78"/>
      <c r="F68" s="78"/>
      <c r="G68" s="78"/>
      <c r="H68" s="78"/>
      <c r="I68" s="78">
        <v>148179.37265999999</v>
      </c>
      <c r="J68" s="78">
        <v>147438.47579669999</v>
      </c>
      <c r="K68" s="78">
        <v>146701.28341771651</v>
      </c>
      <c r="L68" s="78">
        <v>145967.77700062795</v>
      </c>
      <c r="M68" s="78">
        <v>145237.9381156248</v>
      </c>
      <c r="N68" s="78">
        <v>144511.74842504668</v>
      </c>
      <c r="O68" s="78">
        <v>143789.18968292145</v>
      </c>
      <c r="P68" s="78">
        <v>143070.24373450683</v>
      </c>
      <c r="Q68" s="78">
        <v>142354.8925158343</v>
      </c>
      <c r="R68" s="78">
        <v>141643.11805325511</v>
      </c>
      <c r="S68" s="78">
        <v>140934.90246298886</v>
      </c>
      <c r="T68" s="78">
        <v>140230.2279506739</v>
      </c>
      <c r="U68" s="78">
        <v>139529.07681092052</v>
      </c>
      <c r="W68" s="31"/>
      <c r="X68" s="31"/>
      <c r="Y68" s="31"/>
      <c r="Z68" s="31"/>
      <c r="AA68" s="31"/>
      <c r="AB68" s="31"/>
      <c r="AC68" s="31"/>
      <c r="AD68" s="31"/>
      <c r="AE68" s="31"/>
      <c r="AF68" s="31"/>
      <c r="AG68" s="31"/>
      <c r="AH68" s="31"/>
      <c r="AI68" s="31"/>
      <c r="AJ68" s="31"/>
      <c r="AK68" s="31"/>
      <c r="AL68" s="31"/>
      <c r="AM68" s="31"/>
      <c r="AN68" s="31"/>
      <c r="AO68" s="31"/>
    </row>
    <row r="69" spans="1:41" x14ac:dyDescent="0.35">
      <c r="A69" s="184" t="s">
        <v>153</v>
      </c>
      <c r="B69" s="184"/>
      <c r="C69" s="78"/>
      <c r="D69" s="78"/>
      <c r="E69" s="78"/>
      <c r="F69" s="78"/>
      <c r="G69" s="78"/>
      <c r="H69" s="78"/>
      <c r="I69" s="78">
        <v>0</v>
      </c>
      <c r="J69" s="78">
        <v>49393.124220000005</v>
      </c>
      <c r="K69" s="78">
        <v>49146.158598900001</v>
      </c>
      <c r="L69" s="78">
        <v>48900.4278059055</v>
      </c>
      <c r="M69" s="78">
        <v>48655.92566687597</v>
      </c>
      <c r="N69" s="78">
        <v>48412.646038541592</v>
      </c>
      <c r="O69" s="78">
        <v>48170.582808348889</v>
      </c>
      <c r="P69" s="78">
        <v>47929.729894307144</v>
      </c>
      <c r="Q69" s="78">
        <v>47690.081244835608</v>
      </c>
      <c r="R69" s="78">
        <v>47451.630838611432</v>
      </c>
      <c r="S69" s="78">
        <v>47214.372684418369</v>
      </c>
      <c r="T69" s="78">
        <v>46978.300820996279</v>
      </c>
      <c r="U69" s="78">
        <v>46743.409316891295</v>
      </c>
      <c r="W69" s="31"/>
      <c r="X69" s="31"/>
      <c r="Y69" s="31"/>
      <c r="Z69" s="31"/>
      <c r="AA69" s="31"/>
      <c r="AB69" s="31"/>
      <c r="AC69" s="31"/>
      <c r="AD69" s="31"/>
      <c r="AE69" s="31"/>
      <c r="AF69" s="31"/>
      <c r="AG69" s="31"/>
      <c r="AH69" s="31"/>
      <c r="AI69" s="31"/>
      <c r="AJ69" s="31"/>
      <c r="AK69" s="31"/>
      <c r="AL69" s="31"/>
      <c r="AM69" s="31"/>
      <c r="AN69" s="31"/>
      <c r="AO69" s="31"/>
    </row>
    <row r="70" spans="1:41" x14ac:dyDescent="0.35">
      <c r="A70" s="12" t="s">
        <v>156</v>
      </c>
      <c r="B70" s="12"/>
      <c r="C70" s="78"/>
      <c r="D70" s="78"/>
      <c r="E70" s="78"/>
      <c r="F70" s="78"/>
      <c r="G70" s="78"/>
      <c r="H70" s="78"/>
      <c r="I70" s="78">
        <v>86301.29985067404</v>
      </c>
      <c r="J70" s="78">
        <v>85869.793351420667</v>
      </c>
      <c r="K70" s="78">
        <v>85440.44438466357</v>
      </c>
      <c r="L70" s="78">
        <v>85013.242162740251</v>
      </c>
      <c r="M70" s="78">
        <v>84588.175951926562</v>
      </c>
      <c r="N70" s="78">
        <v>84165.235072166921</v>
      </c>
      <c r="O70" s="78">
        <v>83744.408896806068</v>
      </c>
      <c r="P70" s="78">
        <v>83325.686852322047</v>
      </c>
      <c r="Q70" s="78">
        <v>82909.058418060435</v>
      </c>
      <c r="R70" s="78">
        <v>82494.51312597013</v>
      </c>
      <c r="S70" s="78">
        <v>82082.040560340276</v>
      </c>
      <c r="T70" s="78">
        <v>81671.630357538583</v>
      </c>
      <c r="U70" s="78">
        <v>81263.272205750894</v>
      </c>
      <c r="W70" s="31"/>
      <c r="X70" s="31"/>
      <c r="Y70" s="31"/>
      <c r="Z70" s="31"/>
      <c r="AA70" s="31"/>
      <c r="AB70" s="31"/>
      <c r="AC70" s="31"/>
      <c r="AD70" s="31"/>
      <c r="AE70" s="31"/>
      <c r="AF70" s="31"/>
      <c r="AG70" s="31"/>
      <c r="AH70" s="31"/>
      <c r="AI70" s="31"/>
      <c r="AJ70" s="31"/>
      <c r="AK70" s="31"/>
      <c r="AL70" s="31"/>
      <c r="AM70" s="31"/>
      <c r="AN70" s="31"/>
      <c r="AO70" s="31"/>
    </row>
    <row r="71" spans="1:41" x14ac:dyDescent="0.35">
      <c r="A71" s="14" t="s">
        <v>89</v>
      </c>
      <c r="B71" s="14"/>
      <c r="C71" s="79">
        <f t="shared" ref="C71:U71" si="45">SUM(C65:C70)</f>
        <v>0</v>
      </c>
      <c r="D71" s="79">
        <f t="shared" si="45"/>
        <v>0</v>
      </c>
      <c r="E71" s="79">
        <f t="shared" si="45"/>
        <v>0</v>
      </c>
      <c r="F71" s="79">
        <f t="shared" si="45"/>
        <v>0</v>
      </c>
      <c r="G71" s="79">
        <f t="shared" si="45"/>
        <v>0</v>
      </c>
      <c r="H71" s="79">
        <f t="shared" si="45"/>
        <v>0</v>
      </c>
      <c r="I71" s="79">
        <f t="shared" si="45"/>
        <v>569202.00562930212</v>
      </c>
      <c r="J71" s="79">
        <f t="shared" si="45"/>
        <v>912107.86514115555</v>
      </c>
      <c r="K71" s="79">
        <f t="shared" si="45"/>
        <v>907547.32581544982</v>
      </c>
      <c r="L71" s="79">
        <f t="shared" si="45"/>
        <v>903009.58918637258</v>
      </c>
      <c r="M71" s="79">
        <f t="shared" si="45"/>
        <v>898494.54124044091</v>
      </c>
      <c r="N71" s="79">
        <f t="shared" si="45"/>
        <v>894002.0685342385</v>
      </c>
      <c r="O71" s="79">
        <f t="shared" si="45"/>
        <v>889532.05819156743</v>
      </c>
      <c r="P71" s="79">
        <f t="shared" si="45"/>
        <v>885084.39790060953</v>
      </c>
      <c r="Q71" s="79">
        <f t="shared" si="45"/>
        <v>880658.97591110633</v>
      </c>
      <c r="R71" s="79">
        <f t="shared" si="45"/>
        <v>876255.68103155086</v>
      </c>
      <c r="S71" s="79">
        <f t="shared" si="45"/>
        <v>871874.40262639301</v>
      </c>
      <c r="T71" s="79">
        <f t="shared" si="45"/>
        <v>867515.03061326116</v>
      </c>
      <c r="U71" s="79">
        <f t="shared" si="45"/>
        <v>863177.45546019485</v>
      </c>
    </row>
    <row r="73" spans="1:41" ht="15.5" x14ac:dyDescent="0.35">
      <c r="A73" s="77">
        <v>2031</v>
      </c>
      <c r="B73" s="220">
        <v>2024</v>
      </c>
      <c r="C73" s="220">
        <f>C64</f>
        <v>2025</v>
      </c>
      <c r="D73" s="220">
        <f t="shared" ref="D73:U73" si="46">D64</f>
        <v>2026</v>
      </c>
      <c r="E73" s="220">
        <f t="shared" si="46"/>
        <v>2027</v>
      </c>
      <c r="F73" s="220">
        <f t="shared" si="46"/>
        <v>2028</v>
      </c>
      <c r="G73" s="220">
        <f t="shared" si="46"/>
        <v>2029</v>
      </c>
      <c r="H73" s="220">
        <f t="shared" si="46"/>
        <v>2030</v>
      </c>
      <c r="I73" s="220">
        <f t="shared" si="46"/>
        <v>2031</v>
      </c>
      <c r="J73" s="220">
        <f t="shared" si="46"/>
        <v>2032</v>
      </c>
      <c r="K73" s="220">
        <f t="shared" si="46"/>
        <v>2033</v>
      </c>
      <c r="L73" s="220">
        <f t="shared" si="46"/>
        <v>2034</v>
      </c>
      <c r="M73" s="220">
        <f t="shared" si="46"/>
        <v>2035</v>
      </c>
      <c r="N73" s="220">
        <f t="shared" si="46"/>
        <v>2036</v>
      </c>
      <c r="O73" s="220">
        <f t="shared" si="46"/>
        <v>2037</v>
      </c>
      <c r="P73" s="220">
        <f t="shared" si="46"/>
        <v>2038</v>
      </c>
      <c r="Q73" s="220">
        <f t="shared" si="46"/>
        <v>2039</v>
      </c>
      <c r="R73" s="220">
        <f t="shared" si="46"/>
        <v>2040</v>
      </c>
      <c r="S73" s="220">
        <f t="shared" si="46"/>
        <v>2041</v>
      </c>
      <c r="T73" s="220">
        <f t="shared" si="46"/>
        <v>2042</v>
      </c>
      <c r="U73" s="220">
        <f t="shared" si="46"/>
        <v>2043</v>
      </c>
    </row>
    <row r="74" spans="1:41" x14ac:dyDescent="0.35">
      <c r="A74" s="184" t="s">
        <v>129</v>
      </c>
      <c r="B74" s="184"/>
      <c r="C74" s="78"/>
      <c r="D74" s="78"/>
      <c r="E74" s="78"/>
      <c r="F74" s="78"/>
      <c r="G74" s="78"/>
      <c r="H74" s="78"/>
      <c r="I74" s="78"/>
      <c r="J74" s="78">
        <f>I65</f>
        <v>162118.73341727999</v>
      </c>
      <c r="K74" s="78">
        <f t="shared" ref="K74:U74" si="47">J65</f>
        <v>161308.1397501936</v>
      </c>
      <c r="L74" s="78">
        <f t="shared" si="47"/>
        <v>160501.59905144264</v>
      </c>
      <c r="M74" s="78">
        <f t="shared" si="47"/>
        <v>159699.09105618543</v>
      </c>
      <c r="N74" s="78">
        <f t="shared" si="47"/>
        <v>158900.59560090449</v>
      </c>
      <c r="O74" s="78">
        <f t="shared" si="47"/>
        <v>158106.09262289997</v>
      </c>
      <c r="P74" s="78">
        <f t="shared" si="47"/>
        <v>157315.56215978548</v>
      </c>
      <c r="Q74" s="78">
        <f t="shared" si="47"/>
        <v>156528.98434898653</v>
      </c>
      <c r="R74" s="78">
        <f t="shared" si="47"/>
        <v>155746.33942724159</v>
      </c>
      <c r="S74" s="78">
        <f t="shared" si="47"/>
        <v>154967.6077301054</v>
      </c>
      <c r="T74" s="78">
        <f t="shared" si="47"/>
        <v>154192.76969145489</v>
      </c>
      <c r="U74" s="78">
        <f t="shared" si="47"/>
        <v>153421.80584299756</v>
      </c>
    </row>
    <row r="75" spans="1:41" x14ac:dyDescent="0.35">
      <c r="A75" s="184" t="s">
        <v>135</v>
      </c>
      <c r="B75" s="184"/>
      <c r="C75" s="78"/>
      <c r="D75" s="78"/>
      <c r="E75" s="78"/>
      <c r="F75" s="78"/>
      <c r="G75" s="78"/>
      <c r="H75" s="78"/>
      <c r="I75" s="78"/>
      <c r="J75" s="78">
        <f t="shared" ref="J75:U75" si="48">I66</f>
        <v>172602.59970134808</v>
      </c>
      <c r="K75" s="78">
        <f t="shared" si="48"/>
        <v>171739.58670284133</v>
      </c>
      <c r="L75" s="78">
        <f t="shared" si="48"/>
        <v>170880.88876932714</v>
      </c>
      <c r="M75" s="78">
        <f t="shared" si="48"/>
        <v>170026.4843254805</v>
      </c>
      <c r="N75" s="78">
        <f t="shared" si="48"/>
        <v>169176.35190385312</v>
      </c>
      <c r="O75" s="78">
        <f t="shared" si="48"/>
        <v>168330.47014433384</v>
      </c>
      <c r="P75" s="78">
        <f t="shared" si="48"/>
        <v>167488.81779361214</v>
      </c>
      <c r="Q75" s="78">
        <f t="shared" si="48"/>
        <v>166651.37370464409</v>
      </c>
      <c r="R75" s="78">
        <f t="shared" si="48"/>
        <v>165818.11683612087</v>
      </c>
      <c r="S75" s="78">
        <f t="shared" si="48"/>
        <v>164989.02625194026</v>
      </c>
      <c r="T75" s="78">
        <f t="shared" si="48"/>
        <v>164164.08112068055</v>
      </c>
      <c r="U75" s="78">
        <f t="shared" si="48"/>
        <v>163343.26071507717</v>
      </c>
    </row>
    <row r="76" spans="1:41" x14ac:dyDescent="0.35">
      <c r="A76" s="184" t="s">
        <v>144</v>
      </c>
      <c r="B76" s="184"/>
      <c r="C76" s="78"/>
      <c r="D76" s="78"/>
      <c r="E76" s="78"/>
      <c r="F76" s="78"/>
      <c r="G76" s="78"/>
      <c r="H76" s="78"/>
      <c r="I76" s="78"/>
      <c r="J76" s="78">
        <f t="shared" ref="J76:U76" si="49">I67</f>
        <v>0</v>
      </c>
      <c r="K76" s="78">
        <f t="shared" si="49"/>
        <v>296358.74531999999</v>
      </c>
      <c r="L76" s="78">
        <f t="shared" si="49"/>
        <v>294876.95159339998</v>
      </c>
      <c r="M76" s="78">
        <f t="shared" si="49"/>
        <v>293402.56683543301</v>
      </c>
      <c r="N76" s="78">
        <f t="shared" si="49"/>
        <v>291935.55400125583</v>
      </c>
      <c r="O76" s="78">
        <f t="shared" si="49"/>
        <v>290475.87623124954</v>
      </c>
      <c r="P76" s="78">
        <f t="shared" si="49"/>
        <v>289023.4968500933</v>
      </c>
      <c r="Q76" s="78">
        <f t="shared" si="49"/>
        <v>287578.37936584279</v>
      </c>
      <c r="R76" s="78">
        <f t="shared" si="49"/>
        <v>286140.48746901361</v>
      </c>
      <c r="S76" s="78">
        <f t="shared" si="49"/>
        <v>284709.78503166855</v>
      </c>
      <c r="T76" s="78">
        <f t="shared" si="49"/>
        <v>283286.23610651016</v>
      </c>
      <c r="U76" s="78">
        <f t="shared" si="49"/>
        <v>281869.8049259776</v>
      </c>
    </row>
    <row r="77" spans="1:41" x14ac:dyDescent="0.35">
      <c r="A77" s="184" t="s">
        <v>149</v>
      </c>
      <c r="B77" s="184"/>
      <c r="C77" s="78"/>
      <c r="D77" s="78"/>
      <c r="E77" s="78"/>
      <c r="F77" s="78"/>
      <c r="G77" s="78"/>
      <c r="H77" s="78"/>
      <c r="I77" s="78"/>
      <c r="J77" s="78">
        <f t="shared" ref="J77:U77" si="50">I68</f>
        <v>148179.37265999999</v>
      </c>
      <c r="K77" s="78">
        <f t="shared" si="50"/>
        <v>147438.47579669999</v>
      </c>
      <c r="L77" s="78">
        <f t="shared" si="50"/>
        <v>146701.28341771651</v>
      </c>
      <c r="M77" s="78">
        <f t="shared" si="50"/>
        <v>145967.77700062795</v>
      </c>
      <c r="N77" s="78">
        <f t="shared" si="50"/>
        <v>145237.9381156248</v>
      </c>
      <c r="O77" s="78">
        <f t="shared" si="50"/>
        <v>144511.74842504668</v>
      </c>
      <c r="P77" s="78">
        <f t="shared" si="50"/>
        <v>143789.18968292145</v>
      </c>
      <c r="Q77" s="78">
        <f t="shared" si="50"/>
        <v>143070.24373450683</v>
      </c>
      <c r="R77" s="78">
        <f t="shared" si="50"/>
        <v>142354.8925158343</v>
      </c>
      <c r="S77" s="78">
        <f t="shared" si="50"/>
        <v>141643.11805325511</v>
      </c>
      <c r="T77" s="78">
        <f t="shared" si="50"/>
        <v>140934.90246298886</v>
      </c>
      <c r="U77" s="78">
        <f t="shared" si="50"/>
        <v>140230.2279506739</v>
      </c>
    </row>
    <row r="78" spans="1:41" x14ac:dyDescent="0.35">
      <c r="A78" s="184" t="s">
        <v>153</v>
      </c>
      <c r="B78" s="184"/>
      <c r="C78" s="78"/>
      <c r="D78" s="78"/>
      <c r="E78" s="78"/>
      <c r="F78" s="78"/>
      <c r="G78" s="78"/>
      <c r="H78" s="78"/>
      <c r="I78" s="78"/>
      <c r="J78" s="78">
        <f t="shared" ref="J78:U78" si="51">I69</f>
        <v>0</v>
      </c>
      <c r="K78" s="78">
        <f t="shared" si="51"/>
        <v>49393.124220000005</v>
      </c>
      <c r="L78" s="78">
        <f t="shared" si="51"/>
        <v>49146.158598900001</v>
      </c>
      <c r="M78" s="78">
        <f t="shared" si="51"/>
        <v>48900.4278059055</v>
      </c>
      <c r="N78" s="78">
        <f t="shared" si="51"/>
        <v>48655.92566687597</v>
      </c>
      <c r="O78" s="78">
        <f t="shared" si="51"/>
        <v>48412.646038541592</v>
      </c>
      <c r="P78" s="78">
        <f t="shared" si="51"/>
        <v>48170.582808348889</v>
      </c>
      <c r="Q78" s="78">
        <f t="shared" si="51"/>
        <v>47929.729894307144</v>
      </c>
      <c r="R78" s="78">
        <f t="shared" si="51"/>
        <v>47690.081244835608</v>
      </c>
      <c r="S78" s="78">
        <f t="shared" si="51"/>
        <v>47451.630838611432</v>
      </c>
      <c r="T78" s="78">
        <f t="shared" si="51"/>
        <v>47214.372684418369</v>
      </c>
      <c r="U78" s="78">
        <f t="shared" si="51"/>
        <v>46978.300820996279</v>
      </c>
    </row>
    <row r="79" spans="1:41" x14ac:dyDescent="0.35">
      <c r="A79" s="12" t="s">
        <v>156</v>
      </c>
      <c r="B79" s="12"/>
      <c r="C79" s="78"/>
      <c r="D79" s="78"/>
      <c r="E79" s="78"/>
      <c r="F79" s="78"/>
      <c r="G79" s="78"/>
      <c r="H79" s="78"/>
      <c r="I79" s="78"/>
      <c r="J79" s="78">
        <f t="shared" ref="J79:U79" si="52">I70</f>
        <v>86301.29985067404</v>
      </c>
      <c r="K79" s="78">
        <f t="shared" si="52"/>
        <v>85869.793351420667</v>
      </c>
      <c r="L79" s="78">
        <f t="shared" si="52"/>
        <v>85440.44438466357</v>
      </c>
      <c r="M79" s="78">
        <f t="shared" si="52"/>
        <v>85013.242162740251</v>
      </c>
      <c r="N79" s="78">
        <f t="shared" si="52"/>
        <v>84588.175951926562</v>
      </c>
      <c r="O79" s="78">
        <f t="shared" si="52"/>
        <v>84165.235072166921</v>
      </c>
      <c r="P79" s="78">
        <f t="shared" si="52"/>
        <v>83744.408896806068</v>
      </c>
      <c r="Q79" s="78">
        <f t="shared" si="52"/>
        <v>83325.686852322047</v>
      </c>
      <c r="R79" s="78">
        <f t="shared" si="52"/>
        <v>82909.058418060435</v>
      </c>
      <c r="S79" s="78">
        <f t="shared" si="52"/>
        <v>82494.51312597013</v>
      </c>
      <c r="T79" s="78">
        <f t="shared" si="52"/>
        <v>82082.040560340276</v>
      </c>
      <c r="U79" s="78">
        <f t="shared" si="52"/>
        <v>81671.630357538583</v>
      </c>
    </row>
    <row r="80" spans="1:41" x14ac:dyDescent="0.35">
      <c r="A80" s="14" t="s">
        <v>89</v>
      </c>
      <c r="B80" s="14"/>
      <c r="C80" s="79">
        <f t="shared" ref="C80:U80" si="53">SUM(C74:C79)</f>
        <v>0</v>
      </c>
      <c r="D80" s="79">
        <f t="shared" si="53"/>
        <v>0</v>
      </c>
      <c r="E80" s="79">
        <f t="shared" si="53"/>
        <v>0</v>
      </c>
      <c r="F80" s="79">
        <f t="shared" si="53"/>
        <v>0</v>
      </c>
      <c r="G80" s="79">
        <f t="shared" si="53"/>
        <v>0</v>
      </c>
      <c r="H80" s="79">
        <f t="shared" si="53"/>
        <v>0</v>
      </c>
      <c r="I80" s="79">
        <f t="shared" si="53"/>
        <v>0</v>
      </c>
      <c r="J80" s="79">
        <f t="shared" si="53"/>
        <v>569202.00562930212</v>
      </c>
      <c r="K80" s="79">
        <f t="shared" si="53"/>
        <v>912107.86514115555</v>
      </c>
      <c r="L80" s="79">
        <f t="shared" si="53"/>
        <v>907547.32581544982</v>
      </c>
      <c r="M80" s="79">
        <f t="shared" si="53"/>
        <v>903009.58918637258</v>
      </c>
      <c r="N80" s="79">
        <f t="shared" si="53"/>
        <v>898494.54124044091</v>
      </c>
      <c r="O80" s="79">
        <f t="shared" si="53"/>
        <v>894002.0685342385</v>
      </c>
      <c r="P80" s="79">
        <f t="shared" si="53"/>
        <v>889532.05819156743</v>
      </c>
      <c r="Q80" s="79">
        <f t="shared" si="53"/>
        <v>885084.39790060953</v>
      </c>
      <c r="R80" s="79">
        <f t="shared" si="53"/>
        <v>880658.97591110633</v>
      </c>
      <c r="S80" s="79">
        <f t="shared" si="53"/>
        <v>876255.68103155086</v>
      </c>
      <c r="T80" s="79">
        <f t="shared" si="53"/>
        <v>871874.40262639301</v>
      </c>
      <c r="U80" s="79">
        <f t="shared" si="53"/>
        <v>867515.03061326116</v>
      </c>
    </row>
    <row r="82" spans="1:21" ht="15.5" x14ac:dyDescent="0.35">
      <c r="A82" s="77">
        <v>2032</v>
      </c>
      <c r="B82" s="220">
        <v>2024</v>
      </c>
      <c r="C82" s="220">
        <f>C73</f>
        <v>2025</v>
      </c>
      <c r="D82" s="220">
        <f t="shared" ref="D82:U82" si="54">D73</f>
        <v>2026</v>
      </c>
      <c r="E82" s="220">
        <f t="shared" si="54"/>
        <v>2027</v>
      </c>
      <c r="F82" s="220">
        <f t="shared" si="54"/>
        <v>2028</v>
      </c>
      <c r="G82" s="220">
        <f t="shared" si="54"/>
        <v>2029</v>
      </c>
      <c r="H82" s="220">
        <f t="shared" si="54"/>
        <v>2030</v>
      </c>
      <c r="I82" s="220">
        <f t="shared" si="54"/>
        <v>2031</v>
      </c>
      <c r="J82" s="220">
        <f t="shared" si="54"/>
        <v>2032</v>
      </c>
      <c r="K82" s="220">
        <f t="shared" si="54"/>
        <v>2033</v>
      </c>
      <c r="L82" s="220">
        <f t="shared" si="54"/>
        <v>2034</v>
      </c>
      <c r="M82" s="220">
        <f t="shared" si="54"/>
        <v>2035</v>
      </c>
      <c r="N82" s="220">
        <f t="shared" si="54"/>
        <v>2036</v>
      </c>
      <c r="O82" s="220">
        <f t="shared" si="54"/>
        <v>2037</v>
      </c>
      <c r="P82" s="220">
        <f t="shared" si="54"/>
        <v>2038</v>
      </c>
      <c r="Q82" s="220">
        <f t="shared" si="54"/>
        <v>2039</v>
      </c>
      <c r="R82" s="220">
        <f t="shared" si="54"/>
        <v>2040</v>
      </c>
      <c r="S82" s="220">
        <f t="shared" si="54"/>
        <v>2041</v>
      </c>
      <c r="T82" s="220">
        <f t="shared" si="54"/>
        <v>2042</v>
      </c>
      <c r="U82" s="220">
        <f t="shared" si="54"/>
        <v>2043</v>
      </c>
    </row>
    <row r="83" spans="1:21" x14ac:dyDescent="0.35">
      <c r="A83" s="184" t="s">
        <v>129</v>
      </c>
      <c r="B83" s="184"/>
      <c r="C83" s="78"/>
      <c r="D83" s="78"/>
      <c r="E83" s="78"/>
      <c r="F83" s="78"/>
      <c r="G83" s="78"/>
      <c r="H83" s="78"/>
      <c r="I83" s="78"/>
      <c r="J83" s="78"/>
      <c r="K83" s="78">
        <f t="shared" ref="K83:U83" si="55">J74</f>
        <v>162118.73341727999</v>
      </c>
      <c r="L83" s="78">
        <f t="shared" si="55"/>
        <v>161308.1397501936</v>
      </c>
      <c r="M83" s="78">
        <f t="shared" si="55"/>
        <v>160501.59905144264</v>
      </c>
      <c r="N83" s="78">
        <f t="shared" si="55"/>
        <v>159699.09105618543</v>
      </c>
      <c r="O83" s="78">
        <f t="shared" si="55"/>
        <v>158900.59560090449</v>
      </c>
      <c r="P83" s="78">
        <f t="shared" si="55"/>
        <v>158106.09262289997</v>
      </c>
      <c r="Q83" s="78">
        <f t="shared" si="55"/>
        <v>157315.56215978548</v>
      </c>
      <c r="R83" s="78">
        <f t="shared" si="55"/>
        <v>156528.98434898653</v>
      </c>
      <c r="S83" s="78">
        <f t="shared" si="55"/>
        <v>155746.33942724159</v>
      </c>
      <c r="T83" s="78">
        <f t="shared" si="55"/>
        <v>154967.6077301054</v>
      </c>
      <c r="U83" s="78">
        <f t="shared" si="55"/>
        <v>154192.76969145489</v>
      </c>
    </row>
    <row r="84" spans="1:21" x14ac:dyDescent="0.35">
      <c r="A84" s="184" t="s">
        <v>135</v>
      </c>
      <c r="B84" s="184"/>
      <c r="C84" s="78"/>
      <c r="D84" s="78"/>
      <c r="E84" s="78"/>
      <c r="F84" s="78"/>
      <c r="G84" s="78"/>
      <c r="H84" s="78"/>
      <c r="I84" s="78"/>
      <c r="J84" s="78"/>
      <c r="K84" s="78">
        <f t="shared" ref="K84:U84" si="56">J75</f>
        <v>172602.59970134808</v>
      </c>
      <c r="L84" s="78">
        <f t="shared" si="56"/>
        <v>171739.58670284133</v>
      </c>
      <c r="M84" s="78">
        <f t="shared" si="56"/>
        <v>170880.88876932714</v>
      </c>
      <c r="N84" s="78">
        <f t="shared" si="56"/>
        <v>170026.4843254805</v>
      </c>
      <c r="O84" s="78">
        <f t="shared" si="56"/>
        <v>169176.35190385312</v>
      </c>
      <c r="P84" s="78">
        <f t="shared" si="56"/>
        <v>168330.47014433384</v>
      </c>
      <c r="Q84" s="78">
        <f t="shared" si="56"/>
        <v>167488.81779361214</v>
      </c>
      <c r="R84" s="78">
        <f t="shared" si="56"/>
        <v>166651.37370464409</v>
      </c>
      <c r="S84" s="78">
        <f t="shared" si="56"/>
        <v>165818.11683612087</v>
      </c>
      <c r="T84" s="78">
        <f t="shared" si="56"/>
        <v>164989.02625194026</v>
      </c>
      <c r="U84" s="78">
        <f t="shared" si="56"/>
        <v>164164.08112068055</v>
      </c>
    </row>
    <row r="85" spans="1:21" x14ac:dyDescent="0.35">
      <c r="A85" s="184" t="s">
        <v>144</v>
      </c>
      <c r="B85" s="184"/>
      <c r="C85" s="78"/>
      <c r="D85" s="78"/>
      <c r="E85" s="78"/>
      <c r="F85" s="78"/>
      <c r="G85" s="78"/>
      <c r="H85" s="78"/>
      <c r="I85" s="78"/>
      <c r="J85" s="78"/>
      <c r="K85" s="78">
        <f t="shared" ref="K85:U85" si="57">J76</f>
        <v>0</v>
      </c>
      <c r="L85" s="78">
        <f t="shared" si="57"/>
        <v>296358.74531999999</v>
      </c>
      <c r="M85" s="78">
        <f t="shared" si="57"/>
        <v>294876.95159339998</v>
      </c>
      <c r="N85" s="78">
        <f t="shared" si="57"/>
        <v>293402.56683543301</v>
      </c>
      <c r="O85" s="78">
        <f t="shared" si="57"/>
        <v>291935.55400125583</v>
      </c>
      <c r="P85" s="78">
        <f t="shared" si="57"/>
        <v>290475.87623124954</v>
      </c>
      <c r="Q85" s="78">
        <f t="shared" si="57"/>
        <v>289023.4968500933</v>
      </c>
      <c r="R85" s="78">
        <f t="shared" si="57"/>
        <v>287578.37936584279</v>
      </c>
      <c r="S85" s="78">
        <f t="shared" si="57"/>
        <v>286140.48746901361</v>
      </c>
      <c r="T85" s="78">
        <f t="shared" si="57"/>
        <v>284709.78503166855</v>
      </c>
      <c r="U85" s="78">
        <f t="shared" si="57"/>
        <v>283286.23610651016</v>
      </c>
    </row>
    <row r="86" spans="1:21" x14ac:dyDescent="0.35">
      <c r="A86" s="184" t="s">
        <v>149</v>
      </c>
      <c r="B86" s="184"/>
      <c r="C86" s="78"/>
      <c r="D86" s="78"/>
      <c r="E86" s="78"/>
      <c r="F86" s="78"/>
      <c r="G86" s="78"/>
      <c r="H86" s="78"/>
      <c r="I86" s="78"/>
      <c r="J86" s="78"/>
      <c r="K86" s="78">
        <f t="shared" ref="K86:U86" si="58">J77</f>
        <v>148179.37265999999</v>
      </c>
      <c r="L86" s="78">
        <f t="shared" si="58"/>
        <v>147438.47579669999</v>
      </c>
      <c r="M86" s="78">
        <f t="shared" si="58"/>
        <v>146701.28341771651</v>
      </c>
      <c r="N86" s="78">
        <f t="shared" si="58"/>
        <v>145967.77700062795</v>
      </c>
      <c r="O86" s="78">
        <f t="shared" si="58"/>
        <v>145237.9381156248</v>
      </c>
      <c r="P86" s="78">
        <f t="shared" si="58"/>
        <v>144511.74842504668</v>
      </c>
      <c r="Q86" s="78">
        <f t="shared" si="58"/>
        <v>143789.18968292145</v>
      </c>
      <c r="R86" s="78">
        <f t="shared" si="58"/>
        <v>143070.24373450683</v>
      </c>
      <c r="S86" s="78">
        <f t="shared" si="58"/>
        <v>142354.8925158343</v>
      </c>
      <c r="T86" s="78">
        <f t="shared" si="58"/>
        <v>141643.11805325511</v>
      </c>
      <c r="U86" s="78">
        <f t="shared" si="58"/>
        <v>140934.90246298886</v>
      </c>
    </row>
    <row r="87" spans="1:21" x14ac:dyDescent="0.35">
      <c r="A87" s="184" t="s">
        <v>153</v>
      </c>
      <c r="B87" s="184"/>
      <c r="C87" s="78"/>
      <c r="D87" s="78"/>
      <c r="E87" s="78"/>
      <c r="F87" s="78"/>
      <c r="G87" s="78"/>
      <c r="H87" s="78"/>
      <c r="I87" s="78"/>
      <c r="J87" s="78"/>
      <c r="K87" s="78">
        <f t="shared" ref="K87:U87" si="59">J78</f>
        <v>0</v>
      </c>
      <c r="L87" s="78">
        <f t="shared" si="59"/>
        <v>49393.124220000005</v>
      </c>
      <c r="M87" s="78">
        <f t="shared" si="59"/>
        <v>49146.158598900001</v>
      </c>
      <c r="N87" s="78">
        <f t="shared" si="59"/>
        <v>48900.4278059055</v>
      </c>
      <c r="O87" s="78">
        <f t="shared" si="59"/>
        <v>48655.92566687597</v>
      </c>
      <c r="P87" s="78">
        <f t="shared" si="59"/>
        <v>48412.646038541592</v>
      </c>
      <c r="Q87" s="78">
        <f t="shared" si="59"/>
        <v>48170.582808348889</v>
      </c>
      <c r="R87" s="78">
        <f t="shared" si="59"/>
        <v>47929.729894307144</v>
      </c>
      <c r="S87" s="78">
        <f t="shared" si="59"/>
        <v>47690.081244835608</v>
      </c>
      <c r="T87" s="78">
        <f t="shared" si="59"/>
        <v>47451.630838611432</v>
      </c>
      <c r="U87" s="78">
        <f t="shared" si="59"/>
        <v>47214.372684418369</v>
      </c>
    </row>
    <row r="88" spans="1:21" x14ac:dyDescent="0.35">
      <c r="A88" s="12" t="s">
        <v>156</v>
      </c>
      <c r="B88" s="12"/>
      <c r="C88" s="78"/>
      <c r="D88" s="78"/>
      <c r="E88" s="78"/>
      <c r="F88" s="78"/>
      <c r="G88" s="78"/>
      <c r="H88" s="78"/>
      <c r="I88" s="78"/>
      <c r="J88" s="78"/>
      <c r="K88" s="78">
        <f t="shared" ref="K88:U88" si="60">J79</f>
        <v>86301.29985067404</v>
      </c>
      <c r="L88" s="78">
        <f t="shared" si="60"/>
        <v>85869.793351420667</v>
      </c>
      <c r="M88" s="78">
        <f t="shared" si="60"/>
        <v>85440.44438466357</v>
      </c>
      <c r="N88" s="78">
        <f t="shared" si="60"/>
        <v>85013.242162740251</v>
      </c>
      <c r="O88" s="78">
        <f t="shared" si="60"/>
        <v>84588.175951926562</v>
      </c>
      <c r="P88" s="78">
        <f t="shared" si="60"/>
        <v>84165.235072166921</v>
      </c>
      <c r="Q88" s="78">
        <f t="shared" si="60"/>
        <v>83744.408896806068</v>
      </c>
      <c r="R88" s="78">
        <f t="shared" si="60"/>
        <v>83325.686852322047</v>
      </c>
      <c r="S88" s="78">
        <f t="shared" si="60"/>
        <v>82909.058418060435</v>
      </c>
      <c r="T88" s="78">
        <f t="shared" si="60"/>
        <v>82494.51312597013</v>
      </c>
      <c r="U88" s="78">
        <f t="shared" si="60"/>
        <v>82082.040560340276</v>
      </c>
    </row>
    <row r="89" spans="1:21" x14ac:dyDescent="0.35">
      <c r="A89" s="14" t="s">
        <v>89</v>
      </c>
      <c r="B89" s="14"/>
      <c r="C89" s="79">
        <f t="shared" ref="C89:U89" si="61">SUM(C83:C88)</f>
        <v>0</v>
      </c>
      <c r="D89" s="79">
        <f t="shared" si="61"/>
        <v>0</v>
      </c>
      <c r="E89" s="79">
        <f t="shared" si="61"/>
        <v>0</v>
      </c>
      <c r="F89" s="79">
        <f t="shared" si="61"/>
        <v>0</v>
      </c>
      <c r="G89" s="79">
        <f t="shared" si="61"/>
        <v>0</v>
      </c>
      <c r="H89" s="79">
        <f t="shared" si="61"/>
        <v>0</v>
      </c>
      <c r="I89" s="79">
        <f t="shared" si="61"/>
        <v>0</v>
      </c>
      <c r="J89" s="79">
        <f t="shared" si="61"/>
        <v>0</v>
      </c>
      <c r="K89" s="79">
        <f t="shared" si="61"/>
        <v>569202.00562930212</v>
      </c>
      <c r="L89" s="79">
        <f t="shared" si="61"/>
        <v>912107.86514115555</v>
      </c>
      <c r="M89" s="79">
        <f t="shared" si="61"/>
        <v>907547.32581544982</v>
      </c>
      <c r="N89" s="79">
        <f t="shared" si="61"/>
        <v>903009.58918637258</v>
      </c>
      <c r="O89" s="79">
        <f t="shared" si="61"/>
        <v>898494.54124044091</v>
      </c>
      <c r="P89" s="79">
        <f t="shared" si="61"/>
        <v>894002.0685342385</v>
      </c>
      <c r="Q89" s="79">
        <f t="shared" si="61"/>
        <v>889532.05819156743</v>
      </c>
      <c r="R89" s="79">
        <f t="shared" si="61"/>
        <v>885084.39790060953</v>
      </c>
      <c r="S89" s="79">
        <f t="shared" si="61"/>
        <v>880658.97591110633</v>
      </c>
      <c r="T89" s="79">
        <f t="shared" si="61"/>
        <v>876255.68103155086</v>
      </c>
      <c r="U89" s="79">
        <f t="shared" si="61"/>
        <v>871874.40262639301</v>
      </c>
    </row>
    <row r="91" spans="1:21" ht="15.5" x14ac:dyDescent="0.35">
      <c r="A91" s="77">
        <v>2033</v>
      </c>
      <c r="B91" s="220">
        <v>2024</v>
      </c>
      <c r="C91" s="220">
        <f>C82</f>
        <v>2025</v>
      </c>
      <c r="D91" s="220">
        <f t="shared" ref="D91:U91" si="62">D82</f>
        <v>2026</v>
      </c>
      <c r="E91" s="220">
        <f t="shared" si="62"/>
        <v>2027</v>
      </c>
      <c r="F91" s="220">
        <f t="shared" si="62"/>
        <v>2028</v>
      </c>
      <c r="G91" s="220">
        <f t="shared" si="62"/>
        <v>2029</v>
      </c>
      <c r="H91" s="220">
        <f t="shared" si="62"/>
        <v>2030</v>
      </c>
      <c r="I91" s="220">
        <f t="shared" si="62"/>
        <v>2031</v>
      </c>
      <c r="J91" s="220">
        <f t="shared" si="62"/>
        <v>2032</v>
      </c>
      <c r="K91" s="220">
        <f t="shared" si="62"/>
        <v>2033</v>
      </c>
      <c r="L91" s="220">
        <f t="shared" si="62"/>
        <v>2034</v>
      </c>
      <c r="M91" s="220">
        <f t="shared" si="62"/>
        <v>2035</v>
      </c>
      <c r="N91" s="220">
        <f t="shared" si="62"/>
        <v>2036</v>
      </c>
      <c r="O91" s="220">
        <f t="shared" si="62"/>
        <v>2037</v>
      </c>
      <c r="P91" s="220">
        <f t="shared" si="62"/>
        <v>2038</v>
      </c>
      <c r="Q91" s="220">
        <f t="shared" si="62"/>
        <v>2039</v>
      </c>
      <c r="R91" s="220">
        <f t="shared" si="62"/>
        <v>2040</v>
      </c>
      <c r="S91" s="220">
        <f t="shared" si="62"/>
        <v>2041</v>
      </c>
      <c r="T91" s="220">
        <f t="shared" si="62"/>
        <v>2042</v>
      </c>
      <c r="U91" s="220">
        <f t="shared" si="62"/>
        <v>2043</v>
      </c>
    </row>
    <row r="92" spans="1:21" x14ac:dyDescent="0.35">
      <c r="A92" s="184" t="s">
        <v>129</v>
      </c>
      <c r="B92" s="184"/>
      <c r="C92" s="78"/>
      <c r="D92" s="78"/>
      <c r="E92" s="78"/>
      <c r="F92" s="78"/>
      <c r="G92" s="78"/>
      <c r="H92" s="78"/>
      <c r="I92" s="78"/>
      <c r="J92" s="78"/>
      <c r="K92" s="78"/>
      <c r="L92" s="78">
        <f t="shared" ref="L92:U92" si="63">K83/2</f>
        <v>81059.366708639995</v>
      </c>
      <c r="M92" s="78">
        <f t="shared" si="63"/>
        <v>80654.0698750968</v>
      </c>
      <c r="N92" s="78">
        <f t="shared" si="63"/>
        <v>80250.799525721319</v>
      </c>
      <c r="O92" s="78">
        <f t="shared" si="63"/>
        <v>79849.545528092713</v>
      </c>
      <c r="P92" s="78">
        <f t="shared" si="63"/>
        <v>79450.297800452245</v>
      </c>
      <c r="Q92" s="78">
        <f t="shared" si="63"/>
        <v>79053.046311449987</v>
      </c>
      <c r="R92" s="78">
        <f t="shared" si="63"/>
        <v>78657.781079892738</v>
      </c>
      <c r="S92" s="78">
        <f t="shared" si="63"/>
        <v>78264.492174493265</v>
      </c>
      <c r="T92" s="78">
        <f t="shared" si="63"/>
        <v>77873.169713620795</v>
      </c>
      <c r="U92" s="78">
        <f t="shared" si="63"/>
        <v>77483.803865052701</v>
      </c>
    </row>
    <row r="93" spans="1:21" x14ac:dyDescent="0.35">
      <c r="A93" s="184" t="s">
        <v>135</v>
      </c>
      <c r="B93" s="184"/>
      <c r="C93" s="78"/>
      <c r="D93" s="78"/>
      <c r="E93" s="78"/>
      <c r="F93" s="78"/>
      <c r="G93" s="78"/>
      <c r="H93" s="78"/>
      <c r="I93" s="78"/>
      <c r="J93" s="78"/>
      <c r="K93" s="78"/>
      <c r="L93" s="78">
        <f t="shared" ref="L93:U93" si="64">K84/2</f>
        <v>86301.29985067404</v>
      </c>
      <c r="M93" s="78">
        <f t="shared" si="64"/>
        <v>85869.793351420667</v>
      </c>
      <c r="N93" s="78">
        <f t="shared" si="64"/>
        <v>85440.44438466357</v>
      </c>
      <c r="O93" s="78">
        <f t="shared" si="64"/>
        <v>85013.242162740251</v>
      </c>
      <c r="P93" s="78">
        <f t="shared" si="64"/>
        <v>84588.175951926562</v>
      </c>
      <c r="Q93" s="78">
        <f t="shared" si="64"/>
        <v>84165.235072166921</v>
      </c>
      <c r="R93" s="78">
        <f t="shared" si="64"/>
        <v>83744.408896806068</v>
      </c>
      <c r="S93" s="78">
        <f t="shared" si="64"/>
        <v>83325.686852322047</v>
      </c>
      <c r="T93" s="78">
        <f t="shared" si="64"/>
        <v>82909.058418060435</v>
      </c>
      <c r="U93" s="78">
        <f t="shared" si="64"/>
        <v>82494.51312597013</v>
      </c>
    </row>
    <row r="94" spans="1:21" x14ac:dyDescent="0.35">
      <c r="A94" s="184" t="s">
        <v>144</v>
      </c>
      <c r="B94" s="184"/>
      <c r="C94" s="78"/>
      <c r="D94" s="78"/>
      <c r="E94" s="78"/>
      <c r="F94" s="78"/>
      <c r="G94" s="78"/>
      <c r="H94" s="78"/>
      <c r="I94" s="78"/>
      <c r="J94" s="78"/>
      <c r="K94" s="78"/>
      <c r="L94" s="78">
        <f t="shared" ref="L94:U94" si="65">K85/2</f>
        <v>0</v>
      </c>
      <c r="M94" s="78">
        <f t="shared" si="65"/>
        <v>148179.37265999999</v>
      </c>
      <c r="N94" s="78">
        <f t="shared" si="65"/>
        <v>147438.47579669999</v>
      </c>
      <c r="O94" s="78">
        <f t="shared" si="65"/>
        <v>146701.28341771651</v>
      </c>
      <c r="P94" s="78">
        <f t="shared" si="65"/>
        <v>145967.77700062792</v>
      </c>
      <c r="Q94" s="78">
        <f t="shared" si="65"/>
        <v>145237.93811562477</v>
      </c>
      <c r="R94" s="78">
        <f t="shared" si="65"/>
        <v>144511.74842504665</v>
      </c>
      <c r="S94" s="78">
        <f t="shared" si="65"/>
        <v>143789.18968292139</v>
      </c>
      <c r="T94" s="78">
        <f t="shared" si="65"/>
        <v>143070.2437345068</v>
      </c>
      <c r="U94" s="78">
        <f t="shared" si="65"/>
        <v>142354.89251583428</v>
      </c>
    </row>
    <row r="95" spans="1:21" x14ac:dyDescent="0.35">
      <c r="A95" s="184" t="s">
        <v>149</v>
      </c>
      <c r="B95" s="184"/>
      <c r="C95" s="78"/>
      <c r="D95" s="78"/>
      <c r="E95" s="78"/>
      <c r="F95" s="78"/>
      <c r="G95" s="78"/>
      <c r="H95" s="78"/>
      <c r="I95" s="78"/>
      <c r="J95" s="78"/>
      <c r="K95" s="78"/>
      <c r="L95" s="78">
        <f>K86/2</f>
        <v>74089.686329999997</v>
      </c>
      <c r="M95" s="78">
        <f t="shared" ref="M95:U95" si="66">L86/2</f>
        <v>73719.237898349995</v>
      </c>
      <c r="N95" s="78">
        <f t="shared" si="66"/>
        <v>73350.641708858253</v>
      </c>
      <c r="O95" s="78">
        <f t="shared" si="66"/>
        <v>72983.888500313973</v>
      </c>
      <c r="P95" s="78">
        <f t="shared" si="66"/>
        <v>72618.969057812399</v>
      </c>
      <c r="Q95" s="78">
        <f t="shared" si="66"/>
        <v>72255.87421252334</v>
      </c>
      <c r="R95" s="78">
        <f t="shared" si="66"/>
        <v>71894.594841460726</v>
      </c>
      <c r="S95" s="78">
        <f t="shared" si="66"/>
        <v>71535.121867253416</v>
      </c>
      <c r="T95" s="78">
        <f t="shared" si="66"/>
        <v>71177.446257917152</v>
      </c>
      <c r="U95" s="78">
        <f t="shared" si="66"/>
        <v>70821.559026627554</v>
      </c>
    </row>
    <row r="96" spans="1:21" x14ac:dyDescent="0.35">
      <c r="A96" s="184" t="s">
        <v>153</v>
      </c>
      <c r="B96" s="184"/>
      <c r="C96" s="78"/>
      <c r="D96" s="78"/>
      <c r="E96" s="78"/>
      <c r="F96" s="78"/>
      <c r="G96" s="78"/>
      <c r="H96" s="78"/>
      <c r="I96" s="78"/>
      <c r="J96" s="78"/>
      <c r="K96" s="78"/>
      <c r="L96" s="78">
        <f t="shared" ref="L96:U96" si="67">K87/2</f>
        <v>0</v>
      </c>
      <c r="M96" s="78">
        <f t="shared" si="67"/>
        <v>24696.562110000003</v>
      </c>
      <c r="N96" s="78">
        <f t="shared" si="67"/>
        <v>24573.079299450001</v>
      </c>
      <c r="O96" s="78">
        <f t="shared" si="67"/>
        <v>24450.21390295275</v>
      </c>
      <c r="P96" s="78">
        <f t="shared" si="67"/>
        <v>24327.962833437985</v>
      </c>
      <c r="Q96" s="78">
        <f t="shared" si="67"/>
        <v>24206.323019270796</v>
      </c>
      <c r="R96" s="78">
        <f t="shared" si="67"/>
        <v>24085.291404174444</v>
      </c>
      <c r="S96" s="78">
        <f t="shared" si="67"/>
        <v>23964.864947153572</v>
      </c>
      <c r="T96" s="78">
        <f t="shared" si="67"/>
        <v>23845.040622417804</v>
      </c>
      <c r="U96" s="78">
        <f t="shared" si="67"/>
        <v>23725.815419305716</v>
      </c>
    </row>
    <row r="97" spans="1:21" x14ac:dyDescent="0.35">
      <c r="A97" s="12" t="s">
        <v>156</v>
      </c>
      <c r="B97" s="12"/>
      <c r="C97" s="78"/>
      <c r="D97" s="78"/>
      <c r="E97" s="78"/>
      <c r="F97" s="78"/>
      <c r="G97" s="78"/>
      <c r="H97" s="78"/>
      <c r="I97" s="78"/>
      <c r="J97" s="78"/>
      <c r="K97" s="78"/>
      <c r="L97" s="78">
        <f t="shared" ref="L97:U97" si="68">K88/2</f>
        <v>43150.64992533702</v>
      </c>
      <c r="M97" s="78">
        <f t="shared" si="68"/>
        <v>42934.896675710334</v>
      </c>
      <c r="N97" s="78">
        <f t="shared" si="68"/>
        <v>42720.222192331785</v>
      </c>
      <c r="O97" s="78">
        <f t="shared" si="68"/>
        <v>42506.621081370125</v>
      </c>
      <c r="P97" s="78">
        <f t="shared" si="68"/>
        <v>42294.087975963281</v>
      </c>
      <c r="Q97" s="78">
        <f t="shared" si="68"/>
        <v>42082.61753608346</v>
      </c>
      <c r="R97" s="78">
        <f t="shared" si="68"/>
        <v>41872.204448403034</v>
      </c>
      <c r="S97" s="78">
        <f t="shared" si="68"/>
        <v>41662.843426161024</v>
      </c>
      <c r="T97" s="78">
        <f t="shared" si="68"/>
        <v>41454.529209030217</v>
      </c>
      <c r="U97" s="78">
        <f t="shared" si="68"/>
        <v>41247.256562985065</v>
      </c>
    </row>
    <row r="98" spans="1:21" x14ac:dyDescent="0.35">
      <c r="A98" s="14" t="s">
        <v>89</v>
      </c>
      <c r="B98" s="14"/>
      <c r="C98" s="79">
        <f t="shared" ref="C98:U98" si="69">SUM(C92:C97)</f>
        <v>0</v>
      </c>
      <c r="D98" s="79">
        <f t="shared" si="69"/>
        <v>0</v>
      </c>
      <c r="E98" s="79">
        <f t="shared" si="69"/>
        <v>0</v>
      </c>
      <c r="F98" s="79">
        <f t="shared" si="69"/>
        <v>0</v>
      </c>
      <c r="G98" s="79">
        <f t="shared" si="69"/>
        <v>0</v>
      </c>
      <c r="H98" s="79">
        <f t="shared" si="69"/>
        <v>0</v>
      </c>
      <c r="I98" s="79">
        <f t="shared" si="69"/>
        <v>0</v>
      </c>
      <c r="J98" s="79">
        <f t="shared" si="69"/>
        <v>0</v>
      </c>
      <c r="K98" s="79">
        <f t="shared" si="69"/>
        <v>0</v>
      </c>
      <c r="L98" s="79">
        <f t="shared" si="69"/>
        <v>284601.00281465106</v>
      </c>
      <c r="M98" s="79">
        <f t="shared" si="69"/>
        <v>456053.93257057777</v>
      </c>
      <c r="N98" s="79">
        <f t="shared" si="69"/>
        <v>453773.66290772491</v>
      </c>
      <c r="O98" s="79">
        <f t="shared" si="69"/>
        <v>451504.79459318629</v>
      </c>
      <c r="P98" s="79">
        <f t="shared" si="69"/>
        <v>449247.27062022046</v>
      </c>
      <c r="Q98" s="79">
        <f t="shared" si="69"/>
        <v>447001.03426711925</v>
      </c>
      <c r="R98" s="79">
        <f t="shared" si="69"/>
        <v>444766.02909578371</v>
      </c>
      <c r="S98" s="79">
        <f t="shared" si="69"/>
        <v>442542.19895030477</v>
      </c>
      <c r="T98" s="79">
        <f t="shared" si="69"/>
        <v>440329.48795555317</v>
      </c>
      <c r="U98" s="79">
        <f t="shared" si="69"/>
        <v>438127.84051577543</v>
      </c>
    </row>
    <row r="100" spans="1:21" ht="15.5" x14ac:dyDescent="0.35">
      <c r="A100" s="77">
        <v>2034</v>
      </c>
      <c r="B100" s="220">
        <v>2024</v>
      </c>
      <c r="C100" s="220">
        <f>C91</f>
        <v>2025</v>
      </c>
      <c r="D100" s="220">
        <f t="shared" ref="D100:U100" si="70">D91</f>
        <v>2026</v>
      </c>
      <c r="E100" s="220">
        <f t="shared" si="70"/>
        <v>2027</v>
      </c>
      <c r="F100" s="220">
        <f t="shared" si="70"/>
        <v>2028</v>
      </c>
      <c r="G100" s="220">
        <f t="shared" si="70"/>
        <v>2029</v>
      </c>
      <c r="H100" s="220">
        <f t="shared" si="70"/>
        <v>2030</v>
      </c>
      <c r="I100" s="220">
        <f t="shared" si="70"/>
        <v>2031</v>
      </c>
      <c r="J100" s="220">
        <f t="shared" si="70"/>
        <v>2032</v>
      </c>
      <c r="K100" s="220">
        <f t="shared" si="70"/>
        <v>2033</v>
      </c>
      <c r="L100" s="220">
        <f t="shared" si="70"/>
        <v>2034</v>
      </c>
      <c r="M100" s="220">
        <f t="shared" si="70"/>
        <v>2035</v>
      </c>
      <c r="N100" s="220">
        <f t="shared" si="70"/>
        <v>2036</v>
      </c>
      <c r="O100" s="220">
        <f t="shared" si="70"/>
        <v>2037</v>
      </c>
      <c r="P100" s="220">
        <f t="shared" si="70"/>
        <v>2038</v>
      </c>
      <c r="Q100" s="220">
        <f t="shared" si="70"/>
        <v>2039</v>
      </c>
      <c r="R100" s="220">
        <f t="shared" si="70"/>
        <v>2040</v>
      </c>
      <c r="S100" s="220">
        <f t="shared" si="70"/>
        <v>2041</v>
      </c>
      <c r="T100" s="220">
        <f t="shared" si="70"/>
        <v>2042</v>
      </c>
      <c r="U100" s="220">
        <f t="shared" si="70"/>
        <v>2043</v>
      </c>
    </row>
    <row r="101" spans="1:21" x14ac:dyDescent="0.35">
      <c r="A101" s="184" t="s">
        <v>129</v>
      </c>
      <c r="B101" s="184"/>
      <c r="C101" s="78"/>
      <c r="D101" s="78"/>
      <c r="E101" s="78"/>
      <c r="F101" s="78"/>
      <c r="G101" s="78"/>
      <c r="H101" s="78"/>
      <c r="I101" s="78"/>
      <c r="J101" s="78"/>
      <c r="K101" s="78"/>
      <c r="L101" s="78"/>
      <c r="M101" s="78">
        <f t="shared" ref="M101:U101" si="71">L92</f>
        <v>81059.366708639995</v>
      </c>
      <c r="N101" s="78">
        <f t="shared" si="71"/>
        <v>80654.0698750968</v>
      </c>
      <c r="O101" s="78">
        <f t="shared" si="71"/>
        <v>80250.799525721319</v>
      </c>
      <c r="P101" s="78">
        <f t="shared" si="71"/>
        <v>79849.545528092713</v>
      </c>
      <c r="Q101" s="78">
        <f t="shared" si="71"/>
        <v>79450.297800452245</v>
      </c>
      <c r="R101" s="78">
        <f t="shared" si="71"/>
        <v>79053.046311449987</v>
      </c>
      <c r="S101" s="78">
        <f t="shared" si="71"/>
        <v>78657.781079892738</v>
      </c>
      <c r="T101" s="78">
        <f t="shared" si="71"/>
        <v>78264.492174493265</v>
      </c>
      <c r="U101" s="78">
        <f t="shared" si="71"/>
        <v>77873.169713620795</v>
      </c>
    </row>
    <row r="102" spans="1:21" x14ac:dyDescent="0.35">
      <c r="A102" s="184" t="s">
        <v>135</v>
      </c>
      <c r="B102" s="184"/>
      <c r="C102" s="78"/>
      <c r="D102" s="78"/>
      <c r="E102" s="78"/>
      <c r="F102" s="78"/>
      <c r="G102" s="78"/>
      <c r="H102" s="78"/>
      <c r="I102" s="78"/>
      <c r="J102" s="78"/>
      <c r="K102" s="78"/>
      <c r="L102" s="78"/>
      <c r="M102" s="78">
        <f t="shared" ref="M102:U102" si="72">L93</f>
        <v>86301.29985067404</v>
      </c>
      <c r="N102" s="78">
        <f t="shared" si="72"/>
        <v>85869.793351420667</v>
      </c>
      <c r="O102" s="78">
        <f t="shared" si="72"/>
        <v>85440.44438466357</v>
      </c>
      <c r="P102" s="78">
        <f t="shared" si="72"/>
        <v>85013.242162740251</v>
      </c>
      <c r="Q102" s="78">
        <f t="shared" si="72"/>
        <v>84588.175951926562</v>
      </c>
      <c r="R102" s="78">
        <f t="shared" si="72"/>
        <v>84165.235072166921</v>
      </c>
      <c r="S102" s="78">
        <f t="shared" si="72"/>
        <v>83744.408896806068</v>
      </c>
      <c r="T102" s="78">
        <f t="shared" si="72"/>
        <v>83325.686852322047</v>
      </c>
      <c r="U102" s="78">
        <f t="shared" si="72"/>
        <v>82909.058418060435</v>
      </c>
    </row>
    <row r="103" spans="1:21" x14ac:dyDescent="0.35">
      <c r="A103" s="184" t="s">
        <v>144</v>
      </c>
      <c r="B103" s="184"/>
      <c r="C103" s="78"/>
      <c r="D103" s="78"/>
      <c r="E103" s="78"/>
      <c r="F103" s="78"/>
      <c r="G103" s="78"/>
      <c r="H103" s="78"/>
      <c r="I103" s="78"/>
      <c r="J103" s="78"/>
      <c r="K103" s="78"/>
      <c r="L103" s="78"/>
      <c r="M103" s="78">
        <f t="shared" ref="M103:U103" si="73">L94</f>
        <v>0</v>
      </c>
      <c r="N103" s="78">
        <f t="shared" si="73"/>
        <v>148179.37265999999</v>
      </c>
      <c r="O103" s="78">
        <f t="shared" si="73"/>
        <v>147438.47579669999</v>
      </c>
      <c r="P103" s="78">
        <f t="shared" si="73"/>
        <v>146701.28341771651</v>
      </c>
      <c r="Q103" s="78">
        <f t="shared" si="73"/>
        <v>145967.77700062792</v>
      </c>
      <c r="R103" s="78">
        <f t="shared" si="73"/>
        <v>145237.93811562477</v>
      </c>
      <c r="S103" s="78">
        <f t="shared" si="73"/>
        <v>144511.74842504665</v>
      </c>
      <c r="T103" s="78">
        <f t="shared" si="73"/>
        <v>143789.18968292139</v>
      </c>
      <c r="U103" s="78">
        <f t="shared" si="73"/>
        <v>143070.2437345068</v>
      </c>
    </row>
    <row r="104" spans="1:21" x14ac:dyDescent="0.35">
      <c r="A104" s="184" t="s">
        <v>149</v>
      </c>
      <c r="B104" s="184"/>
      <c r="C104" s="78"/>
      <c r="D104" s="78"/>
      <c r="E104" s="78"/>
      <c r="F104" s="78"/>
      <c r="G104" s="78"/>
      <c r="H104" s="78"/>
      <c r="I104" s="78"/>
      <c r="J104" s="78"/>
      <c r="K104" s="78"/>
      <c r="L104" s="78"/>
      <c r="M104" s="78">
        <f t="shared" ref="M104:U104" si="74">L95</f>
        <v>74089.686329999997</v>
      </c>
      <c r="N104" s="78">
        <f t="shared" si="74"/>
        <v>73719.237898349995</v>
      </c>
      <c r="O104" s="78">
        <f t="shared" si="74"/>
        <v>73350.641708858253</v>
      </c>
      <c r="P104" s="78">
        <f t="shared" si="74"/>
        <v>72983.888500313973</v>
      </c>
      <c r="Q104" s="78">
        <f t="shared" si="74"/>
        <v>72618.969057812399</v>
      </c>
      <c r="R104" s="78">
        <f t="shared" si="74"/>
        <v>72255.87421252334</v>
      </c>
      <c r="S104" s="78">
        <f t="shared" si="74"/>
        <v>71894.594841460726</v>
      </c>
      <c r="T104" s="78">
        <f t="shared" si="74"/>
        <v>71535.121867253416</v>
      </c>
      <c r="U104" s="78">
        <f t="shared" si="74"/>
        <v>71177.446257917152</v>
      </c>
    </row>
    <row r="105" spans="1:21" x14ac:dyDescent="0.35">
      <c r="A105" s="184" t="s">
        <v>153</v>
      </c>
      <c r="B105" s="184"/>
      <c r="C105" s="78"/>
      <c r="D105" s="78"/>
      <c r="E105" s="78"/>
      <c r="F105" s="78"/>
      <c r="G105" s="78"/>
      <c r="H105" s="78"/>
      <c r="I105" s="78"/>
      <c r="J105" s="78"/>
      <c r="K105" s="78"/>
      <c r="L105" s="78"/>
      <c r="M105" s="78">
        <f t="shared" ref="M105:U105" si="75">L96</f>
        <v>0</v>
      </c>
      <c r="N105" s="78">
        <f t="shared" si="75"/>
        <v>24696.562110000003</v>
      </c>
      <c r="O105" s="78">
        <f t="shared" si="75"/>
        <v>24573.079299450001</v>
      </c>
      <c r="P105" s="78">
        <f t="shared" si="75"/>
        <v>24450.21390295275</v>
      </c>
      <c r="Q105" s="78">
        <f t="shared" si="75"/>
        <v>24327.962833437985</v>
      </c>
      <c r="R105" s="78">
        <f t="shared" si="75"/>
        <v>24206.323019270796</v>
      </c>
      <c r="S105" s="78">
        <f t="shared" si="75"/>
        <v>24085.291404174444</v>
      </c>
      <c r="T105" s="78">
        <f t="shared" si="75"/>
        <v>23964.864947153572</v>
      </c>
      <c r="U105" s="78">
        <f t="shared" si="75"/>
        <v>23845.040622417804</v>
      </c>
    </row>
    <row r="106" spans="1:21" x14ac:dyDescent="0.35">
      <c r="A106" s="12" t="s">
        <v>156</v>
      </c>
      <c r="B106" s="12"/>
      <c r="C106" s="78"/>
      <c r="D106" s="78"/>
      <c r="E106" s="78"/>
      <c r="F106" s="78"/>
      <c r="G106" s="78"/>
      <c r="H106" s="78"/>
      <c r="I106" s="78"/>
      <c r="J106" s="78"/>
      <c r="K106" s="78"/>
      <c r="L106" s="78"/>
      <c r="M106" s="78">
        <f t="shared" ref="M106:U106" si="76">L97</f>
        <v>43150.64992533702</v>
      </c>
      <c r="N106" s="78">
        <f t="shared" si="76"/>
        <v>42934.896675710334</v>
      </c>
      <c r="O106" s="78">
        <f t="shared" si="76"/>
        <v>42720.222192331785</v>
      </c>
      <c r="P106" s="78">
        <f t="shared" si="76"/>
        <v>42506.621081370125</v>
      </c>
      <c r="Q106" s="78">
        <f t="shared" si="76"/>
        <v>42294.087975963281</v>
      </c>
      <c r="R106" s="78">
        <f t="shared" si="76"/>
        <v>42082.61753608346</v>
      </c>
      <c r="S106" s="78">
        <f t="shared" si="76"/>
        <v>41872.204448403034</v>
      </c>
      <c r="T106" s="78">
        <f t="shared" si="76"/>
        <v>41662.843426161024</v>
      </c>
      <c r="U106" s="78">
        <f t="shared" si="76"/>
        <v>41454.529209030217</v>
      </c>
    </row>
    <row r="107" spans="1:21" x14ac:dyDescent="0.35">
      <c r="A107" s="14" t="s">
        <v>89</v>
      </c>
      <c r="B107" s="14"/>
      <c r="C107" s="79">
        <f t="shared" ref="C107:U107" si="77">SUM(C101:C106)</f>
        <v>0</v>
      </c>
      <c r="D107" s="79">
        <f t="shared" si="77"/>
        <v>0</v>
      </c>
      <c r="E107" s="79">
        <f t="shared" si="77"/>
        <v>0</v>
      </c>
      <c r="F107" s="79">
        <f t="shared" si="77"/>
        <v>0</v>
      </c>
      <c r="G107" s="79">
        <f t="shared" si="77"/>
        <v>0</v>
      </c>
      <c r="H107" s="79">
        <f t="shared" si="77"/>
        <v>0</v>
      </c>
      <c r="I107" s="79">
        <f t="shared" si="77"/>
        <v>0</v>
      </c>
      <c r="J107" s="79">
        <f t="shared" si="77"/>
        <v>0</v>
      </c>
      <c r="K107" s="79">
        <f t="shared" si="77"/>
        <v>0</v>
      </c>
      <c r="L107" s="79">
        <f t="shared" si="77"/>
        <v>0</v>
      </c>
      <c r="M107" s="79">
        <f t="shared" si="77"/>
        <v>284601.00281465106</v>
      </c>
      <c r="N107" s="79">
        <f t="shared" si="77"/>
        <v>456053.93257057777</v>
      </c>
      <c r="O107" s="79">
        <f t="shared" si="77"/>
        <v>453773.66290772491</v>
      </c>
      <c r="P107" s="79">
        <f t="shared" si="77"/>
        <v>451504.79459318629</v>
      </c>
      <c r="Q107" s="79">
        <f t="shared" si="77"/>
        <v>449247.27062022046</v>
      </c>
      <c r="R107" s="79">
        <f t="shared" si="77"/>
        <v>447001.03426711925</v>
      </c>
      <c r="S107" s="79">
        <f t="shared" si="77"/>
        <v>444766.02909578371</v>
      </c>
      <c r="T107" s="79">
        <f t="shared" si="77"/>
        <v>442542.19895030477</v>
      </c>
      <c r="U107" s="79">
        <f t="shared" si="77"/>
        <v>440329.48795555317</v>
      </c>
    </row>
    <row r="109" spans="1:21" ht="15.5" x14ac:dyDescent="0.35">
      <c r="A109" s="77">
        <v>2035</v>
      </c>
      <c r="B109" s="220">
        <v>2024</v>
      </c>
      <c r="C109" s="220">
        <f>C100</f>
        <v>2025</v>
      </c>
      <c r="D109" s="220">
        <f t="shared" ref="D109:U109" si="78">D100</f>
        <v>2026</v>
      </c>
      <c r="E109" s="220">
        <f t="shared" si="78"/>
        <v>2027</v>
      </c>
      <c r="F109" s="220">
        <f t="shared" si="78"/>
        <v>2028</v>
      </c>
      <c r="G109" s="220">
        <f t="shared" si="78"/>
        <v>2029</v>
      </c>
      <c r="H109" s="220">
        <f t="shared" si="78"/>
        <v>2030</v>
      </c>
      <c r="I109" s="220">
        <f t="shared" si="78"/>
        <v>2031</v>
      </c>
      <c r="J109" s="220">
        <f t="shared" si="78"/>
        <v>2032</v>
      </c>
      <c r="K109" s="220">
        <f t="shared" si="78"/>
        <v>2033</v>
      </c>
      <c r="L109" s="220">
        <f t="shared" si="78"/>
        <v>2034</v>
      </c>
      <c r="M109" s="220">
        <f t="shared" si="78"/>
        <v>2035</v>
      </c>
      <c r="N109" s="220">
        <f t="shared" si="78"/>
        <v>2036</v>
      </c>
      <c r="O109" s="220">
        <f t="shared" si="78"/>
        <v>2037</v>
      </c>
      <c r="P109" s="220">
        <f t="shared" si="78"/>
        <v>2038</v>
      </c>
      <c r="Q109" s="220">
        <f t="shared" si="78"/>
        <v>2039</v>
      </c>
      <c r="R109" s="220">
        <f t="shared" si="78"/>
        <v>2040</v>
      </c>
      <c r="S109" s="220">
        <f t="shared" si="78"/>
        <v>2041</v>
      </c>
      <c r="T109" s="220">
        <f t="shared" si="78"/>
        <v>2042</v>
      </c>
      <c r="U109" s="220">
        <f t="shared" si="78"/>
        <v>2043</v>
      </c>
    </row>
    <row r="110" spans="1:21" x14ac:dyDescent="0.35">
      <c r="A110" s="184" t="s">
        <v>129</v>
      </c>
      <c r="B110" s="184"/>
      <c r="C110" s="78"/>
      <c r="D110" s="78"/>
      <c r="E110" s="78"/>
      <c r="F110" s="78"/>
      <c r="G110" s="78"/>
      <c r="H110" s="78"/>
      <c r="I110" s="78"/>
      <c r="J110" s="78"/>
      <c r="K110" s="78"/>
      <c r="L110" s="78"/>
      <c r="M110" s="78"/>
      <c r="N110" s="78">
        <f t="shared" ref="N110:U115" si="79">M101</f>
        <v>81059.366708639995</v>
      </c>
      <c r="O110" s="78">
        <f t="shared" si="79"/>
        <v>80654.0698750968</v>
      </c>
      <c r="P110" s="78">
        <f t="shared" si="79"/>
        <v>80250.799525721319</v>
      </c>
      <c r="Q110" s="78">
        <f t="shared" si="79"/>
        <v>79849.545528092713</v>
      </c>
      <c r="R110" s="78">
        <f t="shared" si="79"/>
        <v>79450.297800452245</v>
      </c>
      <c r="S110" s="78">
        <f t="shared" si="79"/>
        <v>79053.046311449987</v>
      </c>
      <c r="T110" s="78">
        <f t="shared" si="79"/>
        <v>78657.781079892738</v>
      </c>
      <c r="U110" s="78">
        <f t="shared" si="79"/>
        <v>78264.492174493265</v>
      </c>
    </row>
    <row r="111" spans="1:21" x14ac:dyDescent="0.35">
      <c r="A111" s="184" t="s">
        <v>135</v>
      </c>
      <c r="B111" s="184"/>
      <c r="C111" s="78"/>
      <c r="D111" s="78"/>
      <c r="E111" s="78"/>
      <c r="F111" s="78"/>
      <c r="G111" s="78"/>
      <c r="H111" s="78"/>
      <c r="I111" s="78"/>
      <c r="J111" s="78"/>
      <c r="K111" s="78"/>
      <c r="L111" s="78"/>
      <c r="M111" s="78"/>
      <c r="N111" s="78">
        <f t="shared" si="79"/>
        <v>86301.29985067404</v>
      </c>
      <c r="O111" s="78">
        <f t="shared" si="79"/>
        <v>85869.793351420667</v>
      </c>
      <c r="P111" s="78">
        <f t="shared" si="79"/>
        <v>85440.44438466357</v>
      </c>
      <c r="Q111" s="78">
        <f t="shared" si="79"/>
        <v>85013.242162740251</v>
      </c>
      <c r="R111" s="78">
        <f t="shared" si="79"/>
        <v>84588.175951926562</v>
      </c>
      <c r="S111" s="78">
        <f t="shared" si="79"/>
        <v>84165.235072166921</v>
      </c>
      <c r="T111" s="78">
        <f t="shared" si="79"/>
        <v>83744.408896806068</v>
      </c>
      <c r="U111" s="78">
        <f t="shared" si="79"/>
        <v>83325.686852322047</v>
      </c>
    </row>
    <row r="112" spans="1:21" x14ac:dyDescent="0.35">
      <c r="A112" s="184" t="s">
        <v>144</v>
      </c>
      <c r="B112" s="184"/>
      <c r="C112" s="78"/>
      <c r="D112" s="78"/>
      <c r="E112" s="78"/>
      <c r="F112" s="78"/>
      <c r="G112" s="78"/>
      <c r="H112" s="78"/>
      <c r="I112" s="78"/>
      <c r="J112" s="78"/>
      <c r="K112" s="78"/>
      <c r="L112" s="78"/>
      <c r="M112" s="78"/>
      <c r="N112" s="78">
        <f t="shared" si="79"/>
        <v>0</v>
      </c>
      <c r="O112" s="78">
        <f t="shared" si="79"/>
        <v>148179.37265999999</v>
      </c>
      <c r="P112" s="78">
        <f t="shared" si="79"/>
        <v>147438.47579669999</v>
      </c>
      <c r="Q112" s="78">
        <f t="shared" si="79"/>
        <v>146701.28341771651</v>
      </c>
      <c r="R112" s="78">
        <f t="shared" si="79"/>
        <v>145967.77700062792</v>
      </c>
      <c r="S112" s="78">
        <f t="shared" si="79"/>
        <v>145237.93811562477</v>
      </c>
      <c r="T112" s="78">
        <f t="shared" si="79"/>
        <v>144511.74842504665</v>
      </c>
      <c r="U112" s="78">
        <f t="shared" si="79"/>
        <v>143789.18968292139</v>
      </c>
    </row>
    <row r="113" spans="1:21" x14ac:dyDescent="0.35">
      <c r="A113" s="184" t="s">
        <v>149</v>
      </c>
      <c r="B113" s="184"/>
      <c r="C113" s="78"/>
      <c r="D113" s="78"/>
      <c r="E113" s="78"/>
      <c r="F113" s="78"/>
      <c r="G113" s="78"/>
      <c r="H113" s="78"/>
      <c r="I113" s="78"/>
      <c r="J113" s="78"/>
      <c r="K113" s="78"/>
      <c r="L113" s="78"/>
      <c r="M113" s="78"/>
      <c r="N113" s="78">
        <f t="shared" si="79"/>
        <v>74089.686329999997</v>
      </c>
      <c r="O113" s="78">
        <f t="shared" si="79"/>
        <v>73719.237898349995</v>
      </c>
      <c r="P113" s="78">
        <f t="shared" si="79"/>
        <v>73350.641708858253</v>
      </c>
      <c r="Q113" s="78">
        <f t="shared" si="79"/>
        <v>72983.888500313973</v>
      </c>
      <c r="R113" s="78">
        <f t="shared" si="79"/>
        <v>72618.969057812399</v>
      </c>
      <c r="S113" s="78">
        <f t="shared" si="79"/>
        <v>72255.87421252334</v>
      </c>
      <c r="T113" s="78">
        <f t="shared" si="79"/>
        <v>71894.594841460726</v>
      </c>
      <c r="U113" s="78">
        <f t="shared" si="79"/>
        <v>71535.121867253416</v>
      </c>
    </row>
    <row r="114" spans="1:21" x14ac:dyDescent="0.35">
      <c r="A114" s="184" t="s">
        <v>153</v>
      </c>
      <c r="B114" s="184"/>
      <c r="C114" s="78"/>
      <c r="D114" s="78"/>
      <c r="E114" s="78"/>
      <c r="F114" s="78"/>
      <c r="G114" s="78"/>
      <c r="H114" s="78"/>
      <c r="I114" s="78"/>
      <c r="J114" s="78"/>
      <c r="K114" s="78"/>
      <c r="L114" s="78"/>
      <c r="M114" s="78"/>
      <c r="N114" s="78">
        <f t="shared" si="79"/>
        <v>0</v>
      </c>
      <c r="O114" s="78">
        <f t="shared" si="79"/>
        <v>24696.562110000003</v>
      </c>
      <c r="P114" s="78">
        <f t="shared" si="79"/>
        <v>24573.079299450001</v>
      </c>
      <c r="Q114" s="78">
        <f t="shared" si="79"/>
        <v>24450.21390295275</v>
      </c>
      <c r="R114" s="78">
        <f t="shared" si="79"/>
        <v>24327.962833437985</v>
      </c>
      <c r="S114" s="78">
        <f t="shared" si="79"/>
        <v>24206.323019270796</v>
      </c>
      <c r="T114" s="78">
        <f t="shared" si="79"/>
        <v>24085.291404174444</v>
      </c>
      <c r="U114" s="78">
        <f t="shared" si="79"/>
        <v>23964.864947153572</v>
      </c>
    </row>
    <row r="115" spans="1:21" x14ac:dyDescent="0.35">
      <c r="A115" s="12" t="s">
        <v>156</v>
      </c>
      <c r="B115" s="12"/>
      <c r="C115" s="78"/>
      <c r="D115" s="78"/>
      <c r="E115" s="78"/>
      <c r="F115" s="78"/>
      <c r="G115" s="78"/>
      <c r="H115" s="78"/>
      <c r="I115" s="78"/>
      <c r="J115" s="78"/>
      <c r="K115" s="78"/>
      <c r="L115" s="78"/>
      <c r="M115" s="78"/>
      <c r="N115" s="78">
        <f t="shared" si="79"/>
        <v>43150.64992533702</v>
      </c>
      <c r="O115" s="78">
        <f t="shared" si="79"/>
        <v>42934.896675710334</v>
      </c>
      <c r="P115" s="78">
        <f t="shared" si="79"/>
        <v>42720.222192331785</v>
      </c>
      <c r="Q115" s="78">
        <f t="shared" si="79"/>
        <v>42506.621081370125</v>
      </c>
      <c r="R115" s="78">
        <f t="shared" si="79"/>
        <v>42294.087975963281</v>
      </c>
      <c r="S115" s="78">
        <f t="shared" si="79"/>
        <v>42082.61753608346</v>
      </c>
      <c r="T115" s="78">
        <f t="shared" si="79"/>
        <v>41872.204448403034</v>
      </c>
      <c r="U115" s="78">
        <f t="shared" si="79"/>
        <v>41662.843426161024</v>
      </c>
    </row>
    <row r="116" spans="1:21" x14ac:dyDescent="0.35">
      <c r="A116" s="14" t="s">
        <v>89</v>
      </c>
      <c r="B116" s="14"/>
      <c r="C116" s="79">
        <f t="shared" ref="C116:U116" si="80">SUM(C110:C115)</f>
        <v>0</v>
      </c>
      <c r="D116" s="79">
        <f t="shared" si="80"/>
        <v>0</v>
      </c>
      <c r="E116" s="79">
        <f t="shared" si="80"/>
        <v>0</v>
      </c>
      <c r="F116" s="79">
        <f t="shared" si="80"/>
        <v>0</v>
      </c>
      <c r="G116" s="79">
        <f t="shared" si="80"/>
        <v>0</v>
      </c>
      <c r="H116" s="79">
        <f t="shared" si="80"/>
        <v>0</v>
      </c>
      <c r="I116" s="79">
        <f t="shared" si="80"/>
        <v>0</v>
      </c>
      <c r="J116" s="79">
        <f t="shared" si="80"/>
        <v>0</v>
      </c>
      <c r="K116" s="79">
        <f t="shared" si="80"/>
        <v>0</v>
      </c>
      <c r="L116" s="79">
        <f t="shared" si="80"/>
        <v>0</v>
      </c>
      <c r="M116" s="79">
        <f t="shared" si="80"/>
        <v>0</v>
      </c>
      <c r="N116" s="79">
        <f t="shared" si="80"/>
        <v>284601.00281465106</v>
      </c>
      <c r="O116" s="79">
        <f t="shared" si="80"/>
        <v>456053.93257057777</v>
      </c>
      <c r="P116" s="79">
        <f t="shared" si="80"/>
        <v>453773.66290772491</v>
      </c>
      <c r="Q116" s="79">
        <f t="shared" si="80"/>
        <v>451504.79459318629</v>
      </c>
      <c r="R116" s="79">
        <f t="shared" si="80"/>
        <v>449247.27062022046</v>
      </c>
      <c r="S116" s="79">
        <f t="shared" si="80"/>
        <v>447001.03426711925</v>
      </c>
      <c r="T116" s="79">
        <f t="shared" si="80"/>
        <v>444766.02909578371</v>
      </c>
      <c r="U116" s="79">
        <f t="shared" si="80"/>
        <v>442542.19895030477</v>
      </c>
    </row>
    <row r="118" spans="1:21" ht="15.5" x14ac:dyDescent="0.35">
      <c r="A118" s="77">
        <v>2036</v>
      </c>
      <c r="B118" s="220">
        <v>2024</v>
      </c>
      <c r="C118" s="220">
        <f>C109</f>
        <v>2025</v>
      </c>
      <c r="D118" s="220">
        <f t="shared" ref="D118:U118" si="81">D109</f>
        <v>2026</v>
      </c>
      <c r="E118" s="220">
        <f t="shared" si="81"/>
        <v>2027</v>
      </c>
      <c r="F118" s="220">
        <f t="shared" si="81"/>
        <v>2028</v>
      </c>
      <c r="G118" s="220">
        <f t="shared" si="81"/>
        <v>2029</v>
      </c>
      <c r="H118" s="220">
        <f t="shared" si="81"/>
        <v>2030</v>
      </c>
      <c r="I118" s="220">
        <f t="shared" si="81"/>
        <v>2031</v>
      </c>
      <c r="J118" s="220">
        <f t="shared" si="81"/>
        <v>2032</v>
      </c>
      <c r="K118" s="220">
        <f t="shared" si="81"/>
        <v>2033</v>
      </c>
      <c r="L118" s="220">
        <f t="shared" si="81"/>
        <v>2034</v>
      </c>
      <c r="M118" s="220">
        <f t="shared" si="81"/>
        <v>2035</v>
      </c>
      <c r="N118" s="220">
        <f t="shared" si="81"/>
        <v>2036</v>
      </c>
      <c r="O118" s="220">
        <f t="shared" si="81"/>
        <v>2037</v>
      </c>
      <c r="P118" s="220">
        <f t="shared" si="81"/>
        <v>2038</v>
      </c>
      <c r="Q118" s="220">
        <f t="shared" si="81"/>
        <v>2039</v>
      </c>
      <c r="R118" s="220">
        <f t="shared" si="81"/>
        <v>2040</v>
      </c>
      <c r="S118" s="220">
        <f t="shared" si="81"/>
        <v>2041</v>
      </c>
      <c r="T118" s="220">
        <f t="shared" si="81"/>
        <v>2042</v>
      </c>
      <c r="U118" s="220">
        <f t="shared" si="81"/>
        <v>2043</v>
      </c>
    </row>
    <row r="119" spans="1:21" x14ac:dyDescent="0.35">
      <c r="A119" s="184" t="s">
        <v>129</v>
      </c>
      <c r="C119" s="78"/>
      <c r="D119" s="78"/>
      <c r="E119" s="78"/>
      <c r="F119" s="78"/>
      <c r="G119" s="78"/>
      <c r="H119" s="78"/>
      <c r="I119" s="78"/>
      <c r="J119" s="78"/>
      <c r="K119" s="78"/>
      <c r="L119" s="78"/>
      <c r="M119" s="78"/>
      <c r="N119" s="78"/>
      <c r="O119" s="78">
        <f t="shared" ref="O119:U124" si="82">N110</f>
        <v>81059.366708639995</v>
      </c>
      <c r="P119" s="78">
        <f t="shared" si="82"/>
        <v>80654.0698750968</v>
      </c>
      <c r="Q119" s="78">
        <f t="shared" si="82"/>
        <v>80250.799525721319</v>
      </c>
      <c r="R119" s="78">
        <f t="shared" si="82"/>
        <v>79849.545528092713</v>
      </c>
      <c r="S119" s="78">
        <f t="shared" si="82"/>
        <v>79450.297800452245</v>
      </c>
      <c r="T119" s="78">
        <f t="shared" si="82"/>
        <v>79053.046311449987</v>
      </c>
      <c r="U119" s="78">
        <f t="shared" si="82"/>
        <v>78657.781079892738</v>
      </c>
    </row>
    <row r="120" spans="1:21" x14ac:dyDescent="0.35">
      <c r="A120" s="184" t="s">
        <v>135</v>
      </c>
      <c r="B120" s="184"/>
      <c r="C120" s="78"/>
      <c r="D120" s="78"/>
      <c r="E120" s="78"/>
      <c r="F120" s="78"/>
      <c r="G120" s="78"/>
      <c r="H120" s="78"/>
      <c r="I120" s="78"/>
      <c r="J120" s="78"/>
      <c r="K120" s="78"/>
      <c r="L120" s="78"/>
      <c r="M120" s="78"/>
      <c r="N120" s="78"/>
      <c r="O120" s="78">
        <f t="shared" si="82"/>
        <v>86301.29985067404</v>
      </c>
      <c r="P120" s="78">
        <f t="shared" si="82"/>
        <v>85869.793351420667</v>
      </c>
      <c r="Q120" s="78">
        <f t="shared" si="82"/>
        <v>85440.44438466357</v>
      </c>
      <c r="R120" s="78">
        <f t="shared" si="82"/>
        <v>85013.242162740251</v>
      </c>
      <c r="S120" s="78">
        <f t="shared" si="82"/>
        <v>84588.175951926562</v>
      </c>
      <c r="T120" s="78">
        <f t="shared" si="82"/>
        <v>84165.235072166921</v>
      </c>
      <c r="U120" s="78">
        <f t="shared" si="82"/>
        <v>83744.408896806068</v>
      </c>
    </row>
    <row r="121" spans="1:21" x14ac:dyDescent="0.35">
      <c r="A121" s="184" t="s">
        <v>144</v>
      </c>
      <c r="B121" s="184"/>
      <c r="C121" s="78"/>
      <c r="D121" s="78"/>
      <c r="E121" s="78"/>
      <c r="F121" s="78"/>
      <c r="G121" s="78"/>
      <c r="H121" s="78"/>
      <c r="I121" s="78"/>
      <c r="J121" s="78"/>
      <c r="K121" s="78"/>
      <c r="L121" s="78"/>
      <c r="M121" s="78"/>
      <c r="N121" s="78"/>
      <c r="O121" s="78">
        <f t="shared" si="82"/>
        <v>0</v>
      </c>
      <c r="P121" s="78">
        <f t="shared" si="82"/>
        <v>148179.37265999999</v>
      </c>
      <c r="Q121" s="78">
        <f t="shared" si="82"/>
        <v>147438.47579669999</v>
      </c>
      <c r="R121" s="78">
        <f t="shared" si="82"/>
        <v>146701.28341771651</v>
      </c>
      <c r="S121" s="78">
        <f t="shared" si="82"/>
        <v>145967.77700062792</v>
      </c>
      <c r="T121" s="78">
        <f t="shared" si="82"/>
        <v>145237.93811562477</v>
      </c>
      <c r="U121" s="78">
        <f t="shared" si="82"/>
        <v>144511.74842504665</v>
      </c>
    </row>
    <row r="122" spans="1:21" x14ac:dyDescent="0.35">
      <c r="A122" s="184" t="s">
        <v>149</v>
      </c>
      <c r="B122" s="184"/>
      <c r="C122" s="78"/>
      <c r="D122" s="78"/>
      <c r="E122" s="78"/>
      <c r="F122" s="78"/>
      <c r="G122" s="78"/>
      <c r="H122" s="78"/>
      <c r="I122" s="78"/>
      <c r="J122" s="78"/>
      <c r="K122" s="78"/>
      <c r="L122" s="78"/>
      <c r="M122" s="78"/>
      <c r="N122" s="78"/>
      <c r="O122" s="78">
        <f t="shared" si="82"/>
        <v>74089.686329999997</v>
      </c>
      <c r="P122" s="78">
        <f t="shared" si="82"/>
        <v>73719.237898349995</v>
      </c>
      <c r="Q122" s="78">
        <f t="shared" si="82"/>
        <v>73350.641708858253</v>
      </c>
      <c r="R122" s="78">
        <f t="shared" si="82"/>
        <v>72983.888500313973</v>
      </c>
      <c r="S122" s="78">
        <f t="shared" si="82"/>
        <v>72618.969057812399</v>
      </c>
      <c r="T122" s="78">
        <f t="shared" si="82"/>
        <v>72255.87421252334</v>
      </c>
      <c r="U122" s="78">
        <f t="shared" si="82"/>
        <v>71894.594841460726</v>
      </c>
    </row>
    <row r="123" spans="1:21" x14ac:dyDescent="0.35">
      <c r="A123" s="184" t="s">
        <v>153</v>
      </c>
      <c r="B123" s="184"/>
      <c r="C123" s="78"/>
      <c r="D123" s="78"/>
      <c r="E123" s="78"/>
      <c r="F123" s="78"/>
      <c r="G123" s="78"/>
      <c r="H123" s="78"/>
      <c r="I123" s="78"/>
      <c r="J123" s="78"/>
      <c r="K123" s="78"/>
      <c r="L123" s="78"/>
      <c r="M123" s="78"/>
      <c r="N123" s="78"/>
      <c r="O123" s="78">
        <f t="shared" si="82"/>
        <v>0</v>
      </c>
      <c r="P123" s="78">
        <f t="shared" si="82"/>
        <v>24696.562110000003</v>
      </c>
      <c r="Q123" s="78">
        <f t="shared" si="82"/>
        <v>24573.079299450001</v>
      </c>
      <c r="R123" s="78">
        <f t="shared" si="82"/>
        <v>24450.21390295275</v>
      </c>
      <c r="S123" s="78">
        <f t="shared" si="82"/>
        <v>24327.962833437985</v>
      </c>
      <c r="T123" s="78">
        <f t="shared" si="82"/>
        <v>24206.323019270796</v>
      </c>
      <c r="U123" s="78">
        <f t="shared" si="82"/>
        <v>24085.291404174444</v>
      </c>
    </row>
    <row r="124" spans="1:21" x14ac:dyDescent="0.35">
      <c r="A124" s="12" t="s">
        <v>156</v>
      </c>
      <c r="B124" s="12"/>
      <c r="C124" s="78"/>
      <c r="D124" s="78"/>
      <c r="E124" s="78"/>
      <c r="F124" s="78"/>
      <c r="G124" s="78"/>
      <c r="H124" s="78"/>
      <c r="I124" s="78"/>
      <c r="J124" s="78"/>
      <c r="K124" s="78"/>
      <c r="L124" s="78"/>
      <c r="M124" s="78"/>
      <c r="N124" s="78"/>
      <c r="O124" s="78">
        <f t="shared" si="82"/>
        <v>43150.64992533702</v>
      </c>
      <c r="P124" s="78">
        <f t="shared" si="82"/>
        <v>42934.896675710334</v>
      </c>
      <c r="Q124" s="78">
        <f t="shared" si="82"/>
        <v>42720.222192331785</v>
      </c>
      <c r="R124" s="78">
        <f t="shared" si="82"/>
        <v>42506.621081370125</v>
      </c>
      <c r="S124" s="78">
        <f t="shared" si="82"/>
        <v>42294.087975963281</v>
      </c>
      <c r="T124" s="78">
        <f t="shared" si="82"/>
        <v>42082.61753608346</v>
      </c>
      <c r="U124" s="78">
        <f t="shared" si="82"/>
        <v>41872.204448403034</v>
      </c>
    </row>
    <row r="125" spans="1:21" x14ac:dyDescent="0.35">
      <c r="A125" s="14" t="s">
        <v>89</v>
      </c>
      <c r="B125" s="14"/>
      <c r="C125" s="79">
        <f t="shared" ref="C125:U125" si="83">SUM(C119:C124)</f>
        <v>0</v>
      </c>
      <c r="D125" s="79">
        <f t="shared" si="83"/>
        <v>0</v>
      </c>
      <c r="E125" s="79">
        <f t="shared" si="83"/>
        <v>0</v>
      </c>
      <c r="F125" s="79">
        <f t="shared" si="83"/>
        <v>0</v>
      </c>
      <c r="G125" s="79">
        <f t="shared" si="83"/>
        <v>0</v>
      </c>
      <c r="H125" s="79">
        <f t="shared" si="83"/>
        <v>0</v>
      </c>
      <c r="I125" s="79">
        <f t="shared" si="83"/>
        <v>0</v>
      </c>
      <c r="J125" s="79">
        <f t="shared" si="83"/>
        <v>0</v>
      </c>
      <c r="K125" s="79">
        <f t="shared" si="83"/>
        <v>0</v>
      </c>
      <c r="L125" s="79">
        <f t="shared" si="83"/>
        <v>0</v>
      </c>
      <c r="M125" s="79">
        <f t="shared" si="83"/>
        <v>0</v>
      </c>
      <c r="N125" s="79">
        <f t="shared" si="83"/>
        <v>0</v>
      </c>
      <c r="O125" s="79">
        <f t="shared" si="83"/>
        <v>284601.00281465106</v>
      </c>
      <c r="P125" s="79">
        <f t="shared" si="83"/>
        <v>456053.93257057777</v>
      </c>
      <c r="Q125" s="79">
        <f t="shared" si="83"/>
        <v>453773.66290772491</v>
      </c>
      <c r="R125" s="79">
        <f t="shared" si="83"/>
        <v>451504.79459318629</v>
      </c>
      <c r="S125" s="79">
        <f t="shared" si="83"/>
        <v>449247.27062022046</v>
      </c>
      <c r="T125" s="79">
        <f t="shared" si="83"/>
        <v>447001.03426711925</v>
      </c>
      <c r="U125" s="79">
        <f t="shared" si="83"/>
        <v>444766.02909578371</v>
      </c>
    </row>
    <row r="127" spans="1:21" ht="15.5" x14ac:dyDescent="0.35">
      <c r="A127" s="77">
        <v>2037</v>
      </c>
      <c r="B127" s="220">
        <v>2024</v>
      </c>
      <c r="C127" s="220">
        <f>C118</f>
        <v>2025</v>
      </c>
      <c r="D127" s="220">
        <f t="shared" ref="D127:U127" si="84">D118</f>
        <v>2026</v>
      </c>
      <c r="E127" s="220">
        <f t="shared" si="84"/>
        <v>2027</v>
      </c>
      <c r="F127" s="220">
        <f t="shared" si="84"/>
        <v>2028</v>
      </c>
      <c r="G127" s="220">
        <f t="shared" si="84"/>
        <v>2029</v>
      </c>
      <c r="H127" s="220">
        <f t="shared" si="84"/>
        <v>2030</v>
      </c>
      <c r="I127" s="220">
        <f t="shared" si="84"/>
        <v>2031</v>
      </c>
      <c r="J127" s="220">
        <f t="shared" si="84"/>
        <v>2032</v>
      </c>
      <c r="K127" s="220">
        <f t="shared" si="84"/>
        <v>2033</v>
      </c>
      <c r="L127" s="220">
        <f t="shared" si="84"/>
        <v>2034</v>
      </c>
      <c r="M127" s="220">
        <f t="shared" si="84"/>
        <v>2035</v>
      </c>
      <c r="N127" s="220">
        <f t="shared" si="84"/>
        <v>2036</v>
      </c>
      <c r="O127" s="220">
        <f t="shared" si="84"/>
        <v>2037</v>
      </c>
      <c r="P127" s="220">
        <f t="shared" si="84"/>
        <v>2038</v>
      </c>
      <c r="Q127" s="220">
        <f t="shared" si="84"/>
        <v>2039</v>
      </c>
      <c r="R127" s="220">
        <f t="shared" si="84"/>
        <v>2040</v>
      </c>
      <c r="S127" s="220">
        <f t="shared" si="84"/>
        <v>2041</v>
      </c>
      <c r="T127" s="220">
        <f t="shared" si="84"/>
        <v>2042</v>
      </c>
      <c r="U127" s="220">
        <f t="shared" si="84"/>
        <v>2043</v>
      </c>
    </row>
    <row r="128" spans="1:21" x14ac:dyDescent="0.35">
      <c r="A128" s="184" t="s">
        <v>129</v>
      </c>
      <c r="B128" s="184"/>
      <c r="C128" s="78"/>
      <c r="D128" s="78"/>
      <c r="E128" s="78"/>
      <c r="F128" s="78"/>
      <c r="G128" s="78"/>
      <c r="H128" s="78"/>
      <c r="I128" s="78"/>
      <c r="J128" s="78"/>
      <c r="K128" s="78"/>
      <c r="L128" s="78"/>
      <c r="M128" s="78"/>
      <c r="N128" s="78"/>
      <c r="O128" s="78"/>
      <c r="P128" s="78">
        <f t="shared" ref="P128:U133" si="85">O119</f>
        <v>81059.366708639995</v>
      </c>
      <c r="Q128" s="78">
        <f t="shared" si="85"/>
        <v>80654.0698750968</v>
      </c>
      <c r="R128" s="78">
        <f t="shared" si="85"/>
        <v>80250.799525721319</v>
      </c>
      <c r="S128" s="78">
        <f t="shared" si="85"/>
        <v>79849.545528092713</v>
      </c>
      <c r="T128" s="78">
        <f t="shared" si="85"/>
        <v>79450.297800452245</v>
      </c>
      <c r="U128" s="78">
        <f t="shared" si="85"/>
        <v>79053.046311449987</v>
      </c>
    </row>
    <row r="129" spans="1:21" x14ac:dyDescent="0.35">
      <c r="A129" s="184" t="s">
        <v>135</v>
      </c>
      <c r="B129" s="184"/>
      <c r="C129" s="78"/>
      <c r="D129" s="78"/>
      <c r="E129" s="78"/>
      <c r="F129" s="78"/>
      <c r="G129" s="78"/>
      <c r="H129" s="78"/>
      <c r="I129" s="78"/>
      <c r="J129" s="78"/>
      <c r="K129" s="78"/>
      <c r="L129" s="78"/>
      <c r="M129" s="78"/>
      <c r="N129" s="78"/>
      <c r="O129" s="78"/>
      <c r="P129" s="78">
        <f t="shared" si="85"/>
        <v>86301.29985067404</v>
      </c>
      <c r="Q129" s="78">
        <f t="shared" si="85"/>
        <v>85869.793351420667</v>
      </c>
      <c r="R129" s="78">
        <f t="shared" si="85"/>
        <v>85440.44438466357</v>
      </c>
      <c r="S129" s="78">
        <f t="shared" si="85"/>
        <v>85013.242162740251</v>
      </c>
      <c r="T129" s="78">
        <f t="shared" si="85"/>
        <v>84588.175951926562</v>
      </c>
      <c r="U129" s="78">
        <f t="shared" si="85"/>
        <v>84165.235072166921</v>
      </c>
    </row>
    <row r="130" spans="1:21" x14ac:dyDescent="0.35">
      <c r="A130" s="184" t="s">
        <v>144</v>
      </c>
      <c r="B130" s="184"/>
      <c r="C130" s="78"/>
      <c r="D130" s="78"/>
      <c r="E130" s="78"/>
      <c r="F130" s="78"/>
      <c r="G130" s="78"/>
      <c r="H130" s="78"/>
      <c r="I130" s="78"/>
      <c r="J130" s="78"/>
      <c r="K130" s="78"/>
      <c r="L130" s="78"/>
      <c r="M130" s="78"/>
      <c r="N130" s="78"/>
      <c r="O130" s="78"/>
      <c r="P130" s="78">
        <f t="shared" si="85"/>
        <v>0</v>
      </c>
      <c r="Q130" s="78">
        <f t="shared" si="85"/>
        <v>148179.37265999999</v>
      </c>
      <c r="R130" s="78">
        <f t="shared" si="85"/>
        <v>147438.47579669999</v>
      </c>
      <c r="S130" s="78">
        <f t="shared" si="85"/>
        <v>146701.28341771651</v>
      </c>
      <c r="T130" s="78">
        <f t="shared" si="85"/>
        <v>145967.77700062792</v>
      </c>
      <c r="U130" s="78">
        <f t="shared" si="85"/>
        <v>145237.93811562477</v>
      </c>
    </row>
    <row r="131" spans="1:21" x14ac:dyDescent="0.35">
      <c r="A131" s="184" t="s">
        <v>149</v>
      </c>
      <c r="B131" s="184"/>
      <c r="C131" s="78"/>
      <c r="D131" s="78"/>
      <c r="E131" s="78"/>
      <c r="F131" s="78"/>
      <c r="G131" s="78"/>
      <c r="H131" s="78"/>
      <c r="I131" s="78"/>
      <c r="J131" s="78"/>
      <c r="K131" s="78"/>
      <c r="L131" s="78"/>
      <c r="M131" s="78"/>
      <c r="N131" s="78"/>
      <c r="O131" s="78"/>
      <c r="P131" s="78">
        <f t="shared" si="85"/>
        <v>74089.686329999997</v>
      </c>
      <c r="Q131" s="78">
        <f t="shared" si="85"/>
        <v>73719.237898349995</v>
      </c>
      <c r="R131" s="78">
        <f t="shared" si="85"/>
        <v>73350.641708858253</v>
      </c>
      <c r="S131" s="78">
        <f t="shared" si="85"/>
        <v>72983.888500313973</v>
      </c>
      <c r="T131" s="78">
        <f t="shared" si="85"/>
        <v>72618.969057812399</v>
      </c>
      <c r="U131" s="78">
        <f t="shared" si="85"/>
        <v>72255.87421252334</v>
      </c>
    </row>
    <row r="132" spans="1:21" x14ac:dyDescent="0.35">
      <c r="A132" s="184" t="s">
        <v>153</v>
      </c>
      <c r="B132" s="184"/>
      <c r="C132" s="78"/>
      <c r="D132" s="78"/>
      <c r="E132" s="78"/>
      <c r="F132" s="78"/>
      <c r="G132" s="78"/>
      <c r="H132" s="78"/>
      <c r="I132" s="78"/>
      <c r="J132" s="78"/>
      <c r="K132" s="78"/>
      <c r="L132" s="78"/>
      <c r="M132" s="78"/>
      <c r="N132" s="78"/>
      <c r="O132" s="78"/>
      <c r="P132" s="78">
        <f t="shared" si="85"/>
        <v>0</v>
      </c>
      <c r="Q132" s="78">
        <f t="shared" si="85"/>
        <v>24696.562110000003</v>
      </c>
      <c r="R132" s="78">
        <f t="shared" si="85"/>
        <v>24573.079299450001</v>
      </c>
      <c r="S132" s="78">
        <f t="shared" si="85"/>
        <v>24450.21390295275</v>
      </c>
      <c r="T132" s="78">
        <f t="shared" si="85"/>
        <v>24327.962833437985</v>
      </c>
      <c r="U132" s="78">
        <f t="shared" si="85"/>
        <v>24206.323019270796</v>
      </c>
    </row>
    <row r="133" spans="1:21" x14ac:dyDescent="0.35">
      <c r="A133" s="12" t="s">
        <v>156</v>
      </c>
      <c r="B133" s="12"/>
      <c r="C133" s="78"/>
      <c r="D133" s="78"/>
      <c r="E133" s="78"/>
      <c r="F133" s="78"/>
      <c r="G133" s="78"/>
      <c r="H133" s="78"/>
      <c r="I133" s="78"/>
      <c r="J133" s="78"/>
      <c r="K133" s="78"/>
      <c r="L133" s="78"/>
      <c r="M133" s="78"/>
      <c r="N133" s="78"/>
      <c r="O133" s="78"/>
      <c r="P133" s="78">
        <f t="shared" si="85"/>
        <v>43150.64992533702</v>
      </c>
      <c r="Q133" s="78">
        <f t="shared" si="85"/>
        <v>42934.896675710334</v>
      </c>
      <c r="R133" s="78">
        <f t="shared" si="85"/>
        <v>42720.222192331785</v>
      </c>
      <c r="S133" s="78">
        <f t="shared" si="85"/>
        <v>42506.621081370125</v>
      </c>
      <c r="T133" s="78">
        <f t="shared" si="85"/>
        <v>42294.087975963281</v>
      </c>
      <c r="U133" s="78">
        <f t="shared" si="85"/>
        <v>42082.61753608346</v>
      </c>
    </row>
    <row r="134" spans="1:21" x14ac:dyDescent="0.35">
      <c r="A134" s="14" t="s">
        <v>89</v>
      </c>
      <c r="B134" s="14"/>
      <c r="C134" s="79">
        <f t="shared" ref="C134:U134" si="86">SUM(C128:C133)</f>
        <v>0</v>
      </c>
      <c r="D134" s="79">
        <f t="shared" si="86"/>
        <v>0</v>
      </c>
      <c r="E134" s="79">
        <f t="shared" si="86"/>
        <v>0</v>
      </c>
      <c r="F134" s="79">
        <f t="shared" si="86"/>
        <v>0</v>
      </c>
      <c r="G134" s="79">
        <f t="shared" si="86"/>
        <v>0</v>
      </c>
      <c r="H134" s="79">
        <f t="shared" si="86"/>
        <v>0</v>
      </c>
      <c r="I134" s="79">
        <f t="shared" si="86"/>
        <v>0</v>
      </c>
      <c r="J134" s="79">
        <f t="shared" si="86"/>
        <v>0</v>
      </c>
      <c r="K134" s="79">
        <f t="shared" si="86"/>
        <v>0</v>
      </c>
      <c r="L134" s="79">
        <f t="shared" si="86"/>
        <v>0</v>
      </c>
      <c r="M134" s="79">
        <f t="shared" si="86"/>
        <v>0</v>
      </c>
      <c r="N134" s="79">
        <f t="shared" si="86"/>
        <v>0</v>
      </c>
      <c r="O134" s="79">
        <f t="shared" si="86"/>
        <v>0</v>
      </c>
      <c r="P134" s="79">
        <f t="shared" si="86"/>
        <v>284601.00281465106</v>
      </c>
      <c r="Q134" s="79">
        <f t="shared" si="86"/>
        <v>456053.93257057777</v>
      </c>
      <c r="R134" s="79">
        <f t="shared" si="86"/>
        <v>453773.66290772491</v>
      </c>
      <c r="S134" s="79">
        <f t="shared" si="86"/>
        <v>451504.79459318629</v>
      </c>
      <c r="T134" s="79">
        <f t="shared" si="86"/>
        <v>449247.27062022046</v>
      </c>
      <c r="U134" s="79">
        <f t="shared" si="86"/>
        <v>447001.03426711925</v>
      </c>
    </row>
    <row r="136" spans="1:21" ht="15.5" x14ac:dyDescent="0.35">
      <c r="A136" s="77">
        <v>2038</v>
      </c>
      <c r="B136" s="220">
        <v>2024</v>
      </c>
      <c r="C136" s="220">
        <f>C127</f>
        <v>2025</v>
      </c>
      <c r="D136" s="220">
        <f t="shared" ref="D136:U136" si="87">D127</f>
        <v>2026</v>
      </c>
      <c r="E136" s="220">
        <f t="shared" si="87"/>
        <v>2027</v>
      </c>
      <c r="F136" s="220">
        <f t="shared" si="87"/>
        <v>2028</v>
      </c>
      <c r="G136" s="220">
        <f t="shared" si="87"/>
        <v>2029</v>
      </c>
      <c r="H136" s="220">
        <f t="shared" si="87"/>
        <v>2030</v>
      </c>
      <c r="I136" s="220">
        <f t="shared" si="87"/>
        <v>2031</v>
      </c>
      <c r="J136" s="220">
        <f t="shared" si="87"/>
        <v>2032</v>
      </c>
      <c r="K136" s="220">
        <f t="shared" si="87"/>
        <v>2033</v>
      </c>
      <c r="L136" s="220">
        <f t="shared" si="87"/>
        <v>2034</v>
      </c>
      <c r="M136" s="220">
        <f t="shared" si="87"/>
        <v>2035</v>
      </c>
      <c r="N136" s="220">
        <f t="shared" si="87"/>
        <v>2036</v>
      </c>
      <c r="O136" s="220">
        <f t="shared" si="87"/>
        <v>2037</v>
      </c>
      <c r="P136" s="220">
        <f t="shared" si="87"/>
        <v>2038</v>
      </c>
      <c r="Q136" s="220">
        <f t="shared" si="87"/>
        <v>2039</v>
      </c>
      <c r="R136" s="220">
        <f t="shared" si="87"/>
        <v>2040</v>
      </c>
      <c r="S136" s="220">
        <f t="shared" si="87"/>
        <v>2041</v>
      </c>
      <c r="T136" s="220">
        <f t="shared" si="87"/>
        <v>2042</v>
      </c>
      <c r="U136" s="220">
        <f t="shared" si="87"/>
        <v>2043</v>
      </c>
    </row>
    <row r="137" spans="1:21" x14ac:dyDescent="0.35">
      <c r="A137" s="184" t="s">
        <v>129</v>
      </c>
      <c r="B137" s="184"/>
      <c r="C137" s="78"/>
      <c r="D137" s="78"/>
      <c r="E137" s="78"/>
      <c r="F137" s="78"/>
      <c r="G137" s="78"/>
      <c r="H137" s="78"/>
      <c r="I137" s="78"/>
      <c r="J137" s="78"/>
      <c r="K137" s="78"/>
      <c r="L137" s="78"/>
      <c r="M137" s="78"/>
      <c r="N137" s="78"/>
      <c r="O137" s="78"/>
      <c r="P137" s="78"/>
      <c r="Q137" s="78">
        <f t="shared" ref="Q137:U142" si="88">P128</f>
        <v>81059.366708639995</v>
      </c>
      <c r="R137" s="78">
        <f t="shared" si="88"/>
        <v>80654.0698750968</v>
      </c>
      <c r="S137" s="78">
        <f t="shared" si="88"/>
        <v>80250.799525721319</v>
      </c>
      <c r="T137" s="78">
        <f t="shared" si="88"/>
        <v>79849.545528092713</v>
      </c>
      <c r="U137" s="78">
        <f t="shared" si="88"/>
        <v>79450.297800452245</v>
      </c>
    </row>
    <row r="138" spans="1:21" x14ac:dyDescent="0.35">
      <c r="A138" s="184" t="s">
        <v>135</v>
      </c>
      <c r="B138" s="184"/>
      <c r="C138" s="78"/>
      <c r="D138" s="78"/>
      <c r="E138" s="78"/>
      <c r="F138" s="78"/>
      <c r="G138" s="78"/>
      <c r="H138" s="78"/>
      <c r="I138" s="78"/>
      <c r="J138" s="78"/>
      <c r="K138" s="78"/>
      <c r="L138" s="78"/>
      <c r="M138" s="78"/>
      <c r="N138" s="78"/>
      <c r="O138" s="78"/>
      <c r="P138" s="78"/>
      <c r="Q138" s="78">
        <f t="shared" si="88"/>
        <v>86301.29985067404</v>
      </c>
      <c r="R138" s="78">
        <f t="shared" si="88"/>
        <v>85869.793351420667</v>
      </c>
      <c r="S138" s="78">
        <f t="shared" si="88"/>
        <v>85440.44438466357</v>
      </c>
      <c r="T138" s="78">
        <f t="shared" si="88"/>
        <v>85013.242162740251</v>
      </c>
      <c r="U138" s="78">
        <f t="shared" si="88"/>
        <v>84588.175951926562</v>
      </c>
    </row>
    <row r="139" spans="1:21" x14ac:dyDescent="0.35">
      <c r="A139" s="184" t="s">
        <v>144</v>
      </c>
      <c r="B139" s="184"/>
      <c r="C139" s="78"/>
      <c r="D139" s="78"/>
      <c r="E139" s="78"/>
      <c r="F139" s="78"/>
      <c r="G139" s="78"/>
      <c r="H139" s="78"/>
      <c r="I139" s="78"/>
      <c r="J139" s="78"/>
      <c r="K139" s="78"/>
      <c r="L139" s="78"/>
      <c r="M139" s="78"/>
      <c r="N139" s="78"/>
      <c r="O139" s="78"/>
      <c r="P139" s="78"/>
      <c r="Q139" s="78">
        <f t="shared" si="88"/>
        <v>0</v>
      </c>
      <c r="R139" s="78">
        <f t="shared" si="88"/>
        <v>148179.37265999999</v>
      </c>
      <c r="S139" s="78">
        <f t="shared" si="88"/>
        <v>147438.47579669999</v>
      </c>
      <c r="T139" s="78">
        <f t="shared" si="88"/>
        <v>146701.28341771651</v>
      </c>
      <c r="U139" s="78">
        <f t="shared" si="88"/>
        <v>145967.77700062792</v>
      </c>
    </row>
    <row r="140" spans="1:21" x14ac:dyDescent="0.35">
      <c r="A140" s="184" t="s">
        <v>149</v>
      </c>
      <c r="B140" s="184"/>
      <c r="C140" s="78"/>
      <c r="D140" s="78"/>
      <c r="E140" s="78"/>
      <c r="F140" s="78"/>
      <c r="G140" s="78"/>
      <c r="H140" s="78"/>
      <c r="I140" s="78"/>
      <c r="J140" s="78"/>
      <c r="K140" s="78"/>
      <c r="L140" s="78"/>
      <c r="M140" s="78"/>
      <c r="N140" s="78"/>
      <c r="O140" s="78"/>
      <c r="P140" s="78"/>
      <c r="Q140" s="78">
        <f t="shared" si="88"/>
        <v>74089.686329999997</v>
      </c>
      <c r="R140" s="78">
        <f t="shared" si="88"/>
        <v>73719.237898349995</v>
      </c>
      <c r="S140" s="78">
        <f t="shared" si="88"/>
        <v>73350.641708858253</v>
      </c>
      <c r="T140" s="78">
        <f t="shared" si="88"/>
        <v>72983.888500313973</v>
      </c>
      <c r="U140" s="78">
        <f t="shared" si="88"/>
        <v>72618.969057812399</v>
      </c>
    </row>
    <row r="141" spans="1:21" x14ac:dyDescent="0.35">
      <c r="A141" s="184" t="s">
        <v>153</v>
      </c>
      <c r="B141" s="184"/>
      <c r="C141" s="78"/>
      <c r="D141" s="78"/>
      <c r="E141" s="78"/>
      <c r="F141" s="78"/>
      <c r="G141" s="78"/>
      <c r="H141" s="78"/>
      <c r="I141" s="78"/>
      <c r="J141" s="78"/>
      <c r="K141" s="78"/>
      <c r="L141" s="78"/>
      <c r="M141" s="78"/>
      <c r="N141" s="78"/>
      <c r="O141" s="78"/>
      <c r="P141" s="78"/>
      <c r="Q141" s="78">
        <f t="shared" si="88"/>
        <v>0</v>
      </c>
      <c r="R141" s="78">
        <f t="shared" si="88"/>
        <v>24696.562110000003</v>
      </c>
      <c r="S141" s="78">
        <f t="shared" si="88"/>
        <v>24573.079299450001</v>
      </c>
      <c r="T141" s="78">
        <f t="shared" si="88"/>
        <v>24450.21390295275</v>
      </c>
      <c r="U141" s="78">
        <f t="shared" si="88"/>
        <v>24327.962833437985</v>
      </c>
    </row>
    <row r="142" spans="1:21" x14ac:dyDescent="0.35">
      <c r="A142" s="12" t="s">
        <v>156</v>
      </c>
      <c r="B142" s="12"/>
      <c r="C142" s="78"/>
      <c r="D142" s="78"/>
      <c r="E142" s="78"/>
      <c r="F142" s="78"/>
      <c r="G142" s="78"/>
      <c r="H142" s="78"/>
      <c r="I142" s="78"/>
      <c r="J142" s="78"/>
      <c r="K142" s="78"/>
      <c r="L142" s="78"/>
      <c r="M142" s="78"/>
      <c r="N142" s="78"/>
      <c r="O142" s="78"/>
      <c r="P142" s="78"/>
      <c r="Q142" s="78">
        <f t="shared" si="88"/>
        <v>43150.64992533702</v>
      </c>
      <c r="R142" s="78">
        <f t="shared" si="88"/>
        <v>42934.896675710334</v>
      </c>
      <c r="S142" s="78">
        <f t="shared" si="88"/>
        <v>42720.222192331785</v>
      </c>
      <c r="T142" s="78">
        <f t="shared" si="88"/>
        <v>42506.621081370125</v>
      </c>
      <c r="U142" s="78">
        <f t="shared" si="88"/>
        <v>42294.087975963281</v>
      </c>
    </row>
    <row r="143" spans="1:21" x14ac:dyDescent="0.35">
      <c r="A143" s="14" t="s">
        <v>89</v>
      </c>
      <c r="B143" s="14"/>
      <c r="C143" s="79">
        <f t="shared" ref="C143:U143" si="89">SUM(C137:C142)</f>
        <v>0</v>
      </c>
      <c r="D143" s="79">
        <f t="shared" si="89"/>
        <v>0</v>
      </c>
      <c r="E143" s="79">
        <f t="shared" si="89"/>
        <v>0</v>
      </c>
      <c r="F143" s="79">
        <f t="shared" si="89"/>
        <v>0</v>
      </c>
      <c r="G143" s="79">
        <f t="shared" si="89"/>
        <v>0</v>
      </c>
      <c r="H143" s="79">
        <f t="shared" si="89"/>
        <v>0</v>
      </c>
      <c r="I143" s="79">
        <f t="shared" si="89"/>
        <v>0</v>
      </c>
      <c r="J143" s="79">
        <f t="shared" si="89"/>
        <v>0</v>
      </c>
      <c r="K143" s="79">
        <f t="shared" si="89"/>
        <v>0</v>
      </c>
      <c r="L143" s="79">
        <f t="shared" si="89"/>
        <v>0</v>
      </c>
      <c r="M143" s="79">
        <f t="shared" si="89"/>
        <v>0</v>
      </c>
      <c r="N143" s="79">
        <f t="shared" si="89"/>
        <v>0</v>
      </c>
      <c r="O143" s="79">
        <f t="shared" si="89"/>
        <v>0</v>
      </c>
      <c r="P143" s="79">
        <f t="shared" si="89"/>
        <v>0</v>
      </c>
      <c r="Q143" s="79">
        <f t="shared" si="89"/>
        <v>284601.00281465106</v>
      </c>
      <c r="R143" s="79">
        <f t="shared" si="89"/>
        <v>456053.93257057777</v>
      </c>
      <c r="S143" s="79">
        <f t="shared" si="89"/>
        <v>453773.66290772491</v>
      </c>
      <c r="T143" s="79">
        <f t="shared" si="89"/>
        <v>451504.79459318629</v>
      </c>
      <c r="U143" s="79">
        <f t="shared" si="89"/>
        <v>449247.27062022046</v>
      </c>
    </row>
    <row r="145" spans="1:21" ht="15.5" x14ac:dyDescent="0.35">
      <c r="A145" s="77">
        <v>2039</v>
      </c>
      <c r="B145" s="220">
        <v>2024</v>
      </c>
      <c r="C145" s="220">
        <f>C136</f>
        <v>2025</v>
      </c>
      <c r="D145" s="220">
        <f t="shared" ref="D145:U145" si="90">D136</f>
        <v>2026</v>
      </c>
      <c r="E145" s="220">
        <f t="shared" si="90"/>
        <v>2027</v>
      </c>
      <c r="F145" s="220">
        <f t="shared" si="90"/>
        <v>2028</v>
      </c>
      <c r="G145" s="220">
        <f t="shared" si="90"/>
        <v>2029</v>
      </c>
      <c r="H145" s="220">
        <f t="shared" si="90"/>
        <v>2030</v>
      </c>
      <c r="I145" s="220">
        <f t="shared" si="90"/>
        <v>2031</v>
      </c>
      <c r="J145" s="220">
        <f t="shared" si="90"/>
        <v>2032</v>
      </c>
      <c r="K145" s="220">
        <f t="shared" si="90"/>
        <v>2033</v>
      </c>
      <c r="L145" s="220">
        <f t="shared" si="90"/>
        <v>2034</v>
      </c>
      <c r="M145" s="220">
        <f t="shared" si="90"/>
        <v>2035</v>
      </c>
      <c r="N145" s="220">
        <f t="shared" si="90"/>
        <v>2036</v>
      </c>
      <c r="O145" s="220">
        <f t="shared" si="90"/>
        <v>2037</v>
      </c>
      <c r="P145" s="220">
        <f t="shared" si="90"/>
        <v>2038</v>
      </c>
      <c r="Q145" s="220">
        <f t="shared" si="90"/>
        <v>2039</v>
      </c>
      <c r="R145" s="220">
        <f t="shared" si="90"/>
        <v>2040</v>
      </c>
      <c r="S145" s="220">
        <f t="shared" si="90"/>
        <v>2041</v>
      </c>
      <c r="T145" s="220">
        <f t="shared" si="90"/>
        <v>2042</v>
      </c>
      <c r="U145" s="220">
        <f t="shared" si="90"/>
        <v>2043</v>
      </c>
    </row>
    <row r="146" spans="1:21" x14ac:dyDescent="0.35">
      <c r="A146" s="184" t="s">
        <v>129</v>
      </c>
      <c r="B146" s="184"/>
      <c r="C146" s="78"/>
      <c r="D146" s="78"/>
      <c r="E146" s="78"/>
      <c r="F146" s="78"/>
      <c r="G146" s="78"/>
      <c r="H146" s="78"/>
      <c r="I146" s="78"/>
      <c r="J146" s="78"/>
      <c r="K146" s="78"/>
      <c r="L146" s="78"/>
      <c r="M146" s="78"/>
      <c r="N146" s="78"/>
      <c r="O146" s="78"/>
      <c r="P146" s="78"/>
      <c r="Q146" s="78"/>
      <c r="R146" s="78">
        <f t="shared" ref="R146:U151" si="91">Q137</f>
        <v>81059.366708639995</v>
      </c>
      <c r="S146" s="78">
        <f t="shared" si="91"/>
        <v>80654.0698750968</v>
      </c>
      <c r="T146" s="78">
        <f t="shared" si="91"/>
        <v>80250.799525721319</v>
      </c>
      <c r="U146" s="78">
        <f t="shared" si="91"/>
        <v>79849.545528092713</v>
      </c>
    </row>
    <row r="147" spans="1:21" x14ac:dyDescent="0.35">
      <c r="A147" s="184" t="s">
        <v>135</v>
      </c>
      <c r="B147" s="184"/>
      <c r="C147" s="78"/>
      <c r="D147" s="78"/>
      <c r="E147" s="78"/>
      <c r="F147" s="78"/>
      <c r="G147" s="78"/>
      <c r="H147" s="78"/>
      <c r="I147" s="78"/>
      <c r="J147" s="78"/>
      <c r="K147" s="78"/>
      <c r="L147" s="78"/>
      <c r="M147" s="78"/>
      <c r="N147" s="78"/>
      <c r="O147" s="78"/>
      <c r="P147" s="78"/>
      <c r="Q147" s="78"/>
      <c r="R147" s="78">
        <f t="shared" si="91"/>
        <v>86301.29985067404</v>
      </c>
      <c r="S147" s="78">
        <f t="shared" si="91"/>
        <v>85869.793351420667</v>
      </c>
      <c r="T147" s="78">
        <f t="shared" si="91"/>
        <v>85440.44438466357</v>
      </c>
      <c r="U147" s="78">
        <f t="shared" si="91"/>
        <v>85013.242162740251</v>
      </c>
    </row>
    <row r="148" spans="1:21" x14ac:dyDescent="0.35">
      <c r="A148" s="184" t="s">
        <v>144</v>
      </c>
      <c r="B148" s="184"/>
      <c r="C148" s="78"/>
      <c r="D148" s="78"/>
      <c r="E148" s="78"/>
      <c r="F148" s="78"/>
      <c r="G148" s="78"/>
      <c r="H148" s="78"/>
      <c r="I148" s="78"/>
      <c r="J148" s="78"/>
      <c r="K148" s="78"/>
      <c r="L148" s="78"/>
      <c r="M148" s="78"/>
      <c r="N148" s="78"/>
      <c r="O148" s="78"/>
      <c r="P148" s="78"/>
      <c r="Q148" s="78"/>
      <c r="R148" s="78">
        <f t="shared" si="91"/>
        <v>0</v>
      </c>
      <c r="S148" s="78">
        <f t="shared" si="91"/>
        <v>148179.37265999999</v>
      </c>
      <c r="T148" s="78">
        <f t="shared" si="91"/>
        <v>147438.47579669999</v>
      </c>
      <c r="U148" s="78">
        <f t="shared" si="91"/>
        <v>146701.28341771651</v>
      </c>
    </row>
    <row r="149" spans="1:21" x14ac:dyDescent="0.35">
      <c r="A149" s="184" t="s">
        <v>149</v>
      </c>
      <c r="B149" s="184"/>
      <c r="C149" s="78"/>
      <c r="D149" s="78"/>
      <c r="E149" s="78"/>
      <c r="F149" s="78"/>
      <c r="G149" s="78"/>
      <c r="H149" s="78"/>
      <c r="I149" s="78"/>
      <c r="J149" s="78"/>
      <c r="K149" s="78"/>
      <c r="L149" s="78"/>
      <c r="M149" s="78"/>
      <c r="N149" s="78"/>
      <c r="O149" s="78"/>
      <c r="P149" s="78"/>
      <c r="Q149" s="78"/>
      <c r="R149" s="78">
        <f t="shared" si="91"/>
        <v>74089.686329999997</v>
      </c>
      <c r="S149" s="78">
        <f t="shared" si="91"/>
        <v>73719.237898349995</v>
      </c>
      <c r="T149" s="78">
        <f t="shared" si="91"/>
        <v>73350.641708858253</v>
      </c>
      <c r="U149" s="78">
        <f t="shared" si="91"/>
        <v>72983.888500313973</v>
      </c>
    </row>
    <row r="150" spans="1:21" x14ac:dyDescent="0.35">
      <c r="A150" s="184" t="s">
        <v>153</v>
      </c>
      <c r="B150" s="184"/>
      <c r="C150" s="78"/>
      <c r="D150" s="78"/>
      <c r="E150" s="78"/>
      <c r="F150" s="78"/>
      <c r="G150" s="78"/>
      <c r="H150" s="78"/>
      <c r="I150" s="78"/>
      <c r="J150" s="78"/>
      <c r="K150" s="78"/>
      <c r="L150" s="78"/>
      <c r="M150" s="78"/>
      <c r="N150" s="78"/>
      <c r="O150" s="78"/>
      <c r="P150" s="78"/>
      <c r="Q150" s="78"/>
      <c r="R150" s="78">
        <f t="shared" si="91"/>
        <v>0</v>
      </c>
      <c r="S150" s="78">
        <f t="shared" si="91"/>
        <v>24696.562110000003</v>
      </c>
      <c r="T150" s="78">
        <f t="shared" si="91"/>
        <v>24573.079299450001</v>
      </c>
      <c r="U150" s="78">
        <f t="shared" si="91"/>
        <v>24450.21390295275</v>
      </c>
    </row>
    <row r="151" spans="1:21" x14ac:dyDescent="0.35">
      <c r="A151" s="12" t="s">
        <v>156</v>
      </c>
      <c r="B151" s="12"/>
      <c r="C151" s="78"/>
      <c r="D151" s="78"/>
      <c r="E151" s="78"/>
      <c r="F151" s="78"/>
      <c r="G151" s="78"/>
      <c r="H151" s="78"/>
      <c r="I151" s="78"/>
      <c r="J151" s="78"/>
      <c r="K151" s="78"/>
      <c r="L151" s="78"/>
      <c r="M151" s="78"/>
      <c r="N151" s="78"/>
      <c r="O151" s="78"/>
      <c r="P151" s="78"/>
      <c r="Q151" s="78"/>
      <c r="R151" s="78">
        <f t="shared" si="91"/>
        <v>43150.64992533702</v>
      </c>
      <c r="S151" s="78">
        <f t="shared" si="91"/>
        <v>42934.896675710334</v>
      </c>
      <c r="T151" s="78">
        <f t="shared" si="91"/>
        <v>42720.222192331785</v>
      </c>
      <c r="U151" s="78">
        <f t="shared" si="91"/>
        <v>42506.621081370125</v>
      </c>
    </row>
    <row r="152" spans="1:21" x14ac:dyDescent="0.35">
      <c r="A152" s="14" t="s">
        <v>89</v>
      </c>
      <c r="B152" s="14"/>
      <c r="C152" s="79">
        <f t="shared" ref="C152:U152" si="92">SUM(C146:C151)</f>
        <v>0</v>
      </c>
      <c r="D152" s="79">
        <f t="shared" si="92"/>
        <v>0</v>
      </c>
      <c r="E152" s="79">
        <f t="shared" si="92"/>
        <v>0</v>
      </c>
      <c r="F152" s="79">
        <f t="shared" si="92"/>
        <v>0</v>
      </c>
      <c r="G152" s="79">
        <f t="shared" si="92"/>
        <v>0</v>
      </c>
      <c r="H152" s="79">
        <f t="shared" si="92"/>
        <v>0</v>
      </c>
      <c r="I152" s="79">
        <f t="shared" si="92"/>
        <v>0</v>
      </c>
      <c r="J152" s="79">
        <f t="shared" si="92"/>
        <v>0</v>
      </c>
      <c r="K152" s="79">
        <f t="shared" si="92"/>
        <v>0</v>
      </c>
      <c r="L152" s="79">
        <f t="shared" si="92"/>
        <v>0</v>
      </c>
      <c r="M152" s="79">
        <f t="shared" si="92"/>
        <v>0</v>
      </c>
      <c r="N152" s="79">
        <f t="shared" si="92"/>
        <v>0</v>
      </c>
      <c r="O152" s="79">
        <f t="shared" si="92"/>
        <v>0</v>
      </c>
      <c r="P152" s="79">
        <f t="shared" si="92"/>
        <v>0</v>
      </c>
      <c r="Q152" s="79">
        <f t="shared" si="92"/>
        <v>0</v>
      </c>
      <c r="R152" s="79">
        <f t="shared" si="92"/>
        <v>284601.00281465106</v>
      </c>
      <c r="S152" s="79">
        <f t="shared" si="92"/>
        <v>456053.93257057777</v>
      </c>
      <c r="T152" s="79">
        <f t="shared" si="92"/>
        <v>453773.66290772491</v>
      </c>
      <c r="U152" s="79">
        <f t="shared" si="92"/>
        <v>451504.79459318629</v>
      </c>
    </row>
    <row r="154" spans="1:21" ht="15.5" x14ac:dyDescent="0.35">
      <c r="A154" s="77">
        <v>2040</v>
      </c>
      <c r="B154" s="220">
        <v>2024</v>
      </c>
      <c r="C154" s="220">
        <f>C145</f>
        <v>2025</v>
      </c>
      <c r="D154" s="220">
        <f t="shared" ref="D154:U154" si="93">D145</f>
        <v>2026</v>
      </c>
      <c r="E154" s="220">
        <f t="shared" si="93"/>
        <v>2027</v>
      </c>
      <c r="F154" s="220">
        <f t="shared" si="93"/>
        <v>2028</v>
      </c>
      <c r="G154" s="220">
        <f t="shared" si="93"/>
        <v>2029</v>
      </c>
      <c r="H154" s="220">
        <f t="shared" si="93"/>
        <v>2030</v>
      </c>
      <c r="I154" s="220">
        <f t="shared" si="93"/>
        <v>2031</v>
      </c>
      <c r="J154" s="220">
        <f t="shared" si="93"/>
        <v>2032</v>
      </c>
      <c r="K154" s="220">
        <f t="shared" si="93"/>
        <v>2033</v>
      </c>
      <c r="L154" s="220">
        <f t="shared" si="93"/>
        <v>2034</v>
      </c>
      <c r="M154" s="220">
        <f t="shared" si="93"/>
        <v>2035</v>
      </c>
      <c r="N154" s="220">
        <f t="shared" si="93"/>
        <v>2036</v>
      </c>
      <c r="O154" s="220">
        <f t="shared" si="93"/>
        <v>2037</v>
      </c>
      <c r="P154" s="220">
        <f t="shared" si="93"/>
        <v>2038</v>
      </c>
      <c r="Q154" s="220">
        <f t="shared" si="93"/>
        <v>2039</v>
      </c>
      <c r="R154" s="220">
        <f t="shared" si="93"/>
        <v>2040</v>
      </c>
      <c r="S154" s="220">
        <f t="shared" si="93"/>
        <v>2041</v>
      </c>
      <c r="T154" s="220">
        <f t="shared" si="93"/>
        <v>2042</v>
      </c>
      <c r="U154" s="220">
        <f t="shared" si="93"/>
        <v>2043</v>
      </c>
    </row>
    <row r="155" spans="1:21" x14ac:dyDescent="0.35">
      <c r="A155" s="184" t="s">
        <v>129</v>
      </c>
      <c r="B155" s="184"/>
      <c r="C155" s="78"/>
      <c r="D155" s="78"/>
      <c r="E155" s="78"/>
      <c r="F155" s="78"/>
      <c r="G155" s="78"/>
      <c r="H155" s="78"/>
      <c r="I155" s="78"/>
      <c r="J155" s="78"/>
      <c r="K155" s="78"/>
      <c r="L155" s="78"/>
      <c r="M155" s="78"/>
      <c r="N155" s="78"/>
      <c r="O155" s="78"/>
      <c r="P155" s="78"/>
      <c r="Q155" s="78"/>
      <c r="R155" s="78"/>
      <c r="S155" s="78">
        <f t="shared" ref="S155:U160" si="94">R146</f>
        <v>81059.366708639995</v>
      </c>
      <c r="T155" s="78">
        <f t="shared" si="94"/>
        <v>80654.0698750968</v>
      </c>
      <c r="U155" s="78">
        <f t="shared" si="94"/>
        <v>80250.799525721319</v>
      </c>
    </row>
    <row r="156" spans="1:21" x14ac:dyDescent="0.35">
      <c r="A156" s="184" t="s">
        <v>135</v>
      </c>
      <c r="B156" s="184"/>
      <c r="C156" s="78"/>
      <c r="D156" s="78"/>
      <c r="E156" s="78"/>
      <c r="F156" s="78"/>
      <c r="G156" s="78"/>
      <c r="H156" s="78"/>
      <c r="I156" s="78"/>
      <c r="J156" s="78"/>
      <c r="K156" s="78"/>
      <c r="L156" s="78"/>
      <c r="M156" s="78"/>
      <c r="N156" s="78"/>
      <c r="O156" s="78"/>
      <c r="P156" s="78"/>
      <c r="Q156" s="78"/>
      <c r="R156" s="78"/>
      <c r="S156" s="78">
        <f t="shared" si="94"/>
        <v>86301.29985067404</v>
      </c>
      <c r="T156" s="78">
        <f t="shared" si="94"/>
        <v>85869.793351420667</v>
      </c>
      <c r="U156" s="78">
        <f t="shared" si="94"/>
        <v>85440.44438466357</v>
      </c>
    </row>
    <row r="157" spans="1:21" x14ac:dyDescent="0.35">
      <c r="A157" s="184" t="s">
        <v>144</v>
      </c>
      <c r="B157" s="184"/>
      <c r="C157" s="78"/>
      <c r="D157" s="78"/>
      <c r="E157" s="78"/>
      <c r="F157" s="78"/>
      <c r="G157" s="78"/>
      <c r="H157" s="78"/>
      <c r="I157" s="78"/>
      <c r="J157" s="78"/>
      <c r="K157" s="78"/>
      <c r="L157" s="78"/>
      <c r="M157" s="78"/>
      <c r="N157" s="78"/>
      <c r="O157" s="78"/>
      <c r="P157" s="78"/>
      <c r="Q157" s="78"/>
      <c r="R157" s="78"/>
      <c r="S157" s="78">
        <f t="shared" si="94"/>
        <v>0</v>
      </c>
      <c r="T157" s="78">
        <f t="shared" si="94"/>
        <v>148179.37265999999</v>
      </c>
      <c r="U157" s="78">
        <f t="shared" si="94"/>
        <v>147438.47579669999</v>
      </c>
    </row>
    <row r="158" spans="1:21" x14ac:dyDescent="0.35">
      <c r="A158" s="184" t="s">
        <v>149</v>
      </c>
      <c r="B158" s="184"/>
      <c r="C158" s="78"/>
      <c r="D158" s="78"/>
      <c r="E158" s="78"/>
      <c r="F158" s="78"/>
      <c r="G158" s="78"/>
      <c r="H158" s="78"/>
      <c r="I158" s="78"/>
      <c r="J158" s="78"/>
      <c r="K158" s="78"/>
      <c r="L158" s="78"/>
      <c r="M158" s="78"/>
      <c r="N158" s="78"/>
      <c r="O158" s="78"/>
      <c r="P158" s="78"/>
      <c r="Q158" s="78"/>
      <c r="R158" s="78"/>
      <c r="S158" s="78">
        <f t="shared" si="94"/>
        <v>74089.686329999997</v>
      </c>
      <c r="T158" s="78">
        <f t="shared" si="94"/>
        <v>73719.237898349995</v>
      </c>
      <c r="U158" s="78">
        <f t="shared" si="94"/>
        <v>73350.641708858253</v>
      </c>
    </row>
    <row r="159" spans="1:21" x14ac:dyDescent="0.35">
      <c r="A159" s="184" t="s">
        <v>153</v>
      </c>
      <c r="B159" s="184"/>
      <c r="C159" s="78"/>
      <c r="D159" s="78"/>
      <c r="E159" s="78"/>
      <c r="F159" s="78"/>
      <c r="G159" s="78"/>
      <c r="H159" s="78"/>
      <c r="I159" s="78"/>
      <c r="J159" s="78"/>
      <c r="K159" s="78"/>
      <c r="L159" s="78"/>
      <c r="M159" s="78"/>
      <c r="N159" s="78"/>
      <c r="O159" s="78"/>
      <c r="P159" s="78"/>
      <c r="Q159" s="78"/>
      <c r="R159" s="78"/>
      <c r="S159" s="78">
        <f t="shared" si="94"/>
        <v>0</v>
      </c>
      <c r="T159" s="78">
        <f t="shared" si="94"/>
        <v>24696.562110000003</v>
      </c>
      <c r="U159" s="78">
        <f t="shared" si="94"/>
        <v>24573.079299450001</v>
      </c>
    </row>
    <row r="160" spans="1:21" x14ac:dyDescent="0.35">
      <c r="A160" s="12" t="s">
        <v>156</v>
      </c>
      <c r="B160" s="12"/>
      <c r="C160" s="78"/>
      <c r="D160" s="78"/>
      <c r="E160" s="78"/>
      <c r="F160" s="78"/>
      <c r="G160" s="78"/>
      <c r="H160" s="78"/>
      <c r="I160" s="78"/>
      <c r="J160" s="78"/>
      <c r="K160" s="78"/>
      <c r="L160" s="78"/>
      <c r="M160" s="78"/>
      <c r="N160" s="78"/>
      <c r="O160" s="78"/>
      <c r="P160" s="78"/>
      <c r="Q160" s="78"/>
      <c r="R160" s="78"/>
      <c r="S160" s="78">
        <f t="shared" si="94"/>
        <v>43150.64992533702</v>
      </c>
      <c r="T160" s="78">
        <f t="shared" si="94"/>
        <v>42934.896675710334</v>
      </c>
      <c r="U160" s="78">
        <f t="shared" si="94"/>
        <v>42720.222192331785</v>
      </c>
    </row>
    <row r="161" spans="1:21" x14ac:dyDescent="0.35">
      <c r="A161" s="14" t="s">
        <v>89</v>
      </c>
      <c r="B161" s="14"/>
      <c r="C161" s="79">
        <f t="shared" ref="C161:U161" si="95">SUM(C155:C160)</f>
        <v>0</v>
      </c>
      <c r="D161" s="79">
        <f t="shared" si="95"/>
        <v>0</v>
      </c>
      <c r="E161" s="79">
        <f t="shared" si="95"/>
        <v>0</v>
      </c>
      <c r="F161" s="79">
        <f t="shared" si="95"/>
        <v>0</v>
      </c>
      <c r="G161" s="79">
        <f t="shared" si="95"/>
        <v>0</v>
      </c>
      <c r="H161" s="79">
        <f t="shared" si="95"/>
        <v>0</v>
      </c>
      <c r="I161" s="79">
        <f t="shared" si="95"/>
        <v>0</v>
      </c>
      <c r="J161" s="79">
        <f t="shared" si="95"/>
        <v>0</v>
      </c>
      <c r="K161" s="79">
        <f t="shared" si="95"/>
        <v>0</v>
      </c>
      <c r="L161" s="79">
        <f t="shared" si="95"/>
        <v>0</v>
      </c>
      <c r="M161" s="79">
        <f t="shared" si="95"/>
        <v>0</v>
      </c>
      <c r="N161" s="79">
        <f t="shared" si="95"/>
        <v>0</v>
      </c>
      <c r="O161" s="79">
        <f t="shared" si="95"/>
        <v>0</v>
      </c>
      <c r="P161" s="79">
        <f t="shared" si="95"/>
        <v>0</v>
      </c>
      <c r="Q161" s="79">
        <f t="shared" si="95"/>
        <v>0</v>
      </c>
      <c r="R161" s="79">
        <f t="shared" si="95"/>
        <v>0</v>
      </c>
      <c r="S161" s="79">
        <f t="shared" si="95"/>
        <v>284601.00281465106</v>
      </c>
      <c r="T161" s="79">
        <f t="shared" si="95"/>
        <v>456053.93257057777</v>
      </c>
      <c r="U161" s="79">
        <f t="shared" si="95"/>
        <v>453773.66290772491</v>
      </c>
    </row>
    <row r="163" spans="1:21" ht="15.5" x14ac:dyDescent="0.35">
      <c r="A163" s="177" t="s">
        <v>173</v>
      </c>
      <c r="B163" s="177">
        <v>2024</v>
      </c>
      <c r="C163" s="220">
        <f>C154</f>
        <v>2025</v>
      </c>
      <c r="D163" s="220">
        <f t="shared" ref="D163:U163" si="96">D154</f>
        <v>2026</v>
      </c>
      <c r="E163" s="220">
        <f t="shared" si="96"/>
        <v>2027</v>
      </c>
      <c r="F163" s="220">
        <f t="shared" si="96"/>
        <v>2028</v>
      </c>
      <c r="G163" s="220">
        <f t="shared" si="96"/>
        <v>2029</v>
      </c>
      <c r="H163" s="220">
        <f t="shared" si="96"/>
        <v>2030</v>
      </c>
      <c r="I163" s="220">
        <f t="shared" si="96"/>
        <v>2031</v>
      </c>
      <c r="J163" s="220">
        <f t="shared" si="96"/>
        <v>2032</v>
      </c>
      <c r="K163" s="220">
        <f t="shared" si="96"/>
        <v>2033</v>
      </c>
      <c r="L163" s="220">
        <f t="shared" si="96"/>
        <v>2034</v>
      </c>
      <c r="M163" s="220">
        <f t="shared" si="96"/>
        <v>2035</v>
      </c>
      <c r="N163" s="220">
        <f t="shared" si="96"/>
        <v>2036</v>
      </c>
      <c r="O163" s="220">
        <f t="shared" si="96"/>
        <v>2037</v>
      </c>
      <c r="P163" s="220">
        <f t="shared" si="96"/>
        <v>2038</v>
      </c>
      <c r="Q163" s="220">
        <f t="shared" si="96"/>
        <v>2039</v>
      </c>
      <c r="R163" s="220">
        <f t="shared" si="96"/>
        <v>2040</v>
      </c>
      <c r="S163" s="220">
        <f t="shared" si="96"/>
        <v>2041</v>
      </c>
      <c r="T163" s="220">
        <f t="shared" si="96"/>
        <v>2042</v>
      </c>
      <c r="U163" s="220">
        <f t="shared" si="96"/>
        <v>2043</v>
      </c>
    </row>
    <row r="164" spans="1:21" x14ac:dyDescent="0.35">
      <c r="A164" s="184" t="s">
        <v>129</v>
      </c>
      <c r="B164" s="13">
        <f>SUMIFS(B2:B161, $A$2:$A$161, $A$164)</f>
        <v>0</v>
      </c>
      <c r="C164" s="13">
        <f>SUMIFS(C2:C161, $A$2:$A$161, $A$164)</f>
        <v>145906.86007555202</v>
      </c>
      <c r="D164" s="13">
        <f>SUMIFS(D2:D161, $A$2:$A$161, $A$164)</f>
        <v>291084.18585072627</v>
      </c>
      <c r="E164" s="13">
        <f t="shared" ref="E164:U164" si="97">SUMIFS(E2:E161, $A$2:$A$161, $A$164)</f>
        <v>435535.62499702466</v>
      </c>
      <c r="F164" s="13">
        <f t="shared" si="97"/>
        <v>579264.80694759148</v>
      </c>
      <c r="G164" s="13">
        <f t="shared" si="97"/>
        <v>722275.34298840561</v>
      </c>
      <c r="H164" s="13">
        <f t="shared" si="97"/>
        <v>864570.82634901558</v>
      </c>
      <c r="I164" s="13">
        <f t="shared" si="97"/>
        <v>1022366.7056345504</v>
      </c>
      <c r="J164" s="13">
        <f t="shared" si="97"/>
        <v>1179373.6055236578</v>
      </c>
      <c r="K164" s="13">
        <f t="shared" si="97"/>
        <v>1335595.4709133194</v>
      </c>
      <c r="L164" s="13">
        <f t="shared" si="97"/>
        <v>1409976.8602673928</v>
      </c>
      <c r="M164" s="13">
        <f t="shared" si="97"/>
        <v>1483986.3426746961</v>
      </c>
      <c r="N164" s="13">
        <f t="shared" si="97"/>
        <v>1557625.7776699623</v>
      </c>
      <c r="O164" s="13">
        <f t="shared" si="97"/>
        <v>1630897.0154902525</v>
      </c>
      <c r="P164" s="13">
        <f t="shared" si="97"/>
        <v>1703801.8971214411</v>
      </c>
      <c r="Q164" s="13">
        <f t="shared" si="97"/>
        <v>1776342.2543444741</v>
      </c>
      <c r="R164" s="13">
        <f t="shared" si="97"/>
        <v>1713181.2340375918</v>
      </c>
      <c r="S164" s="13">
        <f t="shared" si="97"/>
        <v>1650336.018832244</v>
      </c>
      <c r="T164" s="13">
        <f t="shared" si="97"/>
        <v>1506745.662994283</v>
      </c>
      <c r="U164" s="13">
        <f t="shared" si="97"/>
        <v>1363873.2589355118</v>
      </c>
    </row>
    <row r="165" spans="1:21" x14ac:dyDescent="0.35">
      <c r="A165" s="184" t="s">
        <v>135</v>
      </c>
      <c r="B165" s="13">
        <f>SUMIFS(B2:B161, $A$2:$A$161, $A$165)</f>
        <v>101155.41433727674</v>
      </c>
      <c r="C165" s="13">
        <f t="shared" ref="C165:U165" si="98">SUMIFS(C2:C161, $A$2:$A$161, $A$165)</f>
        <v>255991.97699680366</v>
      </c>
      <c r="D165" s="13">
        <f t="shared" si="98"/>
        <v>410054.35684303287</v>
      </c>
      <c r="E165" s="13">
        <f t="shared" si="98"/>
        <v>563346.42479003104</v>
      </c>
      <c r="F165" s="13">
        <f t="shared" si="98"/>
        <v>715872.03239729407</v>
      </c>
      <c r="G165" s="13">
        <f t="shared" si="98"/>
        <v>867635.01196652092</v>
      </c>
      <c r="H165" s="13">
        <f t="shared" si="98"/>
        <v>1018639.1766379017</v>
      </c>
      <c r="I165" s="13">
        <f t="shared" si="98"/>
        <v>1186148.5804560601</v>
      </c>
      <c r="J165" s="13">
        <f t="shared" si="98"/>
        <v>1352820.4372551281</v>
      </c>
      <c r="K165" s="13">
        <f t="shared" si="98"/>
        <v>1518658.9347702004</v>
      </c>
      <c r="L165" s="13">
        <f t="shared" si="98"/>
        <v>1597366.9399470235</v>
      </c>
      <c r="M165" s="13">
        <f t="shared" si="98"/>
        <v>1675681.4050979624</v>
      </c>
      <c r="N165" s="13">
        <f t="shared" si="98"/>
        <v>1753604.2979231465</v>
      </c>
      <c r="O165" s="13">
        <f t="shared" si="98"/>
        <v>1831137.5762842051</v>
      </c>
      <c r="P165" s="13">
        <f t="shared" si="98"/>
        <v>1908283.1882534579</v>
      </c>
      <c r="Q165" s="13">
        <f t="shared" si="98"/>
        <v>1891214.4487956462</v>
      </c>
      <c r="R165" s="13">
        <f t="shared" si="98"/>
        <v>1823968.9425240343</v>
      </c>
      <c r="S165" s="13">
        <f t="shared" si="98"/>
        <v>1757059.6637837801</v>
      </c>
      <c r="T165" s="13">
        <f t="shared" si="98"/>
        <v>1604183.6315865531</v>
      </c>
      <c r="U165" s="13">
        <f t="shared" si="98"/>
        <v>1452071.9795503127</v>
      </c>
    </row>
    <row r="166" spans="1:21" x14ac:dyDescent="0.35">
      <c r="A166" s="184" t="s">
        <v>144</v>
      </c>
      <c r="B166" s="13">
        <f>SUMIFS(B2:B161, $A$2:$A$161, $A$166)</f>
        <v>0</v>
      </c>
      <c r="C166" s="13">
        <f t="shared" ref="C166:U166" si="99">SUMIFS(C2:C161, $A$2:$A$161, $A$166)</f>
        <v>0</v>
      </c>
      <c r="D166" s="13">
        <f t="shared" si="99"/>
        <v>266722.870788</v>
      </c>
      <c r="E166" s="13">
        <f t="shared" si="99"/>
        <v>532112.12722205999</v>
      </c>
      <c r="F166" s="13">
        <f t="shared" si="99"/>
        <v>796174.43737394968</v>
      </c>
      <c r="G166" s="13">
        <f t="shared" si="99"/>
        <v>1058916.4359750799</v>
      </c>
      <c r="H166" s="13">
        <f t="shared" si="99"/>
        <v>1320344.7245832046</v>
      </c>
      <c r="I166" s="13">
        <f t="shared" si="99"/>
        <v>1580465.8717482886</v>
      </c>
      <c r="J166" s="13">
        <f t="shared" si="99"/>
        <v>1868922.287709547</v>
      </c>
      <c r="K166" s="13">
        <f t="shared" si="99"/>
        <v>2155936.4215909997</v>
      </c>
      <c r="L166" s="13">
        <f t="shared" si="99"/>
        <v>2441515.4848030442</v>
      </c>
      <c r="M166" s="13">
        <f t="shared" si="99"/>
        <v>2577487.2800390292</v>
      </c>
      <c r="N166" s="13">
        <f t="shared" si="99"/>
        <v>2712779.216298834</v>
      </c>
      <c r="O166" s="13">
        <f t="shared" si="99"/>
        <v>2847394.6928773397</v>
      </c>
      <c r="P166" s="13">
        <f t="shared" si="99"/>
        <v>2981337.0920729525</v>
      </c>
      <c r="Q166" s="13">
        <f t="shared" si="99"/>
        <v>3114609.779272588</v>
      </c>
      <c r="R166" s="13">
        <f t="shared" si="99"/>
        <v>3247216.1030362248</v>
      </c>
      <c r="S166" s="13">
        <f t="shared" si="99"/>
        <v>3379159.3951810435</v>
      </c>
      <c r="T166" s="13">
        <f t="shared" si="99"/>
        <v>3510442.9708651383</v>
      </c>
      <c r="U166" s="13">
        <f t="shared" si="99"/>
        <v>3492890.7560108132</v>
      </c>
    </row>
    <row r="167" spans="1:21" x14ac:dyDescent="0.35">
      <c r="A167" s="184" t="s">
        <v>149</v>
      </c>
      <c r="B167" s="13">
        <f>SUMIFS(B2:B161, $A$2:$A$161, $A$167)</f>
        <v>357892.72480000003</v>
      </c>
      <c r="C167" s="13">
        <f t="shared" ref="C167:U167" si="100">SUMIFS(C2:C161, $A$2:$A$161, $A$167)</f>
        <v>484525.38414799998</v>
      </c>
      <c r="D167" s="13">
        <f t="shared" si="100"/>
        <v>610524.88019926008</v>
      </c>
      <c r="E167" s="13">
        <f t="shared" si="100"/>
        <v>735894.37877026363</v>
      </c>
      <c r="F167" s="13">
        <f t="shared" si="100"/>
        <v>860637.02984841238</v>
      </c>
      <c r="G167" s="13">
        <f t="shared" si="100"/>
        <v>984755.96767117013</v>
      </c>
      <c r="H167" s="13">
        <f t="shared" si="100"/>
        <v>1108254.3108048143</v>
      </c>
      <c r="I167" s="13">
        <f t="shared" si="100"/>
        <v>1250892.41191079</v>
      </c>
      <c r="J167" s="13">
        <f t="shared" si="100"/>
        <v>1392817.3225112362</v>
      </c>
      <c r="K167" s="13">
        <f t="shared" si="100"/>
        <v>1534032.6085586799</v>
      </c>
      <c r="L167" s="13">
        <f t="shared" si="100"/>
        <v>1600452.1318458868</v>
      </c>
      <c r="M167" s="13">
        <f t="shared" si="100"/>
        <v>1666539.5575166575</v>
      </c>
      <c r="N167" s="13">
        <f t="shared" si="100"/>
        <v>1732296.5460590741</v>
      </c>
      <c r="O167" s="13">
        <f t="shared" si="100"/>
        <v>1797724.7496587785</v>
      </c>
      <c r="P167" s="13">
        <f t="shared" si="100"/>
        <v>1862825.8122404846</v>
      </c>
      <c r="Q167" s="13">
        <f t="shared" si="100"/>
        <v>1595631.1838189648</v>
      </c>
      <c r="R167" s="13">
        <f t="shared" si="100"/>
        <v>1661742.7142298697</v>
      </c>
      <c r="S167" s="13">
        <f t="shared" si="100"/>
        <v>1727523.6869887207</v>
      </c>
      <c r="T167" s="13">
        <f t="shared" si="100"/>
        <v>1718886.0685537769</v>
      </c>
      <c r="U167" s="13">
        <f t="shared" si="100"/>
        <v>1710291.6382110079</v>
      </c>
    </row>
    <row r="168" spans="1:21" x14ac:dyDescent="0.35">
      <c r="A168" s="184" t="s">
        <v>153</v>
      </c>
      <c r="B168" s="13">
        <f>SUMIFS(B2:B161, $A$2:$A$161, $A$168)</f>
        <v>0</v>
      </c>
      <c r="C168" s="13">
        <f t="shared" ref="C168:U168" si="101">SUMIFS(C2:C161, $A$2:$A$161, $A$168)</f>
        <v>0</v>
      </c>
      <c r="D168" s="13">
        <f t="shared" si="101"/>
        <v>39514.499376</v>
      </c>
      <c r="E168" s="13">
        <f t="shared" si="101"/>
        <v>78831.426255119994</v>
      </c>
      <c r="F168" s="13">
        <f t="shared" si="101"/>
        <v>117951.76849984439</v>
      </c>
      <c r="G168" s="13">
        <f t="shared" si="101"/>
        <v>156876.50903334518</v>
      </c>
      <c r="H168" s="13">
        <f t="shared" si="101"/>
        <v>195606.62586417844</v>
      </c>
      <c r="I168" s="13">
        <f t="shared" si="101"/>
        <v>234143.09211085757</v>
      </c>
      <c r="J168" s="13">
        <f t="shared" si="101"/>
        <v>282365.50087030331</v>
      </c>
      <c r="K168" s="13">
        <f t="shared" si="101"/>
        <v>330346.7975859518</v>
      </c>
      <c r="L168" s="13">
        <f t="shared" si="101"/>
        <v>378088.1878180221</v>
      </c>
      <c r="M168" s="13">
        <f t="shared" si="101"/>
        <v>400894.30898893194</v>
      </c>
      <c r="N168" s="13">
        <f t="shared" si="101"/>
        <v>423586.39955398726</v>
      </c>
      <c r="O168" s="13">
        <f t="shared" si="101"/>
        <v>446165.02966621722</v>
      </c>
      <c r="P168" s="13">
        <f t="shared" si="101"/>
        <v>468630.76662788622</v>
      </c>
      <c r="Q168" s="13">
        <f t="shared" si="101"/>
        <v>490984.17490474676</v>
      </c>
      <c r="R168" s="13">
        <f t="shared" si="101"/>
        <v>513225.81614022312</v>
      </c>
      <c r="S168" s="13">
        <f t="shared" si="101"/>
        <v>498703.82572995318</v>
      </c>
      <c r="T168" s="13">
        <f t="shared" si="101"/>
        <v>484254.44527173461</v>
      </c>
      <c r="U168" s="13">
        <f t="shared" si="101"/>
        <v>445180.74960580713</v>
      </c>
    </row>
    <row r="169" spans="1:21" x14ac:dyDescent="0.35">
      <c r="A169" s="12" t="s">
        <v>156</v>
      </c>
      <c r="B169" s="13">
        <f>SUMIFS(B2:B161, $A$2:$A$161, $A$169)</f>
        <v>0</v>
      </c>
      <c r="C169" s="13">
        <f t="shared" ref="C169:U169" si="102">SUMIFS(C2:C161, $A$2:$A$161, $A$169)</f>
        <v>172602.59970134808</v>
      </c>
      <c r="D169" s="13">
        <f t="shared" si="102"/>
        <v>344342.18640418944</v>
      </c>
      <c r="E169" s="13">
        <f t="shared" si="102"/>
        <v>515223.07517351652</v>
      </c>
      <c r="F169" s="13">
        <f t="shared" si="102"/>
        <v>685249.55949899706</v>
      </c>
      <c r="G169" s="13">
        <f t="shared" si="102"/>
        <v>854425.9114028503</v>
      </c>
      <c r="H169" s="13">
        <f t="shared" si="102"/>
        <v>1022756.3815471841</v>
      </c>
      <c r="I169" s="13">
        <f t="shared" si="102"/>
        <v>1103943.8994901222</v>
      </c>
      <c r="J169" s="13">
        <f t="shared" si="102"/>
        <v>1184725.4798433457</v>
      </c>
      <c r="K169" s="13">
        <f t="shared" si="102"/>
        <v>1265103.1522948029</v>
      </c>
      <c r="L169" s="13">
        <f t="shared" si="102"/>
        <v>1301928.2864586657</v>
      </c>
      <c r="M169" s="13">
        <f t="shared" si="102"/>
        <v>1338569.2949517095</v>
      </c>
      <c r="N169" s="13">
        <f t="shared" si="102"/>
        <v>1375027.0984022878</v>
      </c>
      <c r="O169" s="13">
        <f t="shared" si="102"/>
        <v>1411302.6128356131</v>
      </c>
      <c r="P169" s="13">
        <f t="shared" si="102"/>
        <v>1447396.7496967723</v>
      </c>
      <c r="Q169" s="13">
        <f t="shared" si="102"/>
        <v>1483310.4158736255</v>
      </c>
      <c r="R169" s="13">
        <f t="shared" si="102"/>
        <v>1358943.6982992524</v>
      </c>
      <c r="S169" s="13">
        <f t="shared" si="102"/>
        <v>1235198.8143127509</v>
      </c>
      <c r="T169" s="13">
        <f t="shared" si="102"/>
        <v>1068922.0048208453</v>
      </c>
      <c r="U169" s="13">
        <f t="shared" si="102"/>
        <v>903476.57937639905</v>
      </c>
    </row>
    <row r="170" spans="1:21" x14ac:dyDescent="0.35">
      <c r="A170" s="14" t="s">
        <v>89</v>
      </c>
      <c r="B170" s="13">
        <f>SUM(B164:B169)</f>
        <v>459048.1391372768</v>
      </c>
      <c r="C170" s="13">
        <f t="shared" ref="C170:U170" si="103">SUM(C164:C169)</f>
        <v>1059026.8209217037</v>
      </c>
      <c r="D170" s="13">
        <f>SUM(D164:D169)</f>
        <v>1962242.9794612085</v>
      </c>
      <c r="E170" s="13">
        <f t="shared" si="103"/>
        <v>2860943.0572080156</v>
      </c>
      <c r="F170" s="13">
        <f t="shared" si="103"/>
        <v>3755149.6345660891</v>
      </c>
      <c r="G170" s="13">
        <f t="shared" si="103"/>
        <v>4644885.1790373717</v>
      </c>
      <c r="H170" s="13">
        <f t="shared" si="103"/>
        <v>5530172.0457862988</v>
      </c>
      <c r="I170" s="13">
        <f t="shared" si="103"/>
        <v>6377960.5613506678</v>
      </c>
      <c r="J170" s="13">
        <f t="shared" si="103"/>
        <v>7261024.6337132175</v>
      </c>
      <c r="K170" s="13">
        <f t="shared" si="103"/>
        <v>8139673.3857139554</v>
      </c>
      <c r="L170" s="13">
        <f t="shared" si="103"/>
        <v>8729327.8911400363</v>
      </c>
      <c r="M170" s="13">
        <f t="shared" si="103"/>
        <v>9143158.1892689858</v>
      </c>
      <c r="N170" s="13">
        <f t="shared" si="103"/>
        <v>9554919.3359072916</v>
      </c>
      <c r="O170" s="13">
        <f t="shared" si="103"/>
        <v>9964621.6768124066</v>
      </c>
      <c r="P170" s="13">
        <f t="shared" si="103"/>
        <v>10372275.506012995</v>
      </c>
      <c r="Q170" s="13">
        <f t="shared" si="103"/>
        <v>10352092.257010046</v>
      </c>
      <c r="R170" s="13">
        <f t="shared" si="103"/>
        <v>10318278.508267194</v>
      </c>
      <c r="S170" s="13">
        <f t="shared" si="103"/>
        <v>10247981.404828493</v>
      </c>
      <c r="T170" s="13">
        <f t="shared" si="103"/>
        <v>9893434.7840923313</v>
      </c>
      <c r="U170" s="13">
        <f t="shared" si="103"/>
        <v>9367784.9616898522</v>
      </c>
    </row>
    <row r="173" spans="1:21" x14ac:dyDescent="0.35">
      <c r="A173" s="177"/>
      <c r="B173" s="177">
        <v>2024</v>
      </c>
      <c r="C173" s="177">
        <f>C163</f>
        <v>2025</v>
      </c>
      <c r="D173" s="177">
        <f t="shared" ref="D173:U173" si="104">D163</f>
        <v>2026</v>
      </c>
      <c r="E173" s="177">
        <f t="shared" si="104"/>
        <v>2027</v>
      </c>
      <c r="F173" s="177">
        <f t="shared" si="104"/>
        <v>2028</v>
      </c>
      <c r="G173" s="177">
        <f t="shared" si="104"/>
        <v>2029</v>
      </c>
      <c r="H173" s="177">
        <f t="shared" si="104"/>
        <v>2030</v>
      </c>
      <c r="I173" s="177">
        <f t="shared" si="104"/>
        <v>2031</v>
      </c>
      <c r="J173" s="177">
        <f t="shared" si="104"/>
        <v>2032</v>
      </c>
      <c r="K173" s="177">
        <f t="shared" si="104"/>
        <v>2033</v>
      </c>
      <c r="L173" s="177">
        <f t="shared" si="104"/>
        <v>2034</v>
      </c>
      <c r="M173" s="177">
        <f t="shared" si="104"/>
        <v>2035</v>
      </c>
      <c r="N173" s="177">
        <f t="shared" si="104"/>
        <v>2036</v>
      </c>
      <c r="O173" s="177">
        <f t="shared" si="104"/>
        <v>2037</v>
      </c>
      <c r="P173" s="177">
        <f t="shared" si="104"/>
        <v>2038</v>
      </c>
      <c r="Q173" s="177">
        <f t="shared" si="104"/>
        <v>2039</v>
      </c>
      <c r="R173" s="177">
        <f t="shared" si="104"/>
        <v>2040</v>
      </c>
      <c r="S173" s="177">
        <f t="shared" si="104"/>
        <v>2041</v>
      </c>
      <c r="T173" s="177">
        <f t="shared" si="104"/>
        <v>2042</v>
      </c>
      <c r="U173" s="177">
        <f t="shared" si="104"/>
        <v>2043</v>
      </c>
    </row>
    <row r="174" spans="1:21" x14ac:dyDescent="0.35">
      <c r="A174" s="177" t="s">
        <v>172</v>
      </c>
      <c r="B174" s="295">
        <f>B170</f>
        <v>459048.1391372768</v>
      </c>
      <c r="C174" s="295">
        <f>C$8</f>
        <v>459048.1391372768</v>
      </c>
      <c r="D174" s="295">
        <f t="shared" ref="D174:U174" si="105">D$8</f>
        <v>456752.89844159037</v>
      </c>
      <c r="E174" s="295">
        <f t="shared" si="105"/>
        <v>454469.13394938241</v>
      </c>
      <c r="F174" s="295">
        <f t="shared" si="105"/>
        <v>452196.78827963554</v>
      </c>
      <c r="G174" s="295">
        <f t="shared" si="105"/>
        <v>449935.80433823733</v>
      </c>
      <c r="H174" s="295">
        <f t="shared" si="105"/>
        <v>447686.12531654612</v>
      </c>
      <c r="I174" s="295">
        <f t="shared" si="105"/>
        <v>445447.69468996342</v>
      </c>
      <c r="J174" s="295">
        <f t="shared" si="105"/>
        <v>443220.45621651359</v>
      </c>
      <c r="K174" s="295">
        <f t="shared" si="105"/>
        <v>441004.35393543105</v>
      </c>
      <c r="L174" s="295">
        <f t="shared" si="105"/>
        <v>438799.33216575388</v>
      </c>
      <c r="M174" s="295">
        <f t="shared" si="105"/>
        <v>436605.33550492511</v>
      </c>
      <c r="N174" s="295">
        <f t="shared" si="105"/>
        <v>434422.30882740044</v>
      </c>
      <c r="O174" s="295">
        <f t="shared" si="105"/>
        <v>432250.19728326343</v>
      </c>
      <c r="P174" s="295">
        <f t="shared" si="105"/>
        <v>430088.94629684713</v>
      </c>
      <c r="Q174" s="295">
        <f t="shared" si="105"/>
        <v>427938.50156536291</v>
      </c>
      <c r="R174" s="295">
        <f t="shared" si="105"/>
        <v>0</v>
      </c>
      <c r="S174" s="295">
        <f t="shared" si="105"/>
        <v>0</v>
      </c>
      <c r="T174" s="295">
        <f t="shared" si="105"/>
        <v>0</v>
      </c>
      <c r="U174" s="295">
        <f t="shared" si="105"/>
        <v>0</v>
      </c>
    </row>
    <row r="175" spans="1:21" x14ac:dyDescent="0.35">
      <c r="A175" s="177" t="s">
        <v>93</v>
      </c>
      <c r="B175" s="295">
        <f>B17+B26</f>
        <v>0</v>
      </c>
      <c r="C175" s="295">
        <f>C17+C26</f>
        <v>602273.92248011334</v>
      </c>
      <c r="D175" s="295">
        <f>D17+D26</f>
        <v>1507773.8455118262</v>
      </c>
      <c r="E175" s="295">
        <f t="shared" ref="E175:U175" si="106">E17+E26</f>
        <v>1806472.3464482669</v>
      </c>
      <c r="F175" s="295">
        <f t="shared" si="106"/>
        <v>1797439.9847160256</v>
      </c>
      <c r="G175" s="295">
        <f t="shared" si="106"/>
        <v>1788452.7847924456</v>
      </c>
      <c r="H175" s="295">
        <f t="shared" si="106"/>
        <v>1779510.5208684835</v>
      </c>
      <c r="I175" s="295">
        <f t="shared" si="106"/>
        <v>1770612.9682641409</v>
      </c>
      <c r="J175" s="295">
        <f t="shared" si="106"/>
        <v>1761759.9034228201</v>
      </c>
      <c r="K175" s="295">
        <f t="shared" si="106"/>
        <v>1752951.1039057062</v>
      </c>
      <c r="L175" s="295">
        <f t="shared" si="106"/>
        <v>1744186.3483861773</v>
      </c>
      <c r="M175" s="295">
        <f t="shared" si="106"/>
        <v>1735465.4166442463</v>
      </c>
      <c r="N175" s="295">
        <f t="shared" si="106"/>
        <v>1726788.0895610251</v>
      </c>
      <c r="O175" s="295">
        <f t="shared" si="106"/>
        <v>1718154.1491132202</v>
      </c>
      <c r="P175" s="295">
        <f t="shared" si="106"/>
        <v>1709563.378367654</v>
      </c>
      <c r="Q175" s="295">
        <f t="shared" si="106"/>
        <v>1701015.5614758157</v>
      </c>
      <c r="R175" s="295">
        <f t="shared" si="106"/>
        <v>1252980.258625987</v>
      </c>
      <c r="S175" s="295">
        <f t="shared" si="106"/>
        <v>770532.70885083848</v>
      </c>
      <c r="T175" s="295">
        <f t="shared" si="106"/>
        <v>730027.62186701549</v>
      </c>
      <c r="U175" s="295">
        <f t="shared" si="106"/>
        <v>726377.48375768051</v>
      </c>
    </row>
    <row r="176" spans="1:21" x14ac:dyDescent="0.35">
      <c r="A176" s="177" t="s">
        <v>94</v>
      </c>
      <c r="B176" s="295">
        <f>B35+B44</f>
        <v>0</v>
      </c>
      <c r="C176" s="295">
        <f>C35+C44</f>
        <v>0</v>
      </c>
      <c r="D176" s="295">
        <f t="shared" ref="D176:U176" si="107">D35+D44</f>
        <v>0</v>
      </c>
      <c r="E176" s="295">
        <f t="shared" si="107"/>
        <v>602273.92248011334</v>
      </c>
      <c r="F176" s="295">
        <f t="shared" si="107"/>
        <v>1507773.8455118262</v>
      </c>
      <c r="G176" s="295">
        <f t="shared" si="107"/>
        <v>1806472.3464482669</v>
      </c>
      <c r="H176" s="295">
        <f t="shared" si="107"/>
        <v>1797439.9847160256</v>
      </c>
      <c r="I176" s="295">
        <f t="shared" si="107"/>
        <v>1788452.7847924456</v>
      </c>
      <c r="J176" s="295">
        <f t="shared" si="107"/>
        <v>1779510.5208684835</v>
      </c>
      <c r="K176" s="295">
        <f t="shared" si="107"/>
        <v>1770612.9682641409</v>
      </c>
      <c r="L176" s="295">
        <f t="shared" si="107"/>
        <v>1761759.9034228201</v>
      </c>
      <c r="M176" s="295">
        <f t="shared" si="107"/>
        <v>1752951.1039057062</v>
      </c>
      <c r="N176" s="295">
        <f t="shared" si="107"/>
        <v>1744186.3483861773</v>
      </c>
      <c r="O176" s="295">
        <f t="shared" si="107"/>
        <v>1735465.4166442463</v>
      </c>
      <c r="P176" s="295">
        <f t="shared" si="107"/>
        <v>1726788.0895610251</v>
      </c>
      <c r="Q176" s="295">
        <f t="shared" si="107"/>
        <v>1718154.1491132202</v>
      </c>
      <c r="R176" s="295">
        <f t="shared" si="107"/>
        <v>1709563.378367654</v>
      </c>
      <c r="S176" s="295">
        <f t="shared" si="107"/>
        <v>1701015.5614758157</v>
      </c>
      <c r="T176" s="295">
        <f t="shared" si="107"/>
        <v>1252980.258625987</v>
      </c>
      <c r="U176" s="295">
        <f t="shared" si="107"/>
        <v>770532.70885083848</v>
      </c>
    </row>
    <row r="177" spans="1:21" x14ac:dyDescent="0.35">
      <c r="A177" s="177" t="s">
        <v>95</v>
      </c>
      <c r="B177" s="295">
        <f>B53+B62</f>
        <v>0</v>
      </c>
      <c r="C177" s="295">
        <f>C53+C62</f>
        <v>0</v>
      </c>
      <c r="D177" s="295">
        <f t="shared" ref="D177:U177" si="108">D53+D62</f>
        <v>0</v>
      </c>
      <c r="E177" s="295">
        <f t="shared" si="108"/>
        <v>0</v>
      </c>
      <c r="F177" s="295">
        <f t="shared" si="108"/>
        <v>0</v>
      </c>
      <c r="G177" s="295">
        <f t="shared" si="108"/>
        <v>602273.92248011334</v>
      </c>
      <c r="H177" s="295">
        <f t="shared" si="108"/>
        <v>1507773.8455118262</v>
      </c>
      <c r="I177" s="295">
        <f t="shared" si="108"/>
        <v>1806472.3464482669</v>
      </c>
      <c r="J177" s="295">
        <f t="shared" si="108"/>
        <v>1797439.9847160256</v>
      </c>
      <c r="K177" s="295">
        <f t="shared" si="108"/>
        <v>1788452.7847924456</v>
      </c>
      <c r="L177" s="295">
        <f t="shared" si="108"/>
        <v>1779510.5208684835</v>
      </c>
      <c r="M177" s="295">
        <f t="shared" si="108"/>
        <v>1770612.9682641409</v>
      </c>
      <c r="N177" s="295">
        <f t="shared" si="108"/>
        <v>1761759.9034228201</v>
      </c>
      <c r="O177" s="295">
        <f t="shared" si="108"/>
        <v>1752951.1039057062</v>
      </c>
      <c r="P177" s="295">
        <f t="shared" si="108"/>
        <v>1744186.3483861773</v>
      </c>
      <c r="Q177" s="295">
        <f t="shared" si="108"/>
        <v>1735465.4166442463</v>
      </c>
      <c r="R177" s="295">
        <f t="shared" si="108"/>
        <v>1726788.0895610251</v>
      </c>
      <c r="S177" s="295">
        <f t="shared" si="108"/>
        <v>1718154.1491132202</v>
      </c>
      <c r="T177" s="295">
        <f t="shared" si="108"/>
        <v>1709563.378367654</v>
      </c>
      <c r="U177" s="295">
        <f t="shared" si="108"/>
        <v>1701015.5614758157</v>
      </c>
    </row>
    <row r="178" spans="1:21" x14ac:dyDescent="0.35">
      <c r="A178" s="177" t="s">
        <v>96</v>
      </c>
      <c r="B178" s="295">
        <f>B71+B80</f>
        <v>0</v>
      </c>
      <c r="C178" s="295">
        <f>C71+C80</f>
        <v>0</v>
      </c>
      <c r="D178" s="295">
        <f t="shared" ref="D178:U178" si="109">D71+D80</f>
        <v>0</v>
      </c>
      <c r="E178" s="295">
        <f t="shared" si="109"/>
        <v>0</v>
      </c>
      <c r="F178" s="295">
        <f t="shared" si="109"/>
        <v>0</v>
      </c>
      <c r="G178" s="295">
        <f t="shared" si="109"/>
        <v>0</v>
      </c>
      <c r="H178" s="295">
        <f t="shared" si="109"/>
        <v>0</v>
      </c>
      <c r="I178" s="295">
        <f t="shared" si="109"/>
        <v>569202.00562930212</v>
      </c>
      <c r="J178" s="295">
        <f t="shared" si="109"/>
        <v>1481309.8707704577</v>
      </c>
      <c r="K178" s="295">
        <f t="shared" si="109"/>
        <v>1819655.1909566054</v>
      </c>
      <c r="L178" s="295">
        <f t="shared" si="109"/>
        <v>1810556.9150018224</v>
      </c>
      <c r="M178" s="295">
        <f t="shared" si="109"/>
        <v>1801504.1304268134</v>
      </c>
      <c r="N178" s="295">
        <f t="shared" si="109"/>
        <v>1792496.6097746794</v>
      </c>
      <c r="O178" s="295">
        <f t="shared" si="109"/>
        <v>1783534.1267258059</v>
      </c>
      <c r="P178" s="295">
        <f t="shared" si="109"/>
        <v>1774616.456092177</v>
      </c>
      <c r="Q178" s="295">
        <f t="shared" si="109"/>
        <v>1765743.3738117157</v>
      </c>
      <c r="R178" s="295">
        <f t="shared" si="109"/>
        <v>1756914.6569426572</v>
      </c>
      <c r="S178" s="295">
        <f t="shared" si="109"/>
        <v>1748130.0836579439</v>
      </c>
      <c r="T178" s="295">
        <f t="shared" si="109"/>
        <v>1739389.4332396542</v>
      </c>
      <c r="U178" s="295">
        <f t="shared" si="109"/>
        <v>1730692.486073456</v>
      </c>
    </row>
    <row r="179" spans="1:21" x14ac:dyDescent="0.35">
      <c r="A179" s="177" t="s">
        <v>97</v>
      </c>
      <c r="B179" s="295">
        <f>B89+B98</f>
        <v>0</v>
      </c>
      <c r="C179" s="295">
        <f>C89+C98</f>
        <v>0</v>
      </c>
      <c r="D179" s="295">
        <f t="shared" ref="D179:U179" si="110">D89+D98</f>
        <v>0</v>
      </c>
      <c r="E179" s="295">
        <f t="shared" si="110"/>
        <v>0</v>
      </c>
      <c r="F179" s="295">
        <f t="shared" si="110"/>
        <v>0</v>
      </c>
      <c r="G179" s="295">
        <f t="shared" si="110"/>
        <v>0</v>
      </c>
      <c r="H179" s="295">
        <f t="shared" si="110"/>
        <v>0</v>
      </c>
      <c r="I179" s="295">
        <f t="shared" si="110"/>
        <v>0</v>
      </c>
      <c r="J179" s="295">
        <f t="shared" si="110"/>
        <v>0</v>
      </c>
      <c r="K179" s="295">
        <f t="shared" si="110"/>
        <v>569202.00562930212</v>
      </c>
      <c r="L179" s="295">
        <f t="shared" si="110"/>
        <v>1196708.8679558067</v>
      </c>
      <c r="M179" s="295">
        <f t="shared" si="110"/>
        <v>1363601.2583860275</v>
      </c>
      <c r="N179" s="295">
        <f t="shared" si="110"/>
        <v>1356783.2520940974</v>
      </c>
      <c r="O179" s="295">
        <f t="shared" si="110"/>
        <v>1349999.3358336273</v>
      </c>
      <c r="P179" s="295">
        <f t="shared" si="110"/>
        <v>1343249.3391544591</v>
      </c>
      <c r="Q179" s="295">
        <f t="shared" si="110"/>
        <v>1336533.0924586868</v>
      </c>
      <c r="R179" s="295">
        <f t="shared" si="110"/>
        <v>1329850.4269963931</v>
      </c>
      <c r="S179" s="295">
        <f t="shared" si="110"/>
        <v>1323201.1748614111</v>
      </c>
      <c r="T179" s="295">
        <f t="shared" si="110"/>
        <v>1316585.168987104</v>
      </c>
      <c r="U179" s="295">
        <f t="shared" si="110"/>
        <v>1310002.2431421685</v>
      </c>
    </row>
    <row r="180" spans="1:21" x14ac:dyDescent="0.35">
      <c r="A180" s="177" t="s">
        <v>98</v>
      </c>
      <c r="B180" s="295">
        <f>B107+B116</f>
        <v>0</v>
      </c>
      <c r="C180" s="295">
        <f>C107+C116</f>
        <v>0</v>
      </c>
      <c r="D180" s="295">
        <f t="shared" ref="D180:U180" si="111">D107+D116</f>
        <v>0</v>
      </c>
      <c r="E180" s="295">
        <f t="shared" si="111"/>
        <v>0</v>
      </c>
      <c r="F180" s="295">
        <f t="shared" si="111"/>
        <v>0</v>
      </c>
      <c r="G180" s="295">
        <f t="shared" si="111"/>
        <v>0</v>
      </c>
      <c r="H180" s="295">
        <f t="shared" si="111"/>
        <v>0</v>
      </c>
      <c r="I180" s="295">
        <f t="shared" si="111"/>
        <v>0</v>
      </c>
      <c r="J180" s="295">
        <f t="shared" si="111"/>
        <v>0</v>
      </c>
      <c r="K180" s="295">
        <f t="shared" si="111"/>
        <v>0</v>
      </c>
      <c r="L180" s="295">
        <f t="shared" si="111"/>
        <v>0</v>
      </c>
      <c r="M180" s="295">
        <f t="shared" si="111"/>
        <v>284601.00281465106</v>
      </c>
      <c r="N180" s="295">
        <f t="shared" si="111"/>
        <v>740654.93538522883</v>
      </c>
      <c r="O180" s="295">
        <f t="shared" si="111"/>
        <v>909827.59547830268</v>
      </c>
      <c r="P180" s="295">
        <f t="shared" si="111"/>
        <v>905278.4575009112</v>
      </c>
      <c r="Q180" s="295">
        <f t="shared" si="111"/>
        <v>900752.06521340669</v>
      </c>
      <c r="R180" s="295">
        <f t="shared" si="111"/>
        <v>896248.30488733971</v>
      </c>
      <c r="S180" s="295">
        <f t="shared" si="111"/>
        <v>891767.06336290296</v>
      </c>
      <c r="T180" s="295">
        <f t="shared" si="111"/>
        <v>887308.22804608848</v>
      </c>
      <c r="U180" s="295">
        <f t="shared" si="111"/>
        <v>882871.68690585787</v>
      </c>
    </row>
    <row r="181" spans="1:21" x14ac:dyDescent="0.35">
      <c r="A181" s="177" t="s">
        <v>99</v>
      </c>
      <c r="B181" s="295">
        <f t="shared" ref="B181:U181" si="112">B125+B134</f>
        <v>0</v>
      </c>
      <c r="C181" s="295">
        <f t="shared" si="112"/>
        <v>0</v>
      </c>
      <c r="D181" s="295">
        <f t="shared" si="112"/>
        <v>0</v>
      </c>
      <c r="E181" s="295">
        <f t="shared" si="112"/>
        <v>0</v>
      </c>
      <c r="F181" s="295">
        <f t="shared" si="112"/>
        <v>0</v>
      </c>
      <c r="G181" s="295">
        <f t="shared" si="112"/>
        <v>0</v>
      </c>
      <c r="H181" s="295">
        <f t="shared" si="112"/>
        <v>0</v>
      </c>
      <c r="I181" s="295">
        <f t="shared" si="112"/>
        <v>0</v>
      </c>
      <c r="J181" s="295">
        <f t="shared" si="112"/>
        <v>0</v>
      </c>
      <c r="K181" s="295">
        <f t="shared" si="112"/>
        <v>0</v>
      </c>
      <c r="L181" s="295">
        <f t="shared" si="112"/>
        <v>0</v>
      </c>
      <c r="M181" s="295">
        <f t="shared" si="112"/>
        <v>0</v>
      </c>
      <c r="N181" s="295">
        <f t="shared" si="112"/>
        <v>0</v>
      </c>
      <c r="O181" s="295">
        <f t="shared" si="112"/>
        <v>284601.00281465106</v>
      </c>
      <c r="P181" s="295">
        <f t="shared" si="112"/>
        <v>740654.93538522883</v>
      </c>
      <c r="Q181" s="295">
        <f t="shared" si="112"/>
        <v>909827.59547830268</v>
      </c>
      <c r="R181" s="295">
        <f t="shared" si="112"/>
        <v>905278.4575009112</v>
      </c>
      <c r="S181" s="295">
        <f t="shared" si="112"/>
        <v>900752.06521340669</v>
      </c>
      <c r="T181" s="295">
        <f t="shared" si="112"/>
        <v>896248.30488733971</v>
      </c>
      <c r="U181" s="295">
        <f t="shared" si="112"/>
        <v>891767.06336290296</v>
      </c>
    </row>
    <row r="182" spans="1:21" x14ac:dyDescent="0.35">
      <c r="A182" s="177" t="s">
        <v>100</v>
      </c>
      <c r="B182" s="295">
        <f>B143+B152</f>
        <v>0</v>
      </c>
      <c r="C182" s="295">
        <f>C143+C152</f>
        <v>0</v>
      </c>
      <c r="D182" s="295">
        <f t="shared" ref="D182:U182" si="113">D143+D152</f>
        <v>0</v>
      </c>
      <c r="E182" s="295">
        <f t="shared" si="113"/>
        <v>0</v>
      </c>
      <c r="F182" s="295">
        <f t="shared" si="113"/>
        <v>0</v>
      </c>
      <c r="G182" s="295">
        <f t="shared" si="113"/>
        <v>0</v>
      </c>
      <c r="H182" s="295">
        <f t="shared" si="113"/>
        <v>0</v>
      </c>
      <c r="I182" s="295">
        <f t="shared" si="113"/>
        <v>0</v>
      </c>
      <c r="J182" s="295">
        <f t="shared" si="113"/>
        <v>0</v>
      </c>
      <c r="K182" s="295">
        <f t="shared" si="113"/>
        <v>0</v>
      </c>
      <c r="L182" s="295">
        <f t="shared" si="113"/>
        <v>0</v>
      </c>
      <c r="M182" s="295">
        <f t="shared" si="113"/>
        <v>0</v>
      </c>
      <c r="N182" s="295">
        <f t="shared" si="113"/>
        <v>0</v>
      </c>
      <c r="O182" s="295">
        <f t="shared" si="113"/>
        <v>0</v>
      </c>
      <c r="P182" s="295">
        <f t="shared" si="113"/>
        <v>0</v>
      </c>
      <c r="Q182" s="295">
        <f t="shared" si="113"/>
        <v>284601.00281465106</v>
      </c>
      <c r="R182" s="295">
        <f t="shared" si="113"/>
        <v>740654.93538522883</v>
      </c>
      <c r="S182" s="295">
        <f t="shared" si="113"/>
        <v>909827.59547830268</v>
      </c>
      <c r="T182" s="295">
        <f t="shared" si="113"/>
        <v>905278.4575009112</v>
      </c>
      <c r="U182" s="295">
        <f t="shared" si="113"/>
        <v>900752.06521340669</v>
      </c>
    </row>
    <row r="183" spans="1:21" x14ac:dyDescent="0.35">
      <c r="A183" s="177" t="s">
        <v>101</v>
      </c>
      <c r="B183" s="295">
        <f>B161*2</f>
        <v>0</v>
      </c>
      <c r="C183" s="295">
        <f>C161*2</f>
        <v>0</v>
      </c>
      <c r="D183" s="295">
        <f t="shared" ref="D183:U183" si="114">D161*2</f>
        <v>0</v>
      </c>
      <c r="E183" s="295">
        <f t="shared" si="114"/>
        <v>0</v>
      </c>
      <c r="F183" s="295">
        <f t="shared" si="114"/>
        <v>0</v>
      </c>
      <c r="G183" s="295">
        <f t="shared" si="114"/>
        <v>0</v>
      </c>
      <c r="H183" s="295">
        <f t="shared" si="114"/>
        <v>0</v>
      </c>
      <c r="I183" s="295">
        <f t="shared" si="114"/>
        <v>0</v>
      </c>
      <c r="J183" s="295">
        <f t="shared" si="114"/>
        <v>0</v>
      </c>
      <c r="K183" s="295">
        <f t="shared" si="114"/>
        <v>0</v>
      </c>
      <c r="L183" s="295">
        <f t="shared" si="114"/>
        <v>0</v>
      </c>
      <c r="M183" s="295">
        <f t="shared" si="114"/>
        <v>0</v>
      </c>
      <c r="N183" s="295">
        <f t="shared" si="114"/>
        <v>0</v>
      </c>
      <c r="O183" s="295">
        <f t="shared" si="114"/>
        <v>0</v>
      </c>
      <c r="P183" s="295">
        <f t="shared" si="114"/>
        <v>0</v>
      </c>
      <c r="Q183" s="295">
        <f t="shared" si="114"/>
        <v>0</v>
      </c>
      <c r="R183" s="295">
        <f t="shared" si="114"/>
        <v>0</v>
      </c>
      <c r="S183" s="295">
        <f t="shared" si="114"/>
        <v>569202.00562930212</v>
      </c>
      <c r="T183" s="295">
        <f t="shared" si="114"/>
        <v>912107.86514115555</v>
      </c>
      <c r="U183" s="295">
        <f t="shared" si="114"/>
        <v>907547.32581544982</v>
      </c>
    </row>
  </sheetData>
  <printOptions horizontalCentered="1" verticalCentered="1"/>
  <pageMargins left="0.7" right="0.7" top="0.75" bottom="0.75" header="0.3" footer="0.3"/>
  <pageSetup scale="42" fitToHeight="3" orientation="landscape" r:id="rId1"/>
  <headerFooter>
    <oddHeader>&amp;A</oddHeader>
  </headerFooter>
  <rowBreaks count="1" manualBreakCount="1">
    <brk id="44" max="16383" man="1"/>
  </rowBreaks>
  <customProperties>
    <customPr name="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D9C6DF2CFA2344B8438EA57D1C19B2" ma:contentTypeVersion="36" ma:contentTypeDescription="Create a new document." ma:contentTypeScope="" ma:versionID="53740bddac1f26aaa791076d257ce165">
  <xsd:schema xmlns:xsd="http://www.w3.org/2001/XMLSchema" xmlns:xs="http://www.w3.org/2001/XMLSchema" xmlns:p="http://schemas.microsoft.com/office/2006/metadata/properties" xmlns:ns1="http://schemas.microsoft.com/sharepoint/v3" xmlns:ns2="07eb0168-e38f-4593-8bb7-e13af032c594" xmlns:ns3="449d9eb7-b7cc-4e27-879b-01b4831586a2" targetNamespace="http://schemas.microsoft.com/office/2006/metadata/properties" ma:root="true" ma:fieldsID="b29dddca1f498f04e63b02cd92c8f757" ns1:_="" ns2:_="" ns3:_="">
    <xsd:import namespace="http://schemas.microsoft.com/sharepoint/v3"/>
    <xsd:import namespace="07eb0168-e38f-4593-8bb7-e13af032c594"/>
    <xsd:import namespace="449d9eb7-b7cc-4e27-879b-01b4831586a2"/>
    <xsd:element name="properties">
      <xsd:complexType>
        <xsd:sequence>
          <xsd:element name="documentManagement">
            <xsd:complexType>
              <xsd:all>
                <xsd:element ref="ns2:Notes_x0020_to_x0020_consider_x0020_before_x0020_reviewing_x003a_" minOccurs="0"/>
                <xsd:element ref="ns2:MediaServiceMetadata" minOccurs="0"/>
                <xsd:element ref="ns2:MediaServiceFastMetadata" minOccurs="0"/>
                <xsd:element ref="ns2:legal" minOccurs="0"/>
                <xsd:element ref="ns3:SharedWithUsers" minOccurs="0"/>
                <xsd:element ref="ns3:SharedWithDetails" minOccurs="0"/>
                <xsd:element ref="ns2:Finished"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TeamStatus" minOccurs="0"/>
                <xsd:element ref="ns2:Goaldatetocompletereview_x003a_" minOccurs="0"/>
                <xsd:element ref="ns1:_ip_UnifiedCompliancePolicyProperties" minOccurs="0"/>
                <xsd:element ref="ns1:_ip_UnifiedCompliancePolicyUIAction" minOccurs="0"/>
                <xsd:element ref="ns2:MediaServiceLocation" minOccurs="0"/>
                <xsd:element ref="ns2:Status" minOccurs="0"/>
                <xsd:element ref="ns2:Roll_x002d_Call" minOccurs="0"/>
                <xsd:element ref="ns2:Completed" minOccurs="0"/>
                <xsd:element ref="ns2:Notes" minOccurs="0"/>
                <xsd:element ref="ns2:ManagerApprova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ma:readOnly="false">
      <xsd:simpleType>
        <xsd:restriction base="dms:Note"/>
      </xsd:simpleType>
    </xsd:element>
    <xsd:element name="_ip_UnifiedCompliancePolicyUIAction" ma:index="26"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eb0168-e38f-4593-8bb7-e13af032c594" elementFormDefault="qualified">
    <xsd:import namespace="http://schemas.microsoft.com/office/2006/documentManagement/types"/>
    <xsd:import namespace="http://schemas.microsoft.com/office/infopath/2007/PartnerControls"/>
    <xsd:element name="Notes_x0020_to_x0020_consider_x0020_before_x0020_reviewing_x003a_" ma:index="1" nillable="true" ma:displayName="Notes to consider before reviewing:" ma:internalName="Notes_x0020_to_x0020_consider_x0020_before_x0020_reviewing_x003a_" ma:readOnly="false">
      <xsd:simpleType>
        <xsd:restriction base="dms:Note">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egal" ma:index="10" nillable="true" ma:displayName="legal" ma:format="Dropdown" ma:hidden="true" ma:list="UserInfo" ma:SharePointGroup="0" ma:internalName="legal"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Finished" ma:index="13" nillable="true" ma:displayName="Finished" ma:default="2022-08-30T00:00:00Z" ma:format="DateOnly" ma:hidden="true" ma:internalName="Finished" ma:readOnly="false">
      <xsd:simpleType>
        <xsd:restriction base="dms:DateTime"/>
      </xsd:simple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4bd80cb-b55d-4a01-be99-577b45a2ddc1"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eamStatus" ma:index="22" nillable="true" ma:displayName="Currently Assigned for review to:" ma:description="This column specifies who is currently assigned to review of the document. This is helpful for reviewers to know what documents they should look at." ma:format="Dropdown" ma:hidden="true" ma:internalName="TeamStatus" ma:readOnly="false">
      <xsd:simpleType>
        <xsd:union memberTypes="dms:Text">
          <xsd:simpleType>
            <xsd:restriction base="dms:Choice">
              <xsd:enumeration value="Sarah"/>
              <xsd:enumeration value="Rachael"/>
              <xsd:enumeration value="Rachel"/>
              <xsd:enumeration value="Zoe"/>
              <xsd:enumeration value="Sharon"/>
            </xsd:restriction>
          </xsd:simpleType>
        </xsd:union>
      </xsd:simpleType>
    </xsd:element>
    <xsd:element name="Goaldatetocompletereview_x003a_" ma:index="23" nillable="true" ma:displayName="Goal date to complete review:" ma:format="DateOnly" ma:hidden="true" ma:internalName="Goaldatetocompletereview_x003a_" ma:readOnly="false">
      <xsd:simpleType>
        <xsd:restriction base="dms:DateTime"/>
      </xsd:simpleType>
    </xsd:element>
    <xsd:element name="MediaServiceLocation" ma:index="27" nillable="true" ma:displayName="Location" ma:hidden="true" ma:indexed="true" ma:internalName="MediaServiceLocation" ma:readOnly="true">
      <xsd:simpleType>
        <xsd:restriction base="dms:Text"/>
      </xsd:simpleType>
    </xsd:element>
    <xsd:element name="Status" ma:index="28" nillable="true" ma:displayName="Status" ma:format="Dropdown" ma:internalName="Status">
      <xsd:simpleType>
        <xsd:restriction base="dms:Choice">
          <xsd:enumeration value="in-progress"/>
          <xsd:enumeration value="draft"/>
          <xsd:enumeration value="check for final"/>
          <xsd:enumeration value="complete"/>
          <xsd:enumeration value="Sent for Signatures"/>
          <xsd:enumeration value="Need Signature"/>
        </xsd:restriction>
      </xsd:simpleType>
    </xsd:element>
    <xsd:element name="Roll_x002d_Call" ma:index="29" nillable="true" ma:displayName="Roll-Call" ma:description="when done making edits put your name here" ma:format="Dropdown" ma:list="UserInfo" ma:SharePointGroup="0" ma:internalName="Roll_x002d_Call">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pleted" ma:index="30" nillable="true" ma:displayName="Completed " ma:default="1" ma:format="Dropdown" ma:internalName="Completed">
      <xsd:simpleType>
        <xsd:restriction base="dms:Boolean"/>
      </xsd:simpleType>
    </xsd:element>
    <xsd:element name="Notes" ma:index="31" nillable="true" ma:displayName="Notes" ma:format="Dropdown" ma:internalName="Notes">
      <xsd:simpleType>
        <xsd:restriction base="dms:Note">
          <xsd:maxLength value="255"/>
        </xsd:restriction>
      </xsd:simpleType>
    </xsd:element>
    <xsd:element name="ManagerApproval" ma:index="32" nillable="true" ma:displayName="Manager Approval" ma:description="Please type name of manager who approved the final version of this document" ma:format="Dropdown" ma:list="UserInfo" ma:SharePointGroup="0" ma:internalName="ManagerApproval">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9d9eb7-b7cc-4e27-879b-01b4831586a2" elementFormDefault="qualified">
    <xsd:import namespace="http://schemas.microsoft.com/office/2006/documentManagement/types"/>
    <xsd:import namespace="http://schemas.microsoft.com/office/infopath/2007/PartnerControls"/>
    <xsd:element name="SharedWithUsers" ma:index="11"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hidden="true" ma:internalName="SharedWithDetails" ma:readOnly="true">
      <xsd:simpleType>
        <xsd:restriction base="dms:Note"/>
      </xsd:simpleType>
    </xsd:element>
    <xsd:element name="TaxCatchAll" ma:index="14" nillable="true" ma:displayName="Taxonomy Catch All Column" ma:hidden="true" ma:list="{d32c7c3e-39b0-4ad2-86af-70b8daaeb2b9}" ma:internalName="TaxCatchAll" ma:readOnly="false" ma:showField="CatchAllData" ma:web="449d9eb7-b7cc-4e27-879b-01b4831586a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49d9eb7-b7cc-4e27-879b-01b4831586a2" xsi:nil="true"/>
    <lcf76f155ced4ddcb4097134ff3c332f xmlns="07eb0168-e38f-4593-8bb7-e13af032c594">
      <Terms xmlns="http://schemas.microsoft.com/office/infopath/2007/PartnerControls"/>
    </lcf76f155ced4ddcb4097134ff3c332f>
    <SharedWithUsers xmlns="449d9eb7-b7cc-4e27-879b-01b4831586a2">
      <UserInfo>
        <DisplayName>Amos, Marcus</DisplayName>
        <AccountId>129</AccountId>
        <AccountType/>
      </UserInfo>
    </SharedWithUsers>
    <Goaldatetocompletereview_x003a_ xmlns="07eb0168-e38f-4593-8bb7-e13af032c594" xsi:nil="true"/>
    <ManagerApproval xmlns="07eb0168-e38f-4593-8bb7-e13af032c594">
      <UserInfo>
        <DisplayName/>
        <AccountId xsi:nil="true"/>
        <AccountType/>
      </UserInfo>
    </ManagerApproval>
    <Notes_x0020_to_x0020_consider_x0020_before_x0020_reviewing_x003a_ xmlns="07eb0168-e38f-4593-8bb7-e13af032c594" xsi:nil="true"/>
    <_ip_UnifiedCompliancePolicyUIAction xmlns="http://schemas.microsoft.com/sharepoint/v3" xsi:nil="true"/>
    <Status xmlns="07eb0168-e38f-4593-8bb7-e13af032c594" xsi:nil="true"/>
    <TeamStatus xmlns="07eb0168-e38f-4593-8bb7-e13af032c594" xsi:nil="true"/>
    <_ip_UnifiedCompliancePolicyProperties xmlns="http://schemas.microsoft.com/sharepoint/v3" xsi:nil="true"/>
    <Notes xmlns="07eb0168-e38f-4593-8bb7-e13af032c594" xsi:nil="true"/>
    <Finished xmlns="07eb0168-e38f-4593-8bb7-e13af032c594">2022-08-30T00:00:00+00:00</Finished>
    <Completed xmlns="07eb0168-e38f-4593-8bb7-e13af032c594">true</Completed>
    <legal xmlns="07eb0168-e38f-4593-8bb7-e13af032c594">
      <UserInfo>
        <DisplayName/>
        <AccountId xsi:nil="true"/>
        <AccountType/>
      </UserInfo>
    </legal>
    <Roll_x002d_Call xmlns="07eb0168-e38f-4593-8bb7-e13af032c594">
      <UserInfo>
        <DisplayName/>
        <AccountId xsi:nil="true"/>
        <AccountType/>
      </UserInfo>
    </Roll_x002d_Call>
  </documentManagement>
</p:properties>
</file>

<file path=customXml/itemProps1.xml><?xml version="1.0" encoding="utf-8"?>
<ds:datastoreItem xmlns:ds="http://schemas.openxmlformats.org/officeDocument/2006/customXml" ds:itemID="{12E71B77-4E40-4583-9DC0-9D3309350E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7eb0168-e38f-4593-8bb7-e13af032c594"/>
    <ds:schemaRef ds:uri="449d9eb7-b7cc-4e27-879b-01b4831586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32BBC2-DC34-4FCA-A846-3BCA7F31EBF3}">
  <ds:schemaRefs>
    <ds:schemaRef ds:uri="http://schemas.microsoft.com/sharepoint/v3/contenttype/forms"/>
  </ds:schemaRefs>
</ds:datastoreItem>
</file>

<file path=customXml/itemProps3.xml><?xml version="1.0" encoding="utf-8"?>
<ds:datastoreItem xmlns:ds="http://schemas.openxmlformats.org/officeDocument/2006/customXml" ds:itemID="{E209B3CD-2671-435C-AED0-E31C0C2591DC}">
  <ds:schemaRefs>
    <ds:schemaRef ds:uri="http://schemas.microsoft.com/sharepoint/v3"/>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elements/1.1/"/>
    <ds:schemaRef ds:uri="449d9eb7-b7cc-4e27-879b-01b4831586a2"/>
    <ds:schemaRef ds:uri="07eb0168-e38f-4593-8bb7-e13af032c594"/>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Appendix B Annotations</vt:lpstr>
      <vt:lpstr>Collections and ACP</vt:lpstr>
      <vt:lpstr>Indexed REC Calculator</vt:lpstr>
      <vt:lpstr>Indexed REC Activities</vt:lpstr>
      <vt:lpstr>Indexed REC Spend</vt:lpstr>
      <vt:lpstr>ABP Future Assumptions</vt:lpstr>
      <vt:lpstr>24-25 ABP Activities</vt:lpstr>
      <vt:lpstr>24-25 ABP Summary</vt:lpstr>
      <vt:lpstr>Projected ABP RECs</vt:lpstr>
      <vt:lpstr>Projected ABP Spend</vt:lpstr>
      <vt:lpstr>ABP Under Contract</vt:lpstr>
      <vt:lpstr>Total REC Deliveries</vt:lpstr>
      <vt:lpstr>REC Spend projected</vt:lpstr>
      <vt:lpstr>Ch. 3 Tables and Graphs</vt:lpstr>
      <vt:lpstr>$ Tables and Graphs</vt:lpstr>
      <vt:lpstr>'Ch. 3 Tables and Graphs'!_ftnref1</vt:lpstr>
      <vt:lpstr>'Ch. 3 Tables and Graphs'!_ftnref2</vt:lpstr>
      <vt:lpstr>'Ch. 3 Tables and Graphs'!_ftnref3</vt:lpstr>
      <vt:lpstr>'Ch. 3 Tables and Graphs'!_ftnref4</vt:lpstr>
      <vt:lpstr>'$ Tables and Graphs'!Print_Area</vt:lpstr>
      <vt:lpstr>'24-25 ABP Activities'!Print_Area</vt:lpstr>
      <vt:lpstr>'ABP Future Assumptions'!Print_Area</vt:lpstr>
      <vt:lpstr>'Appendix B Annotations'!Print_Area</vt:lpstr>
      <vt:lpstr>'Projected ABP Spend'!Print_Area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Groner, Adam</dc:creator>
  <cp:keywords/>
  <dc:description/>
  <cp:lastModifiedBy>Groner, Adam</cp:lastModifiedBy>
  <cp:revision/>
  <cp:lastPrinted>2023-10-20T15:25:01Z</cp:lastPrinted>
  <dcterms:created xsi:type="dcterms:W3CDTF">2023-07-17T18:43:01Z</dcterms:created>
  <dcterms:modified xsi:type="dcterms:W3CDTF">2024-04-19T20:08:26Z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0x010100A7D9C6DF2CFA2344B8438EA57D1C19B2</vt:lpwstr>
  </property>
  <property fmtid="{D5CDD505-2E9C-101B-9397-08002B2CF9AE}" pid="3" name="MediaServiceImageTags">
    <vt:lpwstr/>
  </property>
</Properties>
</file>