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worksheets/sheet6.xml" ContentType="application/vnd.openxmlformats-officedocument.spreadsheetml.work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5.xml" ContentType="application/vnd.openxmlformats-officedocument.drawingml.chart+xml"/>
  <Override PartName="/xl/drawings/drawing15.xml" ContentType="application/vnd.openxmlformats-officedocument.drawingml.chartshapes+xml"/>
  <Override PartName="/xl/charts/chart6.xml" ContentType="application/vnd.openxmlformats-officedocument.drawingml.chart+xml"/>
  <Override PartName="/xl/drawings/drawing16.xml" ContentType="application/vnd.openxmlformats-officedocument.drawingml.chartshapes+xml"/>
  <Override PartName="/xl/charts/chart7.xml" ContentType="application/vnd.openxmlformats-officedocument.drawingml.chart+xml"/>
  <Override PartName="/xl/drawings/drawing17.xml" ContentType="application/vnd.openxmlformats-officedocument.drawingml.chartshapes+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9.xml" ContentType="application/vnd.openxmlformats-officedocument.drawingml.chart+xml"/>
  <Override PartName="/xl/drawings/drawing20.xml" ContentType="application/vnd.openxmlformats-officedocument.drawingml.chartshap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drawings/drawing24.xml" ContentType="application/vnd.openxmlformats-officedocument.drawing+xml"/>
  <Override PartName="/xl/charts/chart12.xml" ContentType="application/vnd.openxmlformats-officedocument.drawingml.chart+xml"/>
  <Override PartName="/xl/drawings/drawing25.xml" ContentType="application/vnd.openxmlformats-officedocument.drawingml.chartshapes+xml"/>
  <Override PartName="/xl/charts/chart13.xml" ContentType="application/vnd.openxmlformats-officedocument.drawingml.chart+xml"/>
  <Override PartName="/xl/drawings/drawing26.xml" ContentType="application/vnd.openxmlformats-officedocument.drawingml.chartshapes+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codeName="ThisWorkbook" defaultThemeVersion="166925"/>
  <xr:revisionPtr revIDLastSave="17" documentId="8_{8581A559-445C-4671-AD9D-ADECA4AF1CD4}" xr6:coauthVersionLast="47" xr6:coauthVersionMax="47" xr10:uidLastSave="{B19B2AFA-7981-453B-B2DD-8ADFBAC5623B}"/>
  <bookViews>
    <workbookView xWindow="-120" yWindow="-120" windowWidth="29040" windowHeight="15840" tabRatio="602" firstSheet="14" activeTab="21" xr2:uid="{E2B119B4-8643-487D-BBB9-3FDB539617F0}"/>
  </bookViews>
  <sheets>
    <sheet name="TOC" sheetId="92" r:id="rId1"/>
    <sheet name="Aurora Output==&gt;" sheetId="93" r:id="rId2"/>
    <sheet name="Energy Mkt Benefits" sheetId="79" r:id="rId3"/>
    <sheet name="Energy Revenue" sheetId="78" r:id="rId4"/>
    <sheet name="Cap Revenue" sheetId="76" r:id="rId5"/>
    <sheet name="Report_Figure 7" sheetId="43" r:id="rId6"/>
    <sheet name="Report_Figure 7 Graph Data" sheetId="44" r:id="rId7"/>
    <sheet name="Report_Figure 23_Nominal" sheetId="82" r:id="rId8"/>
    <sheet name="Report_Figure 24_Real" sheetId="88" r:id="rId9"/>
    <sheet name="Report_Figure 25_NPV" sheetId="89" r:id="rId10"/>
    <sheet name="Report_Figure 23_Data" sheetId="1" r:id="rId11"/>
    <sheet name="Report_Figure 24_Data" sheetId="11" r:id="rId12"/>
    <sheet name="Report_Figure 25_Data" sheetId="81" r:id="rId13"/>
    <sheet name="Report_Table 2" sheetId="33" r:id="rId14"/>
    <sheet name="Report_Table 6" sheetId="71" r:id="rId15"/>
    <sheet name="Report_Table 7" sheetId="27" r:id="rId16"/>
    <sheet name="OSW_Annual" sheetId="3" r:id="rId17"/>
    <sheet name="OSW_Backup" sheetId="4" r:id="rId18"/>
    <sheet name="Storage_Annual" sheetId="12" r:id="rId19"/>
    <sheet name="Storage_Backup" sheetId="13" r:id="rId20"/>
    <sheet name="SooGreen_Annual" sheetId="14" r:id="rId21"/>
    <sheet name="Soo Green_Backup" sheetId="15" r:id="rId22"/>
    <sheet name="All_Annual" sheetId="22" r:id="rId23"/>
    <sheet name="REC Spend projected" sheetId="80" r:id="rId24"/>
    <sheet name="Assumptions" sheetId="38" r:id="rId25"/>
    <sheet name="CCR_BTM" sheetId="40" r:id="rId26"/>
    <sheet name="CCR_Utility-Scale" sheetId="39" r:id="rId27"/>
    <sheet name="CCR_OSW" sheetId="41" r:id="rId28"/>
    <sheet name="Report Table 6 Backup==&gt;" sheetId="70" r:id="rId29"/>
    <sheet name="Battery_Comm_Resi_Annual" sheetId="73" r:id="rId30"/>
    <sheet name="Com_Res_MW Breakdown" sheetId="74" r:id="rId31"/>
    <sheet name="BTM_Storage_Backup" sheetId="75" r:id="rId32"/>
    <sheet name="Storage Cost Analysis==&gt;" sheetId="35" r:id="rId33"/>
    <sheet name="Batteries_Utility" sheetId="36" r:id="rId34"/>
    <sheet name="Batteries_Comm_Resi" sheetId="37" r:id="rId35"/>
    <sheet name="ModelFactors" sheetId="42" r:id="rId36"/>
    <sheet name="Data=&gt;" sheetId="45" r:id="rId37"/>
    <sheet name="Storage_Ann_Development" sheetId="46" r:id="rId38"/>
    <sheet name="NREL 2023 ATB==&gt;" sheetId="47" r:id="rId39"/>
    <sheet name="Utility-Scale Battery Storage" sheetId="48" r:id="rId40"/>
    <sheet name="Comm Battery Storage" sheetId="49" r:id="rId41"/>
    <sheet name="Resi Battery Storage" sheetId="50" r:id="rId42"/>
    <sheet name="FRED Graph_22Oct2023" sheetId="51" r:id="rId43"/>
    <sheet name="EIA AEO 2023==&gt;" sheetId="52" r:id="rId44"/>
    <sheet name="EIA_AEO_2023_Table 3" sheetId="53" r:id="rId45"/>
    <sheet name="EIA_AEO_2023_Table 4" sheetId="54" r:id="rId46"/>
    <sheet name="OSW==&gt;" sheetId="55" r:id="rId47"/>
    <sheet name="OSW_Input" sheetId="56" r:id="rId48"/>
    <sheet name="OSW_Data==&gt;" sheetId="57" r:id="rId49"/>
    <sheet name="OSW Learning Scalers" sheetId="58" r:id="rId50"/>
    <sheet name="Table 10" sheetId="59" r:id="rId51"/>
    <sheet name="Table 12_OpEx" sheetId="60" r:id="rId52"/>
    <sheet name="Soo Green==&gt;" sheetId="61" r:id="rId53"/>
    <sheet name="LBNL Solar==&gt;" sheetId="63" r:id="rId54"/>
    <sheet name="Introduction" sheetId="64" r:id="rId55"/>
    <sheet name="LCOE of Utility-Scale PV" sheetId="65" r:id="rId56"/>
    <sheet name="LCOE vs. PPA Price" sheetId="66" r:id="rId57"/>
    <sheet name="LBNL Wind==&gt;" sheetId="67" r:id="rId58"/>
    <sheet name="Introduction_Wind" sheetId="68" r:id="rId59"/>
    <sheet name="Wind LCOE Over Time" sheetId="69" r:id="rId60"/>
  </sheets>
  <externalReferences>
    <externalReference r:id="rId61"/>
  </externalReferences>
  <definedNames>
    <definedName name="_AMO_UniqueIdentifier" hidden="1">"'8c6ab230-47f4-4cfb-804b-db46c9cc9d1c'"</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0</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2</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10" hidden="1">'Report_Figure 23_Data'!$A$2:$F$6</definedName>
    <definedName name="_xlnm._FilterDatabase" localSheetId="11" hidden="1">'Report_Figure 24_Data'!$A$2:$F$6</definedName>
    <definedName name="_xlnm._FilterDatabase" localSheetId="12" hidden="1">'Report_Figure 25_Data'!$A$2:$F$6</definedName>
    <definedName name="_xlnm._FilterDatabase" localSheetId="13" hidden="1">'Report_Table 2'!$A$5:$H$11</definedName>
    <definedName name="AccessDatabase" hidden="1">"D:\TU\Data.mdb"</definedName>
    <definedName name="BL" localSheetId="25">CCR_BTM!$D$9</definedName>
    <definedName name="BL" localSheetId="27">CCR_OSW!$D$9</definedName>
    <definedName name="BL" localSheetId="26">'CCR_Utility-Scale'!$D$9</definedName>
    <definedName name="CCR">Assumptions!$B$7</definedName>
    <definedName name="Date_of_Operation">Assumptions!$B$5</definedName>
    <definedName name="DBR" localSheetId="25">CCR_BTM!$D$13</definedName>
    <definedName name="DBR" localSheetId="27">CCR_OSW!$D$13</definedName>
    <definedName name="DBR" localSheetId="26">'CCR_Utility-Scale'!$D$13</definedName>
    <definedName name="DbtRt" localSheetId="25">CCR_BTM!$D$4</definedName>
    <definedName name="DbtRt" localSheetId="27">CCR_OSW!$D$4</definedName>
    <definedName name="DbtRt" localSheetId="26">'CCR_Utility-Scale'!$D$4</definedName>
    <definedName name="discount_rate">Assumptions!$B$11</definedName>
    <definedName name="EITR" localSheetId="25">CCR_BTM!$D$15</definedName>
    <definedName name="EITR" localSheetId="27">CCR_OSW!$D$15</definedName>
    <definedName name="EITR" localSheetId="26">'CCR_Utility-Scale'!$D$15</definedName>
    <definedName name="EqRet" localSheetId="25">CCR_BTM!$D$6</definedName>
    <definedName name="EqRet" localSheetId="27">CCR_OSW!$D$6</definedName>
    <definedName name="EqRet" localSheetId="26">'CCR_Utility-Scale'!$D$6</definedName>
    <definedName name="Expense_Scale">Assumptions!$B$6</definedName>
    <definedName name="FITR" localSheetId="25">CCR_BTM!$D$7</definedName>
    <definedName name="FITR" localSheetId="27">CCR_OSW!$D$7</definedName>
    <definedName name="FITR" localSheetId="26">'CCR_Utility-Scale'!$D$7</definedName>
    <definedName name="HTML_CodePage" hidden="1">1252</definedName>
    <definedName name="HTML_Control" localSheetId="25" hidden="1">{"'Sheet1'!$A$1:$R$155"}</definedName>
    <definedName name="HTML_Control" localSheetId="27" hidden="1">{"'Sheet1'!$A$1:$R$155"}</definedName>
    <definedName name="HTML_Control" localSheetId="26" hidden="1">{"'Sheet1'!$A$1:$R$155"}</definedName>
    <definedName name="HTML_Control" localSheetId="23" hidden="1">{"'Sheet1'!$A$1:$R$155"}</definedName>
    <definedName name="HTML_Control" hidden="1">{"'Sheet1'!$A$1:$R$155"}</definedName>
    <definedName name="HTML_Control_Ori" localSheetId="25" hidden="1">{"'Sheet1'!$A$14:$K$113"}</definedName>
    <definedName name="HTML_Control_Ori" localSheetId="27" hidden="1">{"'Sheet1'!$A$14:$K$113"}</definedName>
    <definedName name="HTML_Control_Ori" localSheetId="26" hidden="1">{"'Sheet1'!$A$14:$K$113"}</definedName>
    <definedName name="HTML_Control_Ori" localSheetId="23" hidden="1">{"'Sheet1'!$A$14:$K$113"}</definedName>
    <definedName name="HTML_Control_Ori" hidden="1">{"'Sheet1'!$A$14:$K$113"}</definedName>
    <definedName name="HTML_Description" hidden="1">""</definedName>
    <definedName name="HTML_Email" hidden="1">""</definedName>
    <definedName name="HTML_Header" hidden="1">""</definedName>
    <definedName name="HTML_LastUpdate" hidden="1">"11/02/2001"</definedName>
    <definedName name="HTML_LineAfter" hidden="1">TRUE</definedName>
    <definedName name="HTML_LineBefore" hidden="1">FALSE</definedName>
    <definedName name="HTML_Name" hidden="1">"BLynch"</definedName>
    <definedName name="HTML_OBDlg2" hidden="1">TRUE</definedName>
    <definedName name="HTML_OBDlg4" hidden="1">TRUE</definedName>
    <definedName name="HTML_OS" hidden="1">0</definedName>
    <definedName name="HTML_PathFile" hidden="1">"I:\SIS Applications\MyHTML-SIS-110201.htm"</definedName>
    <definedName name="HTML_PathFileMac" hidden="1">"Bob's G4:Desktop Folder:MyHTML.html"</definedName>
    <definedName name="HTML_Title" hidden="1">"Interconnection Study Status"</definedName>
    <definedName name="HTMLcontrol" localSheetId="25" hidden="1">{"'Sheet1'!$A$1:$R$155"}</definedName>
    <definedName name="HTMLcontrol" localSheetId="27" hidden="1">{"'Sheet1'!$A$1:$R$155"}</definedName>
    <definedName name="HTMLcontrol" localSheetId="26" hidden="1">{"'Sheet1'!$A$1:$R$155"}</definedName>
    <definedName name="HTMLcontrol" localSheetId="23" hidden="1">{"'Sheet1'!$A$1:$R$155"}</definedName>
    <definedName name="HTMLcontrol" hidden="1">{"'Sheet1'!$A$1:$R$155"}</definedName>
    <definedName name="HTMLControlOri" localSheetId="25" hidden="1">{"'Sheet1'!$A$14:$K$113"}</definedName>
    <definedName name="HTMLControlOri" localSheetId="27" hidden="1">{"'Sheet1'!$A$14:$K$113"}</definedName>
    <definedName name="HTMLControlOri" localSheetId="26" hidden="1">{"'Sheet1'!$A$14:$K$113"}</definedName>
    <definedName name="HTMLControlOri" localSheetId="23" hidden="1">{"'Sheet1'!$A$14:$K$113"}</definedName>
    <definedName name="HTMLControlOri" hidden="1">{"'Sheet1'!$A$14:$K$113"}</definedName>
    <definedName name="Inf" localSheetId="25">CCR_BTM!$D$12</definedName>
    <definedName name="Inf" localSheetId="27">CCR_OSW!$D$12</definedName>
    <definedName name="Inf" localSheetId="26">'CCR_Utility-Scale'!$D$12</definedName>
    <definedName name="Int" localSheetId="25">CCR_BTM!$D$5</definedName>
    <definedName name="Int" localSheetId="27">CCR_OSW!$D$5</definedName>
    <definedName name="Int" localSheetId="26">'CCR_Utility-Scale'!$D$5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TCR" localSheetId="25">CCR_BTM!$D$11</definedName>
    <definedName name="ITCR" localSheetId="27">CCR_OSW!$D$11</definedName>
    <definedName name="ITCR" localSheetId="26">'CCR_Utility-Scale'!$D$11</definedName>
    <definedName name="ListOffset" hidden="1">8</definedName>
    <definedName name="million">Assumptions!$B$4</definedName>
    <definedName name="Misc_Material" hidden="1">[1]EquipTable!$GP$13:$IH$516</definedName>
    <definedName name="N_o" localSheetId="25" hidden="1">{"'Sheet1'!$A$14:$K$113"}</definedName>
    <definedName name="N_o" localSheetId="27" hidden="1">{"'Sheet1'!$A$14:$K$113"}</definedName>
    <definedName name="N_o" localSheetId="26" hidden="1">{"'Sheet1'!$A$14:$K$113"}</definedName>
    <definedName name="N_o" localSheetId="23" hidden="1">{"'Sheet1'!$A$14:$K$113"}</definedName>
    <definedName name="N_o" hidden="1">{"'Sheet1'!$A$14:$K$113"}</definedName>
    <definedName name="NCCR" localSheetId="25">CCR_BTM!$D$17</definedName>
    <definedName name="NCCR" localSheetId="27">CCR_OSW!$D$17</definedName>
    <definedName name="NCCR" localSheetId="26">'CCR_Utility-Scale'!$D$17</definedName>
    <definedName name="No" localSheetId="25" hidden="1">{"'Sheet1'!$A$14:$K$113"}</definedName>
    <definedName name="No" localSheetId="27" hidden="1">{"'Sheet1'!$A$14:$K$113"}</definedName>
    <definedName name="No" localSheetId="26" hidden="1">{"'Sheet1'!$A$14:$K$113"}</definedName>
    <definedName name="No" localSheetId="23" hidden="1">{"'Sheet1'!$A$14:$K$113"}</definedName>
    <definedName name="No" hidden="1">{"'Sheet1'!$A$14:$K$113"}</definedName>
    <definedName name="NWACC" localSheetId="25">CCR_BTM!$D$16</definedName>
    <definedName name="NWACC" localSheetId="27">CCR_OSW!$D$16</definedName>
    <definedName name="NWACC" localSheetId="26">'CCR_Utility-Scale'!$D$16</definedName>
    <definedName name="_xlnm.Print_Area" localSheetId="22">All_Annual!$A$1:$AC$45</definedName>
    <definedName name="_xlnm.Print_Area" localSheetId="29">Battery_Comm_Resi_Annual!$A$1:$S$46</definedName>
    <definedName name="_xlnm.Print_Area" localSheetId="31">BTM_Storage_Backup!$A$1:$W$5</definedName>
    <definedName name="_xlnm.Print_Area" localSheetId="25">CCR_BTM!$A$1:$D$64</definedName>
    <definedName name="_xlnm.Print_Area" localSheetId="27">CCR_OSW!$A$1:$D$64</definedName>
    <definedName name="_xlnm.Print_Area" localSheetId="26">'CCR_Utility-Scale'!$A$1:$D$64</definedName>
    <definedName name="_xlnm.Print_Area" localSheetId="30">'Com_Res_MW Breakdown'!$A$1:$U$19</definedName>
    <definedName name="_xlnm.Print_Area" localSheetId="35">ModelFactors!$A$3:$D$14</definedName>
    <definedName name="_xlnm.Print_Area" localSheetId="49">'OSW Learning Scalers'!$A$1:$O$12</definedName>
    <definedName name="_xlnm.Print_Area" localSheetId="16">OSW_Annual!$A$1:$AC$45</definedName>
    <definedName name="_xlnm.Print_Area" localSheetId="6">'Report_Figure 7 Graph Data'!$A$1:$E$18</definedName>
    <definedName name="_xlnm.Print_Area" localSheetId="13">'Report_Table 2'!$A$1:$H$13</definedName>
    <definedName name="_xlnm.Print_Area" localSheetId="14">'Report_Table 6'!$A$1:$G$26</definedName>
    <definedName name="_xlnm.Print_Area" localSheetId="15">'Report_Table 7'!$A$1:$G$27</definedName>
    <definedName name="_xlnm.Print_Area" localSheetId="21">'Soo Green_Backup'!$A$1:$M$46</definedName>
    <definedName name="_xlnm.Print_Area" localSheetId="20">SooGreen_Annual!$A$1:$AC$45</definedName>
    <definedName name="_xlnm.Print_Area" localSheetId="18">Storage_Annual!$A$1:$AC$45</definedName>
    <definedName name="_xlnm.Print_Area" localSheetId="50">'Table 10'!$A$1:$T$36</definedName>
    <definedName name="_xlnm.Print_Area" localSheetId="51">'Table 12_OpEx'!$A$2:$I$18</definedName>
    <definedName name="_xlnm.Print_Area" localSheetId="0">TOC!$B$3:$D$69</definedName>
    <definedName name="_xlnm.Print_Titles" localSheetId="22">All_Annual!$A:$A</definedName>
    <definedName name="_xlnm.Print_Titles" localSheetId="29">Battery_Comm_Resi_Annual!$A:$A</definedName>
    <definedName name="_xlnm.Print_Titles" localSheetId="16">OSW_Annual!$A:$A</definedName>
    <definedName name="_xlnm.Print_Titles" localSheetId="20">SooGreen_Annual!$A:$A</definedName>
    <definedName name="_xlnm.Print_Titles" localSheetId="18">Storage_Annual!$A:$A</definedName>
    <definedName name="_xlnm.Print_Titles" localSheetId="0">TOC!$3:$8</definedName>
    <definedName name="PVDpr" localSheetId="25">CCR_BTM!$D$14</definedName>
    <definedName name="PVDpr" localSheetId="27">CCR_OSW!$D$14</definedName>
    <definedName name="PVDpr" localSheetId="26">'CCR_Utility-Scale'!$D$14</definedName>
    <definedName name="RCCR" localSheetId="25">CCR_BTM!$D$19</definedName>
    <definedName name="RCCR" localSheetId="27">CCR_OSW!$D$19</definedName>
    <definedName name="RCCR" localSheetId="26">'CCR_Utility-Scale'!$D$19</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WACC" localSheetId="25">CCR_BTM!$D$18</definedName>
    <definedName name="RWACC" localSheetId="27">CCR_OSW!$D$18</definedName>
    <definedName name="RWACC" localSheetId="26">'CCR_Utility-Scale'!$D$18</definedName>
    <definedName name="SITR" localSheetId="25">CCR_BTM!$D$8</definedName>
    <definedName name="SITR" localSheetId="27">CCR_OSW!$D$8</definedName>
    <definedName name="SITR" localSheetId="26">'CCR_Utility-Scale'!$D$8</definedName>
    <definedName name="TableName">"Dummy"</definedName>
    <definedName name="thousand">Assumptions!$B$3</definedName>
    <definedName name="TL" localSheetId="25">CCR_BTM!$D$10</definedName>
    <definedName name="TL" localSheetId="27">CCR_OSW!$D$10</definedName>
    <definedName name="TL" localSheetId="26">'CCR_Utility-Scale'!$D$10</definedName>
    <definedName name="Years">Assumptions!$B$10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15" l="1"/>
  <c r="B39" i="15"/>
  <c r="D43" i="15"/>
  <c r="D42" i="15"/>
  <c r="D32" i="15"/>
  <c r="D31" i="15"/>
  <c r="C28" i="15"/>
  <c r="C27" i="15"/>
  <c r="AD8" i="78"/>
  <c r="F21" i="22"/>
  <c r="F22" i="22"/>
  <c r="F23" i="22"/>
  <c r="F24" i="22"/>
  <c r="F25" i="22"/>
  <c r="F26" i="22"/>
  <c r="F27" i="22"/>
  <c r="F28" i="22"/>
  <c r="F29" i="22"/>
  <c r="F30" i="22"/>
  <c r="F31" i="22"/>
  <c r="F32" i="22"/>
  <c r="F33" i="22"/>
  <c r="F34" i="22"/>
  <c r="F35" i="22"/>
  <c r="F36" i="22"/>
  <c r="F37" i="22"/>
  <c r="F38" i="22"/>
  <c r="F39" i="22"/>
  <c r="F20" i="22"/>
  <c r="AL28" i="78"/>
  <c r="AM28" i="78"/>
  <c r="AM9" i="78"/>
  <c r="AM10" i="78"/>
  <c r="AM11" i="78"/>
  <c r="AM12" i="78"/>
  <c r="AM13" i="78"/>
  <c r="AM14" i="78"/>
  <c r="AM15" i="78"/>
  <c r="AM16" i="78"/>
  <c r="AM17" i="78"/>
  <c r="AM18" i="78"/>
  <c r="AM19" i="78"/>
  <c r="AM20" i="78"/>
  <c r="AM21" i="78"/>
  <c r="AM22" i="78"/>
  <c r="AM23" i="78"/>
  <c r="AM24" i="78"/>
  <c r="AM25" i="78"/>
  <c r="AM26" i="78"/>
  <c r="AM27" i="78"/>
  <c r="AM8" i="78"/>
  <c r="E21" i="22"/>
  <c r="E22" i="22"/>
  <c r="E23" i="22"/>
  <c r="E24" i="22"/>
  <c r="E25" i="22"/>
  <c r="E26" i="22"/>
  <c r="E27" i="22"/>
  <c r="E28" i="22"/>
  <c r="E29" i="22"/>
  <c r="E30" i="22"/>
  <c r="E31" i="22"/>
  <c r="E32" i="22"/>
  <c r="E33" i="22"/>
  <c r="E34" i="22"/>
  <c r="E35" i="22"/>
  <c r="E36" i="22"/>
  <c r="E37" i="22"/>
  <c r="E38" i="22"/>
  <c r="E39" i="22"/>
  <c r="E20" i="22"/>
  <c r="D21" i="22"/>
  <c r="D22" i="22"/>
  <c r="D23" i="22"/>
  <c r="D24" i="22"/>
  <c r="D25" i="22"/>
  <c r="D26" i="22"/>
  <c r="D27" i="22"/>
  <c r="D28" i="22"/>
  <c r="D29" i="22"/>
  <c r="D30" i="22"/>
  <c r="D31" i="22"/>
  <c r="D32" i="22"/>
  <c r="D33" i="22"/>
  <c r="D34" i="22"/>
  <c r="D35" i="22"/>
  <c r="D36" i="22"/>
  <c r="D37" i="22"/>
  <c r="D38" i="22"/>
  <c r="D39" i="22"/>
  <c r="D20" i="22"/>
  <c r="C21" i="22"/>
  <c r="C22" i="22"/>
  <c r="C23" i="22"/>
  <c r="C24" i="22"/>
  <c r="C25" i="22"/>
  <c r="C26" i="22"/>
  <c r="C27" i="22"/>
  <c r="C28" i="22"/>
  <c r="C29" i="22"/>
  <c r="C30" i="22"/>
  <c r="C31" i="22"/>
  <c r="C32" i="22"/>
  <c r="C33" i="22"/>
  <c r="C34" i="22"/>
  <c r="C35" i="22"/>
  <c r="C36" i="22"/>
  <c r="C37" i="22"/>
  <c r="C38" i="22"/>
  <c r="C39" i="22"/>
  <c r="C20" i="22"/>
  <c r="F21" i="14"/>
  <c r="F22" i="14"/>
  <c r="F23" i="14"/>
  <c r="F24" i="14"/>
  <c r="F25" i="14"/>
  <c r="F26" i="14"/>
  <c r="F27" i="14"/>
  <c r="F28" i="14"/>
  <c r="F29" i="14"/>
  <c r="F30" i="14"/>
  <c r="F31" i="14"/>
  <c r="F32" i="14"/>
  <c r="F33" i="14"/>
  <c r="F34" i="14"/>
  <c r="F35" i="14"/>
  <c r="F36" i="14"/>
  <c r="F37" i="14"/>
  <c r="F38" i="14"/>
  <c r="F39" i="14"/>
  <c r="F20" i="14"/>
  <c r="E21" i="14"/>
  <c r="E22" i="14"/>
  <c r="E23" i="14"/>
  <c r="E24" i="14"/>
  <c r="E25" i="14"/>
  <c r="E26" i="14"/>
  <c r="E27" i="14"/>
  <c r="E28" i="14"/>
  <c r="E29" i="14"/>
  <c r="E30" i="14"/>
  <c r="E31" i="14"/>
  <c r="E32" i="14"/>
  <c r="E33" i="14"/>
  <c r="E34" i="14"/>
  <c r="E35" i="14"/>
  <c r="E36" i="14"/>
  <c r="E37" i="14"/>
  <c r="E38" i="14"/>
  <c r="E39" i="14"/>
  <c r="E20" i="14"/>
  <c r="D21" i="14"/>
  <c r="D22" i="14"/>
  <c r="D23" i="14"/>
  <c r="D24" i="14"/>
  <c r="D25" i="14"/>
  <c r="D26" i="14"/>
  <c r="D27" i="14"/>
  <c r="D28" i="14"/>
  <c r="D29" i="14"/>
  <c r="D30" i="14"/>
  <c r="D31" i="14"/>
  <c r="D32" i="14"/>
  <c r="D33" i="14"/>
  <c r="D34" i="14"/>
  <c r="D35" i="14"/>
  <c r="D36" i="14"/>
  <c r="D37" i="14"/>
  <c r="D38" i="14"/>
  <c r="D39" i="14"/>
  <c r="D20" i="14"/>
  <c r="C21" i="14"/>
  <c r="C22" i="14"/>
  <c r="C23" i="14"/>
  <c r="C24" i="14"/>
  <c r="C25" i="14"/>
  <c r="C26" i="14"/>
  <c r="C27" i="14"/>
  <c r="C28" i="14"/>
  <c r="C29" i="14"/>
  <c r="C30" i="14"/>
  <c r="C31" i="14"/>
  <c r="C32" i="14"/>
  <c r="C33" i="14"/>
  <c r="C34" i="14"/>
  <c r="C35" i="14"/>
  <c r="C36" i="14"/>
  <c r="C37" i="14"/>
  <c r="C38" i="14"/>
  <c r="C39" i="14"/>
  <c r="C20" i="14"/>
  <c r="F21" i="12"/>
  <c r="F22" i="12"/>
  <c r="F23" i="12"/>
  <c r="F24" i="12"/>
  <c r="F25" i="12"/>
  <c r="F26" i="12"/>
  <c r="F27" i="12"/>
  <c r="F28" i="12"/>
  <c r="F29" i="12"/>
  <c r="F30" i="12"/>
  <c r="F31" i="12"/>
  <c r="F32" i="12"/>
  <c r="F33" i="12"/>
  <c r="F34" i="12"/>
  <c r="F35" i="12"/>
  <c r="F36" i="12"/>
  <c r="F37" i="12"/>
  <c r="F38" i="12"/>
  <c r="F39" i="12"/>
  <c r="F20" i="12"/>
  <c r="E21" i="12"/>
  <c r="E22" i="12"/>
  <c r="E23" i="12"/>
  <c r="E24" i="12"/>
  <c r="E25" i="12"/>
  <c r="E26" i="12"/>
  <c r="E27" i="12"/>
  <c r="E28" i="12"/>
  <c r="E29" i="12"/>
  <c r="E30" i="12"/>
  <c r="E31" i="12"/>
  <c r="E32" i="12"/>
  <c r="E33" i="12"/>
  <c r="E34" i="12"/>
  <c r="E35" i="12"/>
  <c r="E36" i="12"/>
  <c r="E37" i="12"/>
  <c r="E38" i="12"/>
  <c r="E39" i="12"/>
  <c r="E20" i="12"/>
  <c r="D21" i="12"/>
  <c r="D22" i="12"/>
  <c r="D23" i="12"/>
  <c r="D24" i="12"/>
  <c r="D25" i="12"/>
  <c r="D26" i="12"/>
  <c r="D27" i="12"/>
  <c r="D28" i="12"/>
  <c r="D29" i="12"/>
  <c r="D30" i="12"/>
  <c r="D31" i="12"/>
  <c r="D32" i="12"/>
  <c r="D33" i="12"/>
  <c r="D34" i="12"/>
  <c r="D35" i="12"/>
  <c r="D36" i="12"/>
  <c r="D37" i="12"/>
  <c r="D38" i="12"/>
  <c r="D39" i="12"/>
  <c r="D20" i="12"/>
  <c r="C21" i="12"/>
  <c r="C22" i="12"/>
  <c r="C23" i="12"/>
  <c r="C24" i="12"/>
  <c r="C25" i="12"/>
  <c r="C26" i="12"/>
  <c r="C27" i="12"/>
  <c r="C28" i="12"/>
  <c r="C29" i="12"/>
  <c r="C30" i="12"/>
  <c r="C31" i="12"/>
  <c r="C32" i="12"/>
  <c r="C33" i="12"/>
  <c r="C34" i="12"/>
  <c r="C35" i="12"/>
  <c r="C36" i="12"/>
  <c r="C37" i="12"/>
  <c r="C38" i="12"/>
  <c r="C39" i="12"/>
  <c r="C20" i="12"/>
  <c r="F21" i="3"/>
  <c r="F22" i="3"/>
  <c r="F23" i="3"/>
  <c r="F24" i="3"/>
  <c r="F25" i="3"/>
  <c r="F26" i="3"/>
  <c r="F27" i="3"/>
  <c r="F28" i="3"/>
  <c r="F29" i="3"/>
  <c r="F30" i="3"/>
  <c r="F31" i="3"/>
  <c r="F32" i="3"/>
  <c r="F33" i="3"/>
  <c r="F34" i="3"/>
  <c r="F35" i="3"/>
  <c r="F36" i="3"/>
  <c r="F37" i="3"/>
  <c r="F38" i="3"/>
  <c r="F39" i="3"/>
  <c r="F20" i="3"/>
  <c r="E21" i="3"/>
  <c r="E22" i="3"/>
  <c r="E23" i="3"/>
  <c r="E24" i="3"/>
  <c r="E25" i="3"/>
  <c r="E26" i="3"/>
  <c r="E27" i="3"/>
  <c r="E28" i="3"/>
  <c r="E29" i="3"/>
  <c r="E30" i="3"/>
  <c r="E31" i="3"/>
  <c r="E32" i="3"/>
  <c r="E33" i="3"/>
  <c r="E34" i="3"/>
  <c r="E35" i="3"/>
  <c r="E36" i="3"/>
  <c r="E37" i="3"/>
  <c r="E38" i="3"/>
  <c r="E39" i="3"/>
  <c r="E20" i="3"/>
  <c r="D21" i="3"/>
  <c r="D22" i="3"/>
  <c r="D23" i="3"/>
  <c r="D24" i="3"/>
  <c r="D25" i="3"/>
  <c r="D26" i="3"/>
  <c r="D27" i="3"/>
  <c r="D28" i="3"/>
  <c r="D29" i="3"/>
  <c r="D30" i="3"/>
  <c r="D31" i="3"/>
  <c r="D32" i="3"/>
  <c r="D33" i="3"/>
  <c r="D34" i="3"/>
  <c r="D35" i="3"/>
  <c r="D36" i="3"/>
  <c r="D37" i="3"/>
  <c r="D38" i="3"/>
  <c r="D39" i="3"/>
  <c r="D20" i="3"/>
  <c r="C21" i="3"/>
  <c r="C22" i="3"/>
  <c r="C23" i="3"/>
  <c r="C24" i="3"/>
  <c r="C25" i="3"/>
  <c r="C26" i="3"/>
  <c r="C27" i="3"/>
  <c r="C28" i="3"/>
  <c r="C29" i="3"/>
  <c r="C30" i="3"/>
  <c r="C31" i="3"/>
  <c r="C32" i="3"/>
  <c r="C33" i="3"/>
  <c r="C34" i="3"/>
  <c r="C35" i="3"/>
  <c r="C36" i="3"/>
  <c r="C37" i="3"/>
  <c r="C38" i="3"/>
  <c r="C39" i="3"/>
  <c r="C20" i="3"/>
  <c r="V31" i="79"/>
  <c r="U31" i="79"/>
  <c r="Q31" i="79"/>
  <c r="P31" i="79"/>
  <c r="L31" i="79"/>
  <c r="M31" i="79" s="1"/>
  <c r="K31" i="79"/>
  <c r="G31" i="79"/>
  <c r="F31" i="79"/>
  <c r="C31" i="79"/>
  <c r="W31" i="79" s="1"/>
  <c r="B31" i="79"/>
  <c r="W30" i="79"/>
  <c r="R30" i="79"/>
  <c r="M30" i="79"/>
  <c r="H30" i="79"/>
  <c r="W29" i="79"/>
  <c r="R29" i="79"/>
  <c r="M29" i="79"/>
  <c r="H29" i="79"/>
  <c r="W28" i="79"/>
  <c r="R28" i="79"/>
  <c r="M28" i="79"/>
  <c r="H28" i="79"/>
  <c r="W27" i="79"/>
  <c r="R27" i="79"/>
  <c r="M27" i="79"/>
  <c r="H27" i="79"/>
  <c r="W26" i="79"/>
  <c r="R26" i="79"/>
  <c r="M26" i="79"/>
  <c r="H26" i="79"/>
  <c r="W25" i="79"/>
  <c r="R25" i="79"/>
  <c r="M25" i="79"/>
  <c r="H25" i="79"/>
  <c r="W24" i="79"/>
  <c r="R24" i="79"/>
  <c r="M24" i="79"/>
  <c r="H24" i="79"/>
  <c r="W23" i="79"/>
  <c r="R23" i="79"/>
  <c r="M23" i="79"/>
  <c r="H23" i="79"/>
  <c r="W22" i="79"/>
  <c r="R22" i="79"/>
  <c r="M22" i="79"/>
  <c r="H22" i="79"/>
  <c r="W21" i="79"/>
  <c r="R21" i="79"/>
  <c r="M21" i="79"/>
  <c r="H21" i="79"/>
  <c r="W20" i="79"/>
  <c r="R20" i="79"/>
  <c r="M20" i="79"/>
  <c r="H20" i="79"/>
  <c r="W19" i="79"/>
  <c r="R19" i="79"/>
  <c r="M19" i="79"/>
  <c r="H19" i="79"/>
  <c r="W18" i="79"/>
  <c r="R18" i="79"/>
  <c r="M18" i="79"/>
  <c r="H18" i="79"/>
  <c r="W17" i="79"/>
  <c r="R17" i="79"/>
  <c r="M17" i="79"/>
  <c r="H17" i="79"/>
  <c r="W16" i="79"/>
  <c r="R16" i="79"/>
  <c r="M16" i="79"/>
  <c r="H16" i="79"/>
  <c r="W15" i="79"/>
  <c r="R15" i="79"/>
  <c r="M15" i="79"/>
  <c r="H15" i="79"/>
  <c r="W14" i="79"/>
  <c r="R14" i="79"/>
  <c r="M14" i="79"/>
  <c r="H14" i="79"/>
  <c r="W13" i="79"/>
  <c r="R13" i="79"/>
  <c r="M13" i="79"/>
  <c r="H13" i="79"/>
  <c r="W12" i="79"/>
  <c r="R12" i="79"/>
  <c r="M12" i="79"/>
  <c r="H12" i="79"/>
  <c r="W11" i="79"/>
  <c r="R11" i="79"/>
  <c r="M11" i="79"/>
  <c r="H11" i="79"/>
  <c r="W10" i="79"/>
  <c r="R10" i="79"/>
  <c r="M10" i="79"/>
  <c r="H10" i="79"/>
  <c r="W9" i="79"/>
  <c r="R9" i="79"/>
  <c r="M9" i="79"/>
  <c r="H9" i="79"/>
  <c r="W8" i="79"/>
  <c r="R8" i="79"/>
  <c r="M8" i="79"/>
  <c r="H8" i="79"/>
  <c r="W7" i="79"/>
  <c r="R7" i="79"/>
  <c r="M7" i="79"/>
  <c r="H7" i="79"/>
  <c r="W6" i="79"/>
  <c r="R6" i="79"/>
  <c r="M6" i="79"/>
  <c r="H6" i="79"/>
  <c r="AJ28" i="78"/>
  <c r="AI28" i="78"/>
  <c r="AH28" i="78"/>
  <c r="AC28" i="78"/>
  <c r="AE28" i="78" s="1"/>
  <c r="AB28" i="78"/>
  <c r="AA28" i="78"/>
  <c r="W28" i="78"/>
  <c r="V28" i="78"/>
  <c r="U28" i="78"/>
  <c r="Q28" i="78"/>
  <c r="P28" i="78"/>
  <c r="O28" i="78"/>
  <c r="J28" i="78"/>
  <c r="L28" i="78" s="1"/>
  <c r="I28" i="78"/>
  <c r="H28" i="78"/>
  <c r="D28" i="78"/>
  <c r="C28" i="78"/>
  <c r="B28" i="78"/>
  <c r="AK27" i="78"/>
  <c r="AE27" i="78"/>
  <c r="AD27" i="78"/>
  <c r="AL27" i="78" s="1"/>
  <c r="X27" i="78"/>
  <c r="R27" i="78"/>
  <c r="L27" i="78"/>
  <c r="K27" i="78"/>
  <c r="E27" i="78"/>
  <c r="AK26" i="78"/>
  <c r="AL26" i="78" s="1"/>
  <c r="AE26" i="78"/>
  <c r="AD26" i="78"/>
  <c r="X26" i="78"/>
  <c r="R26" i="78"/>
  <c r="L26" i="78"/>
  <c r="K26" i="78"/>
  <c r="E26" i="78"/>
  <c r="AK25" i="78"/>
  <c r="AL25" i="78" s="1"/>
  <c r="AE25" i="78"/>
  <c r="AD25" i="78"/>
  <c r="X25" i="78"/>
  <c r="R25" i="78"/>
  <c r="L25" i="78"/>
  <c r="K25" i="78"/>
  <c r="E25" i="78"/>
  <c r="AK24" i="78"/>
  <c r="AL24" i="78" s="1"/>
  <c r="AE24" i="78"/>
  <c r="AD24" i="78"/>
  <c r="X24" i="78"/>
  <c r="R24" i="78"/>
  <c r="L24" i="78"/>
  <c r="K24" i="78"/>
  <c r="E24" i="78"/>
  <c r="AL23" i="78"/>
  <c r="AK23" i="78"/>
  <c r="AE23" i="78"/>
  <c r="AD23" i="78"/>
  <c r="X23" i="78"/>
  <c r="R23" i="78"/>
  <c r="L23" i="78"/>
  <c r="K23" i="78"/>
  <c r="E23" i="78"/>
  <c r="AK22" i="78"/>
  <c r="AL22" i="78" s="1"/>
  <c r="AE22" i="78"/>
  <c r="AD22" i="78"/>
  <c r="X22" i="78"/>
  <c r="R22" i="78"/>
  <c r="L22" i="78"/>
  <c r="K22" i="78"/>
  <c r="E22" i="78"/>
  <c r="AK21" i="78"/>
  <c r="AL21" i="78" s="1"/>
  <c r="AE21" i="78"/>
  <c r="AD21" i="78"/>
  <c r="X21" i="78"/>
  <c r="R21" i="78"/>
  <c r="L21" i="78"/>
  <c r="K21" i="78"/>
  <c r="E21" i="78"/>
  <c r="AK20" i="78"/>
  <c r="AL20" i="78" s="1"/>
  <c r="AE20" i="78"/>
  <c r="AD20" i="78"/>
  <c r="X20" i="78"/>
  <c r="R20" i="78"/>
  <c r="L20" i="78"/>
  <c r="K20" i="78"/>
  <c r="E20" i="78"/>
  <c r="AK19" i="78"/>
  <c r="AE19" i="78"/>
  <c r="AD19" i="78"/>
  <c r="AL19" i="78" s="1"/>
  <c r="X19" i="78"/>
  <c r="R19" i="78"/>
  <c r="L19" i="78"/>
  <c r="K19" i="78"/>
  <c r="E19" i="78"/>
  <c r="AK18" i="78"/>
  <c r="AL18" i="78" s="1"/>
  <c r="AE18" i="78"/>
  <c r="AD18" i="78"/>
  <c r="X18" i="78"/>
  <c r="R18" i="78"/>
  <c r="L18" i="78"/>
  <c r="K18" i="78"/>
  <c r="E18" i="78"/>
  <c r="AK17" i="78"/>
  <c r="AL17" i="78" s="1"/>
  <c r="AE17" i="78"/>
  <c r="AD17" i="78"/>
  <c r="X17" i="78"/>
  <c r="R17" i="78"/>
  <c r="L17" i="78"/>
  <c r="K17" i="78"/>
  <c r="E17" i="78"/>
  <c r="AK16" i="78"/>
  <c r="AL16" i="78" s="1"/>
  <c r="AE16" i="78"/>
  <c r="AD16" i="78"/>
  <c r="X16" i="78"/>
  <c r="R16" i="78"/>
  <c r="L16" i="78"/>
  <c r="K16" i="78"/>
  <c r="E16" i="78"/>
  <c r="AL15" i="78"/>
  <c r="AK15" i="78"/>
  <c r="AE15" i="78"/>
  <c r="AD15" i="78"/>
  <c r="X15" i="78"/>
  <c r="R15" i="78"/>
  <c r="L15" i="78"/>
  <c r="K15" i="78"/>
  <c r="E15" i="78"/>
  <c r="E28" i="78" s="1"/>
  <c r="AK14" i="78"/>
  <c r="AL14" i="78" s="1"/>
  <c r="AE14" i="78"/>
  <c r="AD14" i="78"/>
  <c r="X14" i="78"/>
  <c r="R14" i="78"/>
  <c r="L14" i="78"/>
  <c r="K14" i="78"/>
  <c r="E14" i="78"/>
  <c r="AK13" i="78"/>
  <c r="AL13" i="78" s="1"/>
  <c r="AE13" i="78"/>
  <c r="AD13" i="78"/>
  <c r="X13" i="78"/>
  <c r="R13" i="78"/>
  <c r="L13" i="78"/>
  <c r="K13" i="78"/>
  <c r="E13" i="78"/>
  <c r="AK12" i="78"/>
  <c r="AL12" i="78" s="1"/>
  <c r="AE12" i="78"/>
  <c r="AD12" i="78"/>
  <c r="X12" i="78"/>
  <c r="R12" i="78"/>
  <c r="R28" i="78" s="1"/>
  <c r="L12" i="78"/>
  <c r="K12" i="78"/>
  <c r="E12" i="78"/>
  <c r="AK11" i="78"/>
  <c r="AE11" i="78"/>
  <c r="AD11" i="78"/>
  <c r="AL11" i="78" s="1"/>
  <c r="X11" i="78"/>
  <c r="R11" i="78"/>
  <c r="L11" i="78"/>
  <c r="K11" i="78"/>
  <c r="E11" i="78"/>
  <c r="AK10" i="78"/>
  <c r="AL10" i="78" s="1"/>
  <c r="AE10" i="78"/>
  <c r="AD10" i="78"/>
  <c r="AD28" i="78" s="1"/>
  <c r="X10" i="78"/>
  <c r="R10" i="78"/>
  <c r="L10" i="78"/>
  <c r="K10" i="78"/>
  <c r="E10" i="78"/>
  <c r="AK9" i="78"/>
  <c r="AL9" i="78" s="1"/>
  <c r="AE9" i="78"/>
  <c r="AD9" i="78"/>
  <c r="X9" i="78"/>
  <c r="R9" i="78"/>
  <c r="L9" i="78"/>
  <c r="K9" i="78"/>
  <c r="E9" i="78"/>
  <c r="AK8" i="78"/>
  <c r="AK28" i="78" s="1"/>
  <c r="AE8" i="78"/>
  <c r="X8" i="78"/>
  <c r="R8" i="78"/>
  <c r="L8" i="78"/>
  <c r="K8" i="78"/>
  <c r="K28" i="78" s="1"/>
  <c r="E8" i="78"/>
  <c r="X7" i="78"/>
  <c r="E7" i="78"/>
  <c r="X6" i="78"/>
  <c r="E6" i="78"/>
  <c r="X5" i="78"/>
  <c r="E5" i="78"/>
  <c r="X4" i="78"/>
  <c r="E4" i="78"/>
  <c r="X3" i="78"/>
  <c r="X28" i="78" s="1"/>
  <c r="E3" i="78"/>
  <c r="R31" i="79" l="1"/>
  <c r="H31" i="79"/>
  <c r="AL8" i="78"/>
  <c r="G10" i="76" l="1"/>
  <c r="G11" i="76"/>
  <c r="G12" i="76"/>
  <c r="G13" i="76"/>
  <c r="G14" i="76"/>
  <c r="G15" i="76"/>
  <c r="G16" i="76"/>
  <c r="G17" i="76"/>
  <c r="G18" i="76"/>
  <c r="G19" i="76"/>
  <c r="G20" i="76"/>
  <c r="G21" i="76"/>
  <c r="G22" i="76"/>
  <c r="G23" i="76"/>
  <c r="G24" i="76"/>
  <c r="G25" i="76"/>
  <c r="G26" i="76"/>
  <c r="G27" i="76"/>
  <c r="G28" i="76"/>
  <c r="G9" i="76"/>
  <c r="AA28" i="76"/>
  <c r="L5" i="76" s="1"/>
  <c r="M5" i="76" s="1"/>
  <c r="L4" i="76"/>
  <c r="M4" i="76" s="1"/>
  <c r="W28" i="76"/>
  <c r="S28" i="76"/>
  <c r="E28" i="76"/>
  <c r="E27" i="76"/>
  <c r="D27" i="76"/>
  <c r="E26" i="76"/>
  <c r="E25" i="76"/>
  <c r="E24" i="76"/>
  <c r="E23" i="76"/>
  <c r="E22" i="76"/>
  <c r="E21" i="76"/>
  <c r="E20" i="76"/>
  <c r="E19" i="76"/>
  <c r="D19" i="76"/>
  <c r="E18" i="76"/>
  <c r="E17" i="76"/>
  <c r="E16" i="76"/>
  <c r="D16" i="76"/>
  <c r="E15" i="76"/>
  <c r="E14" i="76"/>
  <c r="E13" i="76"/>
  <c r="E12" i="76"/>
  <c r="D12" i="76"/>
  <c r="E11" i="76"/>
  <c r="E10" i="76"/>
  <c r="E9" i="76"/>
  <c r="M3" i="76"/>
  <c r="D22" i="76" s="1"/>
  <c r="F28" i="76" l="1"/>
  <c r="F9" i="76"/>
  <c r="H22" i="76"/>
  <c r="H12" i="76"/>
  <c r="F22" i="76"/>
  <c r="F19" i="76"/>
  <c r="D13" i="76"/>
  <c r="D24" i="76"/>
  <c r="F27" i="76"/>
  <c r="F10" i="76"/>
  <c r="D11" i="76"/>
  <c r="H13" i="76"/>
  <c r="F17" i="76"/>
  <c r="D21" i="76"/>
  <c r="H28" i="76"/>
  <c r="F25" i="76"/>
  <c r="F11" i="76"/>
  <c r="F14" i="76"/>
  <c r="D10" i="76"/>
  <c r="F16" i="76"/>
  <c r="D18" i="76"/>
  <c r="H19" i="76"/>
  <c r="F24" i="76"/>
  <c r="D26" i="76"/>
  <c r="H27" i="76"/>
  <c r="F13" i="76"/>
  <c r="D15" i="76"/>
  <c r="H16" i="76"/>
  <c r="F21" i="76"/>
  <c r="D23" i="76"/>
  <c r="H24" i="76"/>
  <c r="F18" i="76"/>
  <c r="D20" i="76"/>
  <c r="H21" i="76"/>
  <c r="F26" i="76"/>
  <c r="D28" i="76"/>
  <c r="D9" i="76"/>
  <c r="H9" i="76" s="1"/>
  <c r="F15" i="76"/>
  <c r="D17" i="76"/>
  <c r="F23" i="76"/>
  <c r="D25" i="76"/>
  <c r="F12" i="76"/>
  <c r="D14" i="76"/>
  <c r="H14" i="76" s="1"/>
  <c r="F20" i="76"/>
  <c r="M27" i="15"/>
  <c r="AR10" i="80"/>
  <c r="H17" i="76" l="1"/>
  <c r="H25" i="76"/>
  <c r="H11" i="76"/>
  <c r="H23" i="76"/>
  <c r="H18" i="76"/>
  <c r="H20" i="76"/>
  <c r="H15" i="76"/>
  <c r="H10" i="76"/>
  <c r="H26" i="76"/>
  <c r="B4" i="38" l="1"/>
  <c r="A19" i="60"/>
  <c r="AA39" i="22" l="1"/>
  <c r="AA38" i="22"/>
  <c r="AA37" i="22"/>
  <c r="AA36" i="22"/>
  <c r="AA35" i="22"/>
  <c r="AA34" i="22"/>
  <c r="AA33" i="22"/>
  <c r="AA32" i="22"/>
  <c r="AA31" i="22"/>
  <c r="AA30" i="22"/>
  <c r="AA29" i="22"/>
  <c r="AA28" i="22"/>
  <c r="AA27" i="22"/>
  <c r="AA26" i="22"/>
  <c r="AA25" i="22"/>
  <c r="AA24" i="22"/>
  <c r="AA23" i="22"/>
  <c r="AA22" i="22"/>
  <c r="AA21" i="22"/>
  <c r="AA20" i="22"/>
  <c r="U39" i="22"/>
  <c r="U38" i="22"/>
  <c r="U37" i="22"/>
  <c r="U36" i="22"/>
  <c r="U35" i="22"/>
  <c r="U34" i="22"/>
  <c r="U33" i="22"/>
  <c r="U32" i="22"/>
  <c r="U31" i="22"/>
  <c r="U30" i="22"/>
  <c r="U29" i="22"/>
  <c r="U28" i="22"/>
  <c r="U27" i="22"/>
  <c r="U26" i="22"/>
  <c r="U25" i="22"/>
  <c r="U24" i="22"/>
  <c r="U23" i="22"/>
  <c r="U22" i="22"/>
  <c r="U21" i="22"/>
  <c r="U20" i="22"/>
  <c r="U42" i="22" s="1"/>
  <c r="AE5" i="80" l="1"/>
  <c r="AE7" i="80" s="1"/>
  <c r="AD8" i="80"/>
  <c r="AE8" i="80" s="1"/>
  <c r="AC9" i="80"/>
  <c r="AC10" i="80" s="1"/>
  <c r="AC11" i="80" s="1"/>
  <c r="AC12" i="80" s="1"/>
  <c r="AC13" i="80" s="1"/>
  <c r="AC14" i="80" s="1"/>
  <c r="AC15" i="80" s="1"/>
  <c r="AC16" i="80" s="1"/>
  <c r="AC17" i="80" s="1"/>
  <c r="AC18" i="80" s="1"/>
  <c r="AC19" i="80" s="1"/>
  <c r="AC20" i="80" s="1"/>
  <c r="AC21" i="80" s="1"/>
  <c r="AC22" i="80" s="1"/>
  <c r="AC23" i="80" s="1"/>
  <c r="AC24" i="80" s="1"/>
  <c r="AC25" i="80" s="1"/>
  <c r="AC26" i="80" s="1"/>
  <c r="AC27" i="80" s="1"/>
  <c r="AC28" i="80" s="1"/>
  <c r="AC29" i="80" s="1"/>
  <c r="AC30" i="80" s="1"/>
  <c r="AC31" i="80" s="1"/>
  <c r="AC32" i="80" s="1"/>
  <c r="AC33" i="80" s="1"/>
  <c r="AC34" i="80" s="1"/>
  <c r="AC35" i="80" s="1"/>
  <c r="AC36" i="80" s="1"/>
  <c r="AC37" i="80" s="1"/>
  <c r="AD9" i="80"/>
  <c r="AE9" i="80" s="1"/>
  <c r="AO9" i="80"/>
  <c r="AD10" i="80"/>
  <c r="AE10" i="80" s="1"/>
  <c r="AO10" i="80"/>
  <c r="AD11" i="80"/>
  <c r="AE11" i="80" s="1"/>
  <c r="AO11" i="80"/>
  <c r="AD12" i="80"/>
  <c r="AE12" i="80" s="1"/>
  <c r="AO12" i="80"/>
  <c r="AD13" i="80"/>
  <c r="AE13" i="80" s="1"/>
  <c r="AO13" i="80"/>
  <c r="AD14" i="80"/>
  <c r="AE14" i="80" s="1"/>
  <c r="AO14" i="80"/>
  <c r="AD15" i="80"/>
  <c r="AE15" i="80" s="1"/>
  <c r="AO15" i="80"/>
  <c r="AD16" i="80"/>
  <c r="AE16" i="80" s="1"/>
  <c r="AO16" i="80"/>
  <c r="AD17" i="80"/>
  <c r="AE17" i="80" s="1"/>
  <c r="AF17" i="80" s="1"/>
  <c r="AG17" i="80" s="1"/>
  <c r="AO17" i="80"/>
  <c r="AD18" i="80"/>
  <c r="AO18" i="80"/>
  <c r="AD19" i="80"/>
  <c r="AE19" i="80" s="1"/>
  <c r="AO19" i="80"/>
  <c r="AD20" i="80"/>
  <c r="AE20" i="80" s="1"/>
  <c r="AF20" i="80" s="1"/>
  <c r="AG20" i="80" s="1"/>
  <c r="AO20" i="80"/>
  <c r="AD21" i="80"/>
  <c r="AE21" i="80" s="1"/>
  <c r="AF21" i="80" s="1"/>
  <c r="AG21" i="80" s="1"/>
  <c r="AO21" i="80"/>
  <c r="AD22" i="80"/>
  <c r="AE22" i="80" s="1"/>
  <c r="AF22" i="80" s="1"/>
  <c r="AG22" i="80" s="1"/>
  <c r="AO22" i="80"/>
  <c r="AD23" i="80"/>
  <c r="AE23" i="80" s="1"/>
  <c r="AF23" i="80" s="1"/>
  <c r="AG23" i="80" s="1"/>
  <c r="AO23" i="80"/>
  <c r="AD24" i="80"/>
  <c r="AE24" i="80" s="1"/>
  <c r="AF24" i="80" s="1"/>
  <c r="AG24" i="80" s="1"/>
  <c r="AO24" i="80"/>
  <c r="AD25" i="80"/>
  <c r="AE25" i="80" s="1"/>
  <c r="AF25" i="80" s="1"/>
  <c r="AG25" i="80" s="1"/>
  <c r="AO25" i="80"/>
  <c r="AD26" i="80"/>
  <c r="AE26" i="80" s="1"/>
  <c r="AF26" i="80" s="1"/>
  <c r="AG26" i="80" s="1"/>
  <c r="AO26" i="80"/>
  <c r="AD27" i="80"/>
  <c r="AE27" i="80" s="1"/>
  <c r="AF27" i="80" s="1"/>
  <c r="AG27" i="80" s="1"/>
  <c r="AO27" i="80"/>
  <c r="AD28" i="80"/>
  <c r="AE28" i="80" s="1"/>
  <c r="AF28" i="80" s="1"/>
  <c r="AG28" i="80" s="1"/>
  <c r="AO28" i="80"/>
  <c r="AD29" i="80"/>
  <c r="AE29" i="80" s="1"/>
  <c r="AF29" i="80" s="1"/>
  <c r="AG29" i="80" s="1"/>
  <c r="AO29" i="80"/>
  <c r="AD30" i="80"/>
  <c r="AE30" i="80" s="1"/>
  <c r="AF30" i="80" s="1"/>
  <c r="AG30" i="80" s="1"/>
  <c r="AO30" i="80"/>
  <c r="AO31" i="80"/>
  <c r="AB32" i="80" s="1"/>
  <c r="AE47" i="80"/>
  <c r="AE48" i="80"/>
  <c r="AE49" i="80"/>
  <c r="AE50" i="80"/>
  <c r="AE51" i="80"/>
  <c r="AE52" i="80"/>
  <c r="AE53" i="80"/>
  <c r="AE54" i="80"/>
  <c r="AE55" i="80"/>
  <c r="AE56" i="80"/>
  <c r="AE57" i="80"/>
  <c r="AE58" i="80"/>
  <c r="AE59" i="80"/>
  <c r="AE60" i="80"/>
  <c r="AE61" i="80"/>
  <c r="AE62" i="80"/>
  <c r="AE63" i="80"/>
  <c r="AE64" i="80"/>
  <c r="AE65" i="80"/>
  <c r="AE66" i="80"/>
  <c r="AE67" i="80"/>
  <c r="AE68" i="80"/>
  <c r="AE69" i="80"/>
  <c r="AE70" i="80"/>
  <c r="AE74" i="80"/>
  <c r="AE75" i="80"/>
  <c r="AE76" i="80"/>
  <c r="AE77" i="80"/>
  <c r="AE78" i="80"/>
  <c r="AE79" i="80"/>
  <c r="AE80" i="80"/>
  <c r="AE81" i="80"/>
  <c r="AE82" i="80"/>
  <c r="AE83" i="80"/>
  <c r="AE84" i="80"/>
  <c r="AE85" i="80"/>
  <c r="AE86" i="80"/>
  <c r="AE87" i="80"/>
  <c r="AE88" i="80"/>
  <c r="AE89" i="80"/>
  <c r="AE90" i="80"/>
  <c r="AE91" i="80"/>
  <c r="AE92" i="80"/>
  <c r="AE93" i="80"/>
  <c r="AE94" i="80"/>
  <c r="AE95" i="80"/>
  <c r="AE96" i="80"/>
  <c r="AE97" i="80"/>
  <c r="AE101" i="80"/>
  <c r="AE102" i="80"/>
  <c r="AE103" i="80"/>
  <c r="AE104" i="80"/>
  <c r="AE105" i="80"/>
  <c r="AE106" i="80"/>
  <c r="AE107" i="80"/>
  <c r="AE108" i="80"/>
  <c r="AE109" i="80"/>
  <c r="AE110" i="80"/>
  <c r="AE111" i="80"/>
  <c r="AE112" i="80"/>
  <c r="AE113" i="80"/>
  <c r="AE114" i="80"/>
  <c r="AE115" i="80"/>
  <c r="AE116" i="80"/>
  <c r="AE117" i="80"/>
  <c r="AE118" i="80"/>
  <c r="AE119" i="80"/>
  <c r="AE120" i="80"/>
  <c r="AE121" i="80"/>
  <c r="AE122" i="80"/>
  <c r="AE123" i="80"/>
  <c r="AE124" i="80"/>
  <c r="AE18" i="80" l="1"/>
  <c r="AF18" i="80" s="1"/>
  <c r="AG18" i="80" s="1"/>
  <c r="AF7" i="80"/>
  <c r="AG7" i="80"/>
  <c r="AE46" i="80"/>
  <c r="AE73" i="80"/>
  <c r="AE100" i="80"/>
  <c r="AF19" i="80"/>
  <c r="AG19" i="80" s="1"/>
  <c r="AO32" i="80"/>
  <c r="AD31" i="80"/>
  <c r="AE31" i="80" s="1"/>
  <c r="AF31" i="80" s="1"/>
  <c r="AG31" i="80" s="1"/>
  <c r="AB33" i="80"/>
  <c r="AD32" i="80"/>
  <c r="AE32" i="80" s="1"/>
  <c r="AF32" i="80" s="1"/>
  <c r="AG32" i="80" s="1"/>
  <c r="AA20" i="14"/>
  <c r="V39" i="14"/>
  <c r="V38" i="14"/>
  <c r="V37" i="14"/>
  <c r="V36" i="14"/>
  <c r="V35" i="14"/>
  <c r="V34" i="14"/>
  <c r="V33" i="14"/>
  <c r="V32" i="14"/>
  <c r="V31" i="14"/>
  <c r="V30" i="14"/>
  <c r="V29" i="14"/>
  <c r="V28" i="14"/>
  <c r="V27" i="14"/>
  <c r="V26" i="14"/>
  <c r="V25" i="14"/>
  <c r="V24" i="14"/>
  <c r="V23" i="14"/>
  <c r="V22" i="14"/>
  <c r="V21" i="14"/>
  <c r="V20" i="14"/>
  <c r="AA39" i="3"/>
  <c r="AA38" i="3"/>
  <c r="AA37" i="3"/>
  <c r="AA36" i="3"/>
  <c r="AA35" i="3"/>
  <c r="AA34" i="3"/>
  <c r="AA33" i="3"/>
  <c r="AA32" i="3"/>
  <c r="AA31" i="3"/>
  <c r="AA30" i="3"/>
  <c r="AA29" i="3"/>
  <c r="AA28" i="3"/>
  <c r="AA27" i="3"/>
  <c r="AA26" i="3"/>
  <c r="AA25" i="3"/>
  <c r="AA24" i="3"/>
  <c r="AA23" i="3"/>
  <c r="AA22" i="3"/>
  <c r="AA21" i="3"/>
  <c r="AA20" i="3"/>
  <c r="R8" i="3"/>
  <c r="S8" i="3" s="1"/>
  <c r="AA39" i="12"/>
  <c r="AA38" i="12"/>
  <c r="AA37" i="12"/>
  <c r="AA36" i="12"/>
  <c r="AA35" i="12"/>
  <c r="AA34" i="12"/>
  <c r="AA33" i="12"/>
  <c r="AA32" i="12"/>
  <c r="AA31" i="12"/>
  <c r="AA30" i="12"/>
  <c r="AA29" i="12"/>
  <c r="AA28" i="12"/>
  <c r="AA27" i="12"/>
  <c r="AA26" i="12"/>
  <c r="AA25" i="12"/>
  <c r="AA24" i="12"/>
  <c r="AA23" i="12"/>
  <c r="AA22" i="12"/>
  <c r="AA21" i="12"/>
  <c r="AA20" i="12"/>
  <c r="V42" i="14" l="1"/>
  <c r="AO33" i="80"/>
  <c r="AB34" i="80"/>
  <c r="T8" i="3"/>
  <c r="S9" i="3"/>
  <c r="R9" i="3"/>
  <c r="AO34" i="80" l="1"/>
  <c r="AB35" i="80"/>
  <c r="AD34" i="80" s="1"/>
  <c r="AE34" i="80" s="1"/>
  <c r="AF34" i="80" s="1"/>
  <c r="AG34" i="80" s="1"/>
  <c r="AD33" i="80"/>
  <c r="AE33" i="80" s="1"/>
  <c r="U8" i="3"/>
  <c r="T9" i="3"/>
  <c r="AF33" i="80" l="1"/>
  <c r="AB36" i="80"/>
  <c r="AO35" i="80"/>
  <c r="AD35" i="80"/>
  <c r="AE35" i="80" s="1"/>
  <c r="AF35" i="80" s="1"/>
  <c r="AG35" i="80" s="1"/>
  <c r="V8" i="3"/>
  <c r="U9" i="3"/>
  <c r="AG33" i="80" l="1"/>
  <c r="AO36" i="80"/>
  <c r="AB37" i="80"/>
  <c r="AD36" i="80" s="1"/>
  <c r="AE36" i="80" s="1"/>
  <c r="V9" i="3"/>
  <c r="W8" i="3"/>
  <c r="AF36" i="80" l="1"/>
  <c r="AE39" i="80"/>
  <c r="W9" i="3"/>
  <c r="X8" i="3"/>
  <c r="AG36" i="80" l="1"/>
  <c r="AG39" i="80" s="1"/>
  <c r="AF39" i="80"/>
  <c r="X9" i="3"/>
  <c r="Y8" i="3"/>
  <c r="Y9" i="3" l="1"/>
  <c r="Z8" i="3"/>
  <c r="Z9" i="3" s="1"/>
  <c r="G20" i="15" l="1"/>
  <c r="F20" i="15"/>
  <c r="E20" i="15"/>
  <c r="D20" i="15"/>
  <c r="C20" i="15"/>
  <c r="K20" i="15" s="1"/>
  <c r="B20" i="15"/>
  <c r="J20" i="15" s="1"/>
  <c r="A20" i="15"/>
  <c r="I20" i="15" s="1"/>
  <c r="G19" i="15"/>
  <c r="F19" i="15"/>
  <c r="E19" i="15"/>
  <c r="D19" i="15"/>
  <c r="C19" i="15"/>
  <c r="K19" i="15" s="1"/>
  <c r="B19" i="15"/>
  <c r="J19" i="15" s="1"/>
  <c r="A19" i="15"/>
  <c r="I19" i="15" s="1"/>
  <c r="G18" i="15"/>
  <c r="F18" i="15"/>
  <c r="E18" i="15"/>
  <c r="D18" i="15"/>
  <c r="C18" i="15"/>
  <c r="K18" i="15" s="1"/>
  <c r="B18" i="15"/>
  <c r="J18" i="15" s="1"/>
  <c r="A18" i="15"/>
  <c r="I18" i="15" s="1"/>
  <c r="J17" i="15"/>
  <c r="G17" i="15"/>
  <c r="F17" i="15"/>
  <c r="E17" i="15"/>
  <c r="D17" i="15"/>
  <c r="K17" i="15" s="1"/>
  <c r="C17" i="15"/>
  <c r="B17" i="15"/>
  <c r="A17" i="15"/>
  <c r="I17" i="15" s="1"/>
  <c r="I16" i="15"/>
  <c r="G16" i="15"/>
  <c r="F16" i="15"/>
  <c r="M16" i="15" s="1"/>
  <c r="E16" i="15"/>
  <c r="D16" i="15"/>
  <c r="C16" i="15"/>
  <c r="B16" i="15"/>
  <c r="J16" i="15" s="1"/>
  <c r="A16" i="15"/>
  <c r="G15" i="15"/>
  <c r="F15" i="15"/>
  <c r="E15" i="15"/>
  <c r="D15" i="15"/>
  <c r="C15" i="15"/>
  <c r="B15" i="15"/>
  <c r="J15" i="15" s="1"/>
  <c r="A15" i="15"/>
  <c r="I15" i="15" s="1"/>
  <c r="G14" i="15"/>
  <c r="F14" i="15"/>
  <c r="E14" i="15"/>
  <c r="C14" i="15"/>
  <c r="B14" i="15"/>
  <c r="A14" i="15"/>
  <c r="I14" i="15" s="1"/>
  <c r="G13" i="15"/>
  <c r="F13" i="15"/>
  <c r="E13" i="15"/>
  <c r="C13" i="15"/>
  <c r="B13" i="15"/>
  <c r="A13" i="15"/>
  <c r="I13" i="15" s="1"/>
  <c r="G12" i="15"/>
  <c r="F12" i="15"/>
  <c r="E12" i="15"/>
  <c r="C12" i="15"/>
  <c r="B12" i="15"/>
  <c r="A12" i="15"/>
  <c r="I12" i="15" s="1"/>
  <c r="G11" i="15"/>
  <c r="F11" i="15"/>
  <c r="E11" i="15"/>
  <c r="C11" i="15"/>
  <c r="B11" i="15"/>
  <c r="A11" i="15"/>
  <c r="I11" i="15" s="1"/>
  <c r="G10" i="15"/>
  <c r="F10" i="15"/>
  <c r="E10" i="15"/>
  <c r="C10" i="15"/>
  <c r="B10" i="15"/>
  <c r="A10" i="15"/>
  <c r="I10" i="15" s="1"/>
  <c r="G9" i="15"/>
  <c r="F9" i="15"/>
  <c r="E9" i="15"/>
  <c r="C9" i="15"/>
  <c r="B9" i="15"/>
  <c r="A9" i="15"/>
  <c r="I9" i="15" s="1"/>
  <c r="I8" i="15"/>
  <c r="G8" i="15"/>
  <c r="F8" i="15"/>
  <c r="E8" i="15"/>
  <c r="C8" i="15"/>
  <c r="B8" i="15"/>
  <c r="A8" i="15"/>
  <c r="K15" i="15" l="1"/>
  <c r="M19" i="15"/>
  <c r="K16" i="15"/>
  <c r="E67" i="73" l="1"/>
  <c r="E39" i="73" s="1"/>
  <c r="E66" i="73"/>
  <c r="E38" i="73" s="1"/>
  <c r="E65" i="73"/>
  <c r="E37" i="73" s="1"/>
  <c r="E64" i="73"/>
  <c r="E36" i="73" s="1"/>
  <c r="E63" i="73"/>
  <c r="E35" i="73" s="1"/>
  <c r="E62" i="73"/>
  <c r="E34" i="73" s="1"/>
  <c r="E61" i="73"/>
  <c r="E33" i="73" s="1"/>
  <c r="E60" i="73"/>
  <c r="E32" i="73" s="1"/>
  <c r="E59" i="73"/>
  <c r="E31" i="73" s="1"/>
  <c r="E58" i="73"/>
  <c r="E30" i="73" s="1"/>
  <c r="E57" i="73"/>
  <c r="E29" i="73" s="1"/>
  <c r="E56" i="73"/>
  <c r="E28" i="73" s="1"/>
  <c r="E55" i="73"/>
  <c r="E27" i="73" s="1"/>
  <c r="E54" i="73"/>
  <c r="E26" i="73" s="1"/>
  <c r="E53" i="73"/>
  <c r="E25" i="73" s="1"/>
  <c r="E52" i="73"/>
  <c r="E24" i="73" s="1"/>
  <c r="E51" i="73"/>
  <c r="E23" i="73" s="1"/>
  <c r="E50" i="73"/>
  <c r="E22" i="73" s="1"/>
  <c r="E49" i="73"/>
  <c r="E21" i="73" s="1"/>
  <c r="E48" i="73"/>
  <c r="E20" i="73" s="1"/>
  <c r="C49" i="73" l="1"/>
  <c r="C21" i="73" s="1"/>
  <c r="C50" i="73"/>
  <c r="C22" i="73" s="1"/>
  <c r="C51" i="73"/>
  <c r="C23" i="73" s="1"/>
  <c r="C52" i="73"/>
  <c r="C24" i="73" s="1"/>
  <c r="C53" i="73"/>
  <c r="C25" i="73" s="1"/>
  <c r="C54" i="73"/>
  <c r="C26" i="73" s="1"/>
  <c r="C55" i="73"/>
  <c r="C27" i="73" s="1"/>
  <c r="C56" i="73"/>
  <c r="C28" i="73" s="1"/>
  <c r="C57" i="73"/>
  <c r="C29" i="73" s="1"/>
  <c r="C58" i="73"/>
  <c r="C30" i="73" s="1"/>
  <c r="C59" i="73"/>
  <c r="C31" i="73" s="1"/>
  <c r="C60" i="73"/>
  <c r="C32" i="73" s="1"/>
  <c r="C61" i="73"/>
  <c r="C33" i="73" s="1"/>
  <c r="C62" i="73"/>
  <c r="C34" i="73" s="1"/>
  <c r="C63" i="73"/>
  <c r="C35" i="73" s="1"/>
  <c r="C64" i="73"/>
  <c r="C36" i="73" s="1"/>
  <c r="C65" i="73"/>
  <c r="C37" i="73" s="1"/>
  <c r="C66" i="73"/>
  <c r="C38" i="73" s="1"/>
  <c r="C67" i="73"/>
  <c r="C39" i="73" s="1"/>
  <c r="C48" i="73"/>
  <c r="C20" i="73" s="1"/>
  <c r="U39" i="3"/>
  <c r="U38" i="3"/>
  <c r="U37" i="3"/>
  <c r="U36" i="3"/>
  <c r="U35" i="3"/>
  <c r="U34" i="3"/>
  <c r="U33" i="3"/>
  <c r="U32" i="3"/>
  <c r="U31" i="3"/>
  <c r="U30" i="3"/>
  <c r="U29" i="3"/>
  <c r="U28" i="3"/>
  <c r="U27" i="3"/>
  <c r="U26" i="3"/>
  <c r="U25" i="3"/>
  <c r="U24" i="3"/>
  <c r="U23" i="3"/>
  <c r="U22" i="3"/>
  <c r="U21" i="3"/>
  <c r="U20" i="3"/>
  <c r="D49" i="73"/>
  <c r="D21" i="73" s="1"/>
  <c r="D50" i="73"/>
  <c r="D22" i="73" s="1"/>
  <c r="D51" i="73"/>
  <c r="D23" i="73" s="1"/>
  <c r="D52" i="73"/>
  <c r="D24" i="73" s="1"/>
  <c r="D53" i="73"/>
  <c r="D25" i="73" s="1"/>
  <c r="D54" i="73"/>
  <c r="D26" i="73" s="1"/>
  <c r="D55" i="73"/>
  <c r="D27" i="73" s="1"/>
  <c r="D56" i="73"/>
  <c r="D28" i="73" s="1"/>
  <c r="D57" i="73"/>
  <c r="D29" i="73" s="1"/>
  <c r="D58" i="73"/>
  <c r="D30" i="73" s="1"/>
  <c r="D59" i="73"/>
  <c r="D31" i="73" s="1"/>
  <c r="D60" i="73"/>
  <c r="D32" i="73" s="1"/>
  <c r="D61" i="73"/>
  <c r="D33" i="73" s="1"/>
  <c r="D62" i="73"/>
  <c r="D34" i="73" s="1"/>
  <c r="D63" i="73"/>
  <c r="D35" i="73" s="1"/>
  <c r="D64" i="73"/>
  <c r="D36" i="73" s="1"/>
  <c r="D65" i="73"/>
  <c r="D37" i="73" s="1"/>
  <c r="D66" i="73"/>
  <c r="D38" i="73" s="1"/>
  <c r="D67" i="73"/>
  <c r="D39" i="73" s="1"/>
  <c r="D48" i="73"/>
  <c r="D20" i="73" s="1"/>
  <c r="F64" i="73" l="1"/>
  <c r="F36" i="73" s="1"/>
  <c r="U36" i="12"/>
  <c r="F56" i="73"/>
  <c r="F28" i="73" s="1"/>
  <c r="U28" i="12"/>
  <c r="F61" i="73"/>
  <c r="F33" i="73" s="1"/>
  <c r="U33" i="12"/>
  <c r="F53" i="73"/>
  <c r="F25" i="73" s="1"/>
  <c r="U25" i="12"/>
  <c r="F48" i="73"/>
  <c r="F20" i="73" s="1"/>
  <c r="U20" i="12"/>
  <c r="F60" i="73"/>
  <c r="F32" i="73" s="1"/>
  <c r="U32" i="12"/>
  <c r="F52" i="73"/>
  <c r="F24" i="73" s="1"/>
  <c r="U24" i="12"/>
  <c r="F62" i="73"/>
  <c r="F34" i="73" s="1"/>
  <c r="U34" i="12"/>
  <c r="F67" i="73"/>
  <c r="F39" i="73" s="1"/>
  <c r="U39" i="12"/>
  <c r="F59" i="73"/>
  <c r="F31" i="73" s="1"/>
  <c r="U31" i="12"/>
  <c r="F51" i="73"/>
  <c r="F23" i="73" s="1"/>
  <c r="U23" i="12"/>
  <c r="F55" i="73"/>
  <c r="F27" i="73" s="1"/>
  <c r="U27" i="12"/>
  <c r="U42" i="3"/>
  <c r="F66" i="73"/>
  <c r="F38" i="73" s="1"/>
  <c r="U38" i="12"/>
  <c r="F58" i="73"/>
  <c r="F30" i="73" s="1"/>
  <c r="U30" i="12"/>
  <c r="F50" i="73"/>
  <c r="F22" i="73" s="1"/>
  <c r="U22" i="12"/>
  <c r="F63" i="73"/>
  <c r="F35" i="73" s="1"/>
  <c r="U35" i="12"/>
  <c r="F54" i="73"/>
  <c r="F26" i="73" s="1"/>
  <c r="U26" i="12"/>
  <c r="F65" i="73"/>
  <c r="F37" i="73" s="1"/>
  <c r="U37" i="12"/>
  <c r="F57" i="73"/>
  <c r="F29" i="73" s="1"/>
  <c r="U29" i="12"/>
  <c r="F49" i="73"/>
  <c r="F21" i="73" s="1"/>
  <c r="U21" i="12"/>
  <c r="A64" i="39"/>
  <c r="A64" i="41"/>
  <c r="A64" i="40"/>
  <c r="U42" i="12" l="1"/>
  <c r="C3" i="74" l="1"/>
  <c r="D3" i="74" s="1"/>
  <c r="C5" i="74"/>
  <c r="D5" i="74"/>
  <c r="E5" i="74"/>
  <c r="F5" i="74" s="1"/>
  <c r="C6" i="74"/>
  <c r="D6" i="74"/>
  <c r="C7" i="74"/>
  <c r="D7" i="74" s="1"/>
  <c r="E7" i="74" s="1"/>
  <c r="F7" i="74" s="1"/>
  <c r="G7" i="74" s="1"/>
  <c r="H7" i="74" s="1"/>
  <c r="I7" i="74" s="1"/>
  <c r="J7" i="74" s="1"/>
  <c r="K7" i="74" s="1"/>
  <c r="L7" i="74" s="1"/>
  <c r="M7" i="74" s="1"/>
  <c r="N7" i="74" s="1"/>
  <c r="O7" i="74" s="1"/>
  <c r="P7" i="74" s="1"/>
  <c r="Q7" i="74" s="1"/>
  <c r="R7" i="74" s="1"/>
  <c r="S7" i="74" s="1"/>
  <c r="T7" i="74" s="1"/>
  <c r="U7" i="74" s="1"/>
  <c r="C8" i="74"/>
  <c r="D8" i="74" s="1"/>
  <c r="E8" i="74" s="1"/>
  <c r="F8" i="74" s="1"/>
  <c r="G8" i="74" s="1"/>
  <c r="H8" i="74" s="1"/>
  <c r="I8" i="74" s="1"/>
  <c r="J8" i="74" s="1"/>
  <c r="K8" i="74" s="1"/>
  <c r="L8" i="74" s="1"/>
  <c r="M8" i="74" s="1"/>
  <c r="N8" i="74" s="1"/>
  <c r="O8" i="74" s="1"/>
  <c r="P8" i="74" s="1"/>
  <c r="Q8" i="74" s="1"/>
  <c r="R8" i="74" s="1"/>
  <c r="S8" i="74" s="1"/>
  <c r="T8" i="74" s="1"/>
  <c r="U8" i="74" s="1"/>
  <c r="B9" i="74"/>
  <c r="C9" i="74"/>
  <c r="B11" i="74"/>
  <c r="C11" i="74"/>
  <c r="D11" i="74"/>
  <c r="E11" i="74" s="1"/>
  <c r="B12" i="74"/>
  <c r="B14" i="74" s="1"/>
  <c r="B16" i="74" s="1"/>
  <c r="H13" i="74"/>
  <c r="I13" i="74"/>
  <c r="J13" i="74" s="1"/>
  <c r="K13" i="74" s="1"/>
  <c r="L13" i="74" s="1"/>
  <c r="M13" i="74" s="1"/>
  <c r="N13" i="74" s="1"/>
  <c r="O13" i="74" s="1"/>
  <c r="P13" i="74" s="1"/>
  <c r="Q13" i="74" s="1"/>
  <c r="R13" i="74" s="1"/>
  <c r="S13" i="74" s="1"/>
  <c r="T13" i="74" s="1"/>
  <c r="U13" i="74" s="1"/>
  <c r="H15" i="74"/>
  <c r="I15" i="74" s="1"/>
  <c r="J15" i="74" s="1"/>
  <c r="K15" i="74" s="1"/>
  <c r="L15" i="74" s="1"/>
  <c r="M15" i="74" s="1"/>
  <c r="N15" i="74" s="1"/>
  <c r="O15" i="74" s="1"/>
  <c r="P15" i="74" s="1"/>
  <c r="Q15" i="74" s="1"/>
  <c r="R15" i="74" s="1"/>
  <c r="S15" i="74" s="1"/>
  <c r="T15" i="74" s="1"/>
  <c r="U15" i="74" s="1"/>
  <c r="H18" i="74"/>
  <c r="I18" i="74"/>
  <c r="J18" i="74"/>
  <c r="K18" i="74" s="1"/>
  <c r="L18" i="74" s="1"/>
  <c r="M18" i="74" s="1"/>
  <c r="N18" i="74" s="1"/>
  <c r="O18" i="74" s="1"/>
  <c r="P18" i="74" s="1"/>
  <c r="Q18" i="74" s="1"/>
  <c r="R18" i="74" s="1"/>
  <c r="S18" i="74" s="1"/>
  <c r="T18" i="74" s="1"/>
  <c r="U18" i="74" s="1"/>
  <c r="H19" i="74"/>
  <c r="I19" i="74" s="1"/>
  <c r="J19" i="74" s="1"/>
  <c r="K19" i="74" s="1"/>
  <c r="L19" i="74" s="1"/>
  <c r="M19" i="74" s="1"/>
  <c r="N19" i="74" s="1"/>
  <c r="O19" i="74" s="1"/>
  <c r="P19" i="74" s="1"/>
  <c r="Q19" i="74" s="1"/>
  <c r="R19" i="74" s="1"/>
  <c r="S19" i="74" s="1"/>
  <c r="T19" i="74" s="1"/>
  <c r="U19" i="74" s="1"/>
  <c r="C8" i="73"/>
  <c r="D8" i="73"/>
  <c r="E8" i="73" s="1"/>
  <c r="B9" i="73"/>
  <c r="C9" i="73"/>
  <c r="S13" i="73"/>
  <c r="S14" i="73" s="1"/>
  <c r="S15" i="73" s="1"/>
  <c r="S16" i="73" s="1"/>
  <c r="S17" i="73" s="1"/>
  <c r="S18" i="73" s="1"/>
  <c r="S19" i="73" s="1"/>
  <c r="S20" i="73" s="1"/>
  <c r="R15" i="73"/>
  <c r="R16" i="73"/>
  <c r="R17" i="73"/>
  <c r="R18" i="73"/>
  <c r="R19" i="73"/>
  <c r="J20" i="73"/>
  <c r="R20" i="73"/>
  <c r="B21" i="73"/>
  <c r="J21" i="73"/>
  <c r="R21" i="73"/>
  <c r="B22" i="73"/>
  <c r="J22" i="73"/>
  <c r="R22" i="73"/>
  <c r="B23" i="73"/>
  <c r="J23" i="73"/>
  <c r="R23" i="73"/>
  <c r="B24" i="73"/>
  <c r="B25" i="73" s="1"/>
  <c r="B26" i="73" s="1"/>
  <c r="B27" i="73" s="1"/>
  <c r="B28" i="73" s="1"/>
  <c r="B29" i="73" s="1"/>
  <c r="B30" i="73" s="1"/>
  <c r="B31" i="73" s="1"/>
  <c r="B32" i="73" s="1"/>
  <c r="B33" i="73" s="1"/>
  <c r="B34" i="73" s="1"/>
  <c r="B35" i="73" s="1"/>
  <c r="B36" i="73" s="1"/>
  <c r="B37" i="73" s="1"/>
  <c r="B38" i="73" s="1"/>
  <c r="B39" i="73" s="1"/>
  <c r="J24" i="73"/>
  <c r="R24" i="73"/>
  <c r="J25" i="73"/>
  <c r="R25" i="73"/>
  <c r="J26" i="73"/>
  <c r="R26" i="73"/>
  <c r="J27" i="73"/>
  <c r="R27" i="73"/>
  <c r="J28" i="73"/>
  <c r="R28" i="73"/>
  <c r="J29" i="73"/>
  <c r="R29" i="73"/>
  <c r="J30" i="73"/>
  <c r="R30" i="73"/>
  <c r="J31" i="73"/>
  <c r="R31" i="73"/>
  <c r="J32" i="73"/>
  <c r="R32" i="73"/>
  <c r="J33" i="73"/>
  <c r="R33" i="73"/>
  <c r="J34" i="73"/>
  <c r="R34" i="73"/>
  <c r="J35" i="73"/>
  <c r="R35" i="73"/>
  <c r="J36" i="73"/>
  <c r="R36" i="73"/>
  <c r="J37" i="73"/>
  <c r="R37" i="73"/>
  <c r="J38" i="73"/>
  <c r="R38" i="73"/>
  <c r="J39" i="73"/>
  <c r="R39" i="73"/>
  <c r="D43" i="73"/>
  <c r="E43" i="73"/>
  <c r="F43" i="73"/>
  <c r="D44" i="73" l="1"/>
  <c r="J43" i="73"/>
  <c r="I23" i="71" s="1"/>
  <c r="E44" i="73"/>
  <c r="D9" i="74"/>
  <c r="G5" i="74"/>
  <c r="G20" i="73"/>
  <c r="F8" i="73"/>
  <c r="E9" i="73"/>
  <c r="H20" i="73"/>
  <c r="I20" i="73"/>
  <c r="S21" i="73"/>
  <c r="F11" i="74"/>
  <c r="E3" i="74"/>
  <c r="F3" i="74" s="1"/>
  <c r="G3" i="74" s="1"/>
  <c r="H3" i="74" s="1"/>
  <c r="I3" i="74" s="1"/>
  <c r="J3" i="74" s="1"/>
  <c r="K3" i="74" s="1"/>
  <c r="L3" i="74" s="1"/>
  <c r="M3" i="74" s="1"/>
  <c r="N3" i="74" s="1"/>
  <c r="O3" i="74" s="1"/>
  <c r="P3" i="74" s="1"/>
  <c r="Q3" i="74" s="1"/>
  <c r="R3" i="74" s="1"/>
  <c r="S3" i="74" s="1"/>
  <c r="T3" i="74" s="1"/>
  <c r="U3" i="74" s="1"/>
  <c r="D9" i="73"/>
  <c r="C12" i="74"/>
  <c r="E6" i="74"/>
  <c r="H5" i="74" l="1"/>
  <c r="G8" i="73"/>
  <c r="F9" i="73"/>
  <c r="G11" i="74"/>
  <c r="E9" i="74"/>
  <c r="F6" i="74"/>
  <c r="C14" i="74"/>
  <c r="C16" i="74" s="1"/>
  <c r="D12" i="74"/>
  <c r="P20" i="73"/>
  <c r="S22" i="73"/>
  <c r="I21" i="73"/>
  <c r="H21" i="73"/>
  <c r="H22" i="73" l="1"/>
  <c r="I22" i="73"/>
  <c r="S23" i="73"/>
  <c r="I5" i="74"/>
  <c r="D14" i="74"/>
  <c r="D16" i="74" s="1"/>
  <c r="G22" i="73" s="1"/>
  <c r="P22" i="73" s="1"/>
  <c r="E12" i="74"/>
  <c r="H11" i="74"/>
  <c r="G21" i="73"/>
  <c r="G6" i="74"/>
  <c r="F9" i="74"/>
  <c r="H8" i="73"/>
  <c r="G9" i="73"/>
  <c r="J5" i="74" l="1"/>
  <c r="H23" i="73"/>
  <c r="I23" i="73"/>
  <c r="S24" i="73"/>
  <c r="H6" i="74"/>
  <c r="G9" i="74"/>
  <c r="F12" i="74"/>
  <c r="E14" i="74"/>
  <c r="E16" i="74" s="1"/>
  <c r="G23" i="73" s="1"/>
  <c r="P21" i="73"/>
  <c r="I11" i="74"/>
  <c r="I8" i="73"/>
  <c r="H9" i="73"/>
  <c r="P23" i="73" l="1"/>
  <c r="K5" i="74"/>
  <c r="I6" i="74"/>
  <c r="H9" i="74"/>
  <c r="G12" i="74"/>
  <c r="F14" i="74"/>
  <c r="F16" i="74" s="1"/>
  <c r="G24" i="73" s="1"/>
  <c r="J8" i="73"/>
  <c r="I9" i="73"/>
  <c r="J11" i="74"/>
  <c r="H24" i="73"/>
  <c r="I24" i="73"/>
  <c r="S25" i="73"/>
  <c r="P24" i="73" l="1"/>
  <c r="L5" i="74"/>
  <c r="H12" i="74"/>
  <c r="G14" i="74"/>
  <c r="G16" i="74" s="1"/>
  <c r="G25" i="73" s="1"/>
  <c r="J6" i="74"/>
  <c r="I9" i="74"/>
  <c r="K11" i="74"/>
  <c r="S26" i="73"/>
  <c r="I25" i="73"/>
  <c r="H25" i="73"/>
  <c r="K8" i="73"/>
  <c r="J9" i="73"/>
  <c r="P25" i="73" l="1"/>
  <c r="H26" i="73"/>
  <c r="I26" i="73"/>
  <c r="S27" i="73"/>
  <c r="L11" i="74"/>
  <c r="I12" i="74"/>
  <c r="H14" i="74"/>
  <c r="H16" i="74" s="1"/>
  <c r="G26" i="73" s="1"/>
  <c r="L8" i="73"/>
  <c r="K9" i="73"/>
  <c r="M5" i="74"/>
  <c r="K6" i="74"/>
  <c r="J9" i="74"/>
  <c r="P26" i="73" l="1"/>
  <c r="J12" i="74"/>
  <c r="I14" i="74"/>
  <c r="I16" i="74" s="1"/>
  <c r="G27" i="73" s="1"/>
  <c r="M11" i="74"/>
  <c r="L6" i="74"/>
  <c r="K9" i="74"/>
  <c r="H27" i="73"/>
  <c r="I27" i="73"/>
  <c r="S28" i="73"/>
  <c r="M8" i="73"/>
  <c r="L9" i="73"/>
  <c r="N5" i="74"/>
  <c r="H28" i="73" l="1"/>
  <c r="I28" i="73"/>
  <c r="S29" i="73"/>
  <c r="M6" i="74"/>
  <c r="L9" i="74"/>
  <c r="O5" i="74"/>
  <c r="N11" i="74"/>
  <c r="P27" i="73"/>
  <c r="M9" i="73"/>
  <c r="N8" i="73"/>
  <c r="K12" i="74"/>
  <c r="J14" i="74"/>
  <c r="J16" i="74" s="1"/>
  <c r="G28" i="73" s="1"/>
  <c r="P28" i="73" l="1"/>
  <c r="P5" i="74"/>
  <c r="N6" i="74"/>
  <c r="M9" i="74"/>
  <c r="O11" i="74"/>
  <c r="L12" i="74"/>
  <c r="K14" i="74"/>
  <c r="K16" i="74" s="1"/>
  <c r="G29" i="73" s="1"/>
  <c r="S30" i="73"/>
  <c r="I29" i="73"/>
  <c r="H29" i="73"/>
  <c r="N9" i="73"/>
  <c r="O8" i="73"/>
  <c r="P29" i="73" l="1"/>
  <c r="M12" i="74"/>
  <c r="L14" i="74"/>
  <c r="L16" i="74" s="1"/>
  <c r="G30" i="73" s="1"/>
  <c r="P11" i="74"/>
  <c r="O9" i="73"/>
  <c r="P8" i="73"/>
  <c r="O6" i="74"/>
  <c r="N9" i="74"/>
  <c r="Q5" i="74"/>
  <c r="H30" i="73"/>
  <c r="I30" i="73"/>
  <c r="S31" i="73"/>
  <c r="P6" i="74" l="1"/>
  <c r="O9" i="74"/>
  <c r="Q8" i="73"/>
  <c r="Q9" i="73" s="1"/>
  <c r="P9" i="73"/>
  <c r="R5" i="74"/>
  <c r="Q11" i="74"/>
  <c r="P30" i="73"/>
  <c r="H31" i="73"/>
  <c r="I31" i="73"/>
  <c r="S32" i="73"/>
  <c r="N12" i="74"/>
  <c r="M14" i="74"/>
  <c r="M16" i="74" s="1"/>
  <c r="G31" i="73" s="1"/>
  <c r="P31" i="73" l="1"/>
  <c r="O12" i="74"/>
  <c r="N14" i="74"/>
  <c r="N16" i="74" s="1"/>
  <c r="G32" i="73" s="1"/>
  <c r="R11" i="74"/>
  <c r="S5" i="74"/>
  <c r="H32" i="73"/>
  <c r="I32" i="73"/>
  <c r="S33" i="73"/>
  <c r="Q6" i="74"/>
  <c r="P9" i="74"/>
  <c r="P32" i="73" l="1"/>
  <c r="T5" i="74"/>
  <c r="S34" i="73"/>
  <c r="I33" i="73"/>
  <c r="H33" i="73"/>
  <c r="S11" i="74"/>
  <c r="R6" i="74"/>
  <c r="Q9" i="74"/>
  <c r="P12" i="74"/>
  <c r="O14" i="74"/>
  <c r="O16" i="74" s="1"/>
  <c r="G33" i="73" s="1"/>
  <c r="P33" i="73" l="1"/>
  <c r="T11" i="74"/>
  <c r="H34" i="73"/>
  <c r="I34" i="73"/>
  <c r="S35" i="73"/>
  <c r="U5" i="74"/>
  <c r="S6" i="74"/>
  <c r="R9" i="74"/>
  <c r="Q12" i="74"/>
  <c r="P14" i="74"/>
  <c r="P16" i="74" s="1"/>
  <c r="G34" i="73" s="1"/>
  <c r="P34" i="73" l="1"/>
  <c r="T6" i="74"/>
  <c r="S9" i="74"/>
  <c r="H35" i="73"/>
  <c r="I35" i="73"/>
  <c r="S36" i="73"/>
  <c r="U11" i="74"/>
  <c r="R12" i="74"/>
  <c r="Q14" i="74"/>
  <c r="Q16" i="74" s="1"/>
  <c r="G35" i="73" s="1"/>
  <c r="P35" i="73" l="1"/>
  <c r="S12" i="74"/>
  <c r="R14" i="74"/>
  <c r="R16" i="74" s="1"/>
  <c r="G36" i="73" s="1"/>
  <c r="H36" i="73"/>
  <c r="I36" i="73"/>
  <c r="S37" i="73"/>
  <c r="U6" i="74"/>
  <c r="U9" i="74" s="1"/>
  <c r="T9" i="74"/>
  <c r="P36" i="73" l="1"/>
  <c r="S38" i="73"/>
  <c r="I37" i="73"/>
  <c r="H37" i="73"/>
  <c r="T12" i="74"/>
  <c r="S14" i="74"/>
  <c r="S16" i="74" s="1"/>
  <c r="G37" i="73" s="1"/>
  <c r="P37" i="73" s="1"/>
  <c r="U12" i="74" l="1"/>
  <c r="U14" i="74" s="1"/>
  <c r="U16" i="74" s="1"/>
  <c r="T14" i="74"/>
  <c r="T16" i="74" s="1"/>
  <c r="G38" i="73" s="1"/>
  <c r="H38" i="73"/>
  <c r="S39" i="73"/>
  <c r="I38" i="73"/>
  <c r="P38" i="73" l="1"/>
  <c r="H39" i="73"/>
  <c r="H43" i="73" s="1"/>
  <c r="D8" i="71" s="1"/>
  <c r="I39" i="73"/>
  <c r="I43" i="73" s="1"/>
  <c r="F8" i="71" s="1"/>
  <c r="G39" i="73"/>
  <c r="C43" i="73"/>
  <c r="C44" i="73" s="1"/>
  <c r="I44" i="73" l="1"/>
  <c r="P39" i="73"/>
  <c r="G43" i="73"/>
  <c r="C8" i="71" s="1"/>
  <c r="H44" i="73"/>
  <c r="G44" i="73" l="1"/>
  <c r="P43" i="73"/>
  <c r="P44" i="73" s="1"/>
  <c r="F9" i="71"/>
  <c r="D9" i="71"/>
  <c r="D22" i="71" l="1"/>
  <c r="D23" i="71"/>
  <c r="F23" i="71"/>
  <c r="F22" i="71"/>
  <c r="C9" i="71" l="1"/>
  <c r="C23" i="71" l="1"/>
  <c r="C22" i="71"/>
  <c r="L8" i="58" l="1"/>
  <c r="M8" i="58"/>
  <c r="L19" i="58"/>
  <c r="M19" i="58"/>
  <c r="B34" i="54"/>
  <c r="C34" i="54"/>
  <c r="C35" i="54" s="1"/>
  <c r="D34" i="54"/>
  <c r="E34" i="54"/>
  <c r="E35" i="54" s="1"/>
  <c r="F34" i="54"/>
  <c r="G34" i="54"/>
  <c r="H34" i="54"/>
  <c r="I34" i="54"/>
  <c r="I35" i="54" s="1"/>
  <c r="J34" i="54"/>
  <c r="K34" i="54"/>
  <c r="L34" i="54"/>
  <c r="M34" i="54"/>
  <c r="M35" i="54" s="1"/>
  <c r="N34" i="54"/>
  <c r="O34" i="54"/>
  <c r="O35" i="54" s="1"/>
  <c r="P34" i="54"/>
  <c r="Q34" i="54"/>
  <c r="Q35" i="54" s="1"/>
  <c r="R34" i="54"/>
  <c r="S34" i="54"/>
  <c r="T34" i="54"/>
  <c r="U34" i="54"/>
  <c r="U35" i="54" s="1"/>
  <c r="V34" i="54"/>
  <c r="W34" i="54"/>
  <c r="X34" i="54"/>
  <c r="Y34" i="54"/>
  <c r="Y35" i="54" s="1"/>
  <c r="Z34" i="54"/>
  <c r="B35" i="54"/>
  <c r="D35" i="54"/>
  <c r="F35" i="54"/>
  <c r="G35" i="54"/>
  <c r="H35" i="54"/>
  <c r="J35" i="54"/>
  <c r="K35" i="54"/>
  <c r="L35" i="54"/>
  <c r="N35" i="54"/>
  <c r="P35" i="54"/>
  <c r="R35" i="54"/>
  <c r="S35" i="54"/>
  <c r="T35" i="54"/>
  <c r="V35" i="54"/>
  <c r="W35" i="54"/>
  <c r="X35" i="54"/>
  <c r="Z35" i="54"/>
  <c r="B37" i="54"/>
  <c r="C37" i="54"/>
  <c r="C38" i="54" s="1"/>
  <c r="D37" i="54"/>
  <c r="E37" i="54"/>
  <c r="E38" i="54" s="1"/>
  <c r="F37" i="54"/>
  <c r="G37" i="54"/>
  <c r="G38" i="54" s="1"/>
  <c r="H37" i="54"/>
  <c r="I37" i="54"/>
  <c r="J37" i="54"/>
  <c r="K37" i="54"/>
  <c r="K38" i="54" s="1"/>
  <c r="L37" i="54"/>
  <c r="M37" i="54"/>
  <c r="M38" i="54" s="1"/>
  <c r="N37" i="54"/>
  <c r="O37" i="54"/>
  <c r="O38" i="54" s="1"/>
  <c r="P37" i="54"/>
  <c r="Q37" i="54"/>
  <c r="R37" i="54"/>
  <c r="S37" i="54"/>
  <c r="S38" i="54" s="1"/>
  <c r="T37" i="54"/>
  <c r="U37" i="54"/>
  <c r="V37" i="54"/>
  <c r="W37" i="54"/>
  <c r="W38" i="54" s="1"/>
  <c r="X37" i="54"/>
  <c r="Y37" i="54"/>
  <c r="Y38" i="54" s="1"/>
  <c r="Z37" i="54"/>
  <c r="B38" i="54"/>
  <c r="D38" i="54"/>
  <c r="F38" i="54"/>
  <c r="H38" i="54"/>
  <c r="I38" i="54"/>
  <c r="J38" i="54"/>
  <c r="L38" i="54"/>
  <c r="N38" i="54"/>
  <c r="P38" i="54"/>
  <c r="Q38" i="54"/>
  <c r="R38" i="54"/>
  <c r="T38" i="54"/>
  <c r="U38" i="54"/>
  <c r="V38" i="54"/>
  <c r="X38" i="54"/>
  <c r="Z38" i="54"/>
  <c r="B40" i="54"/>
  <c r="B41" i="54" s="1"/>
  <c r="C40" i="54"/>
  <c r="D40" i="54"/>
  <c r="E40" i="54"/>
  <c r="E41" i="54" s="1"/>
  <c r="F40" i="54"/>
  <c r="G40" i="54"/>
  <c r="H40" i="54"/>
  <c r="I40" i="54"/>
  <c r="I41" i="54" s="1"/>
  <c r="J40" i="54"/>
  <c r="K40" i="54"/>
  <c r="K41" i="54" s="1"/>
  <c r="L40" i="54"/>
  <c r="M40" i="54"/>
  <c r="M41" i="54" s="1"/>
  <c r="N40" i="54"/>
  <c r="N41" i="54" s="1"/>
  <c r="O40" i="54"/>
  <c r="P40" i="54"/>
  <c r="Q40" i="54"/>
  <c r="Q41" i="54" s="1"/>
  <c r="R40" i="54"/>
  <c r="S40" i="54"/>
  <c r="T40" i="54"/>
  <c r="U40" i="54"/>
  <c r="U41" i="54" s="1"/>
  <c r="V40" i="54"/>
  <c r="W40" i="54"/>
  <c r="W41" i="54" s="1"/>
  <c r="X40" i="54"/>
  <c r="Y40" i="54"/>
  <c r="Y41" i="54" s="1"/>
  <c r="Z40" i="54"/>
  <c r="Z41" i="54" s="1"/>
  <c r="C41" i="54"/>
  <c r="D41" i="54"/>
  <c r="F41" i="54"/>
  <c r="G41" i="54"/>
  <c r="H41" i="54"/>
  <c r="J41" i="54"/>
  <c r="L41" i="54"/>
  <c r="O41" i="54"/>
  <c r="P41" i="54"/>
  <c r="R41" i="54"/>
  <c r="S41" i="54"/>
  <c r="T41" i="54"/>
  <c r="V41" i="54"/>
  <c r="X41" i="54"/>
  <c r="B43" i="54"/>
  <c r="B44" i="54" s="1"/>
  <c r="C43" i="54"/>
  <c r="C44" i="54" s="1"/>
  <c r="D43" i="54"/>
  <c r="E43" i="54"/>
  <c r="F43" i="54"/>
  <c r="G43" i="54"/>
  <c r="G44" i="54" s="1"/>
  <c r="H43" i="54"/>
  <c r="I43" i="54"/>
  <c r="I44" i="54" s="1"/>
  <c r="J43" i="54"/>
  <c r="K43" i="54"/>
  <c r="K44" i="54" s="1"/>
  <c r="L43" i="54"/>
  <c r="L44" i="54" s="1"/>
  <c r="M43" i="54"/>
  <c r="N43" i="54"/>
  <c r="N44" i="54" s="1"/>
  <c r="O43" i="54"/>
  <c r="O44" i="54" s="1"/>
  <c r="P43" i="54"/>
  <c r="Q43" i="54"/>
  <c r="R43" i="54"/>
  <c r="S43" i="54"/>
  <c r="S44" i="54" s="1"/>
  <c r="T43" i="54"/>
  <c r="U43" i="54"/>
  <c r="U44" i="54" s="1"/>
  <c r="V43" i="54"/>
  <c r="W43" i="54"/>
  <c r="W44" i="54" s="1"/>
  <c r="X43" i="54"/>
  <c r="Y43" i="54"/>
  <c r="Z43" i="54"/>
  <c r="Z44" i="54" s="1"/>
  <c r="D44" i="54"/>
  <c r="E44" i="54"/>
  <c r="F44" i="54"/>
  <c r="H44" i="54"/>
  <c r="J44" i="54"/>
  <c r="M44" i="54"/>
  <c r="P44" i="54"/>
  <c r="Q44" i="54"/>
  <c r="R44" i="54"/>
  <c r="T44" i="54"/>
  <c r="V44" i="54"/>
  <c r="X44" i="54"/>
  <c r="Y44" i="54"/>
  <c r="D312" i="51"/>
  <c r="B6" i="56" s="1"/>
  <c r="B13" i="4" s="1"/>
  <c r="A41" i="50"/>
  <c r="A42" i="50"/>
  <c r="A43" i="50"/>
  <c r="A44" i="50"/>
  <c r="A45" i="50"/>
  <c r="A46" i="50"/>
  <c r="A57" i="50"/>
  <c r="A58" i="50"/>
  <c r="A59" i="50"/>
  <c r="A60" i="50"/>
  <c r="A61" i="50"/>
  <c r="A62" i="50"/>
  <c r="A81" i="50"/>
  <c r="A82" i="50"/>
  <c r="A83" i="50"/>
  <c r="A84" i="50"/>
  <c r="A85" i="50"/>
  <c r="A86" i="50"/>
  <c r="A45" i="49"/>
  <c r="A46" i="49"/>
  <c r="A47" i="49"/>
  <c r="A48" i="49"/>
  <c r="A49" i="49"/>
  <c r="A50" i="49"/>
  <c r="A51" i="49"/>
  <c r="A52" i="49"/>
  <c r="A53" i="49"/>
  <c r="A54" i="49"/>
  <c r="A55" i="49"/>
  <c r="A56" i="49"/>
  <c r="A57" i="49"/>
  <c r="A58" i="49"/>
  <c r="A59" i="49"/>
  <c r="A79" i="49"/>
  <c r="A80" i="49"/>
  <c r="A81" i="49"/>
  <c r="A82" i="49"/>
  <c r="A83" i="49"/>
  <c r="A84" i="49"/>
  <c r="A85" i="49"/>
  <c r="A86" i="49"/>
  <c r="A87" i="49"/>
  <c r="A88" i="49"/>
  <c r="A89" i="49"/>
  <c r="A90" i="49"/>
  <c r="A91" i="49"/>
  <c r="A92" i="49"/>
  <c r="A93" i="49"/>
  <c r="A130" i="49"/>
  <c r="A131" i="49"/>
  <c r="A132" i="49"/>
  <c r="A133" i="49"/>
  <c r="A134" i="49"/>
  <c r="A135" i="49"/>
  <c r="A136" i="49"/>
  <c r="A137" i="49"/>
  <c r="A138" i="49"/>
  <c r="A139" i="49"/>
  <c r="A140" i="49"/>
  <c r="A141" i="49"/>
  <c r="A142" i="49"/>
  <c r="A143" i="49"/>
  <c r="A144" i="49"/>
  <c r="A43" i="48"/>
  <c r="A44" i="48"/>
  <c r="A45" i="48"/>
  <c r="A46" i="48"/>
  <c r="A47" i="48"/>
  <c r="A48" i="48"/>
  <c r="A49" i="48"/>
  <c r="A50" i="48"/>
  <c r="A51" i="48"/>
  <c r="A52" i="48"/>
  <c r="A53" i="48"/>
  <c r="A54" i="48"/>
  <c r="A55" i="48"/>
  <c r="A56" i="48"/>
  <c r="A57" i="48"/>
  <c r="A62" i="48"/>
  <c r="A63" i="48"/>
  <c r="A64" i="48"/>
  <c r="A65" i="48"/>
  <c r="A66" i="48"/>
  <c r="A67" i="48"/>
  <c r="A68" i="48"/>
  <c r="A69" i="48"/>
  <c r="A70" i="48"/>
  <c r="A71" i="48"/>
  <c r="A72" i="48"/>
  <c r="A73" i="48"/>
  <c r="A74" i="48"/>
  <c r="A75" i="48"/>
  <c r="A76" i="48"/>
  <c r="A113" i="48"/>
  <c r="A114" i="48"/>
  <c r="A115" i="48"/>
  <c r="A116" i="48"/>
  <c r="A117" i="48"/>
  <c r="A118" i="48"/>
  <c r="A119" i="48"/>
  <c r="A120" i="48"/>
  <c r="A121" i="48"/>
  <c r="A122" i="48"/>
  <c r="A123" i="48"/>
  <c r="A124" i="48"/>
  <c r="A125" i="48"/>
  <c r="A126" i="48"/>
  <c r="A127" i="48"/>
  <c r="B2" i="46"/>
  <c r="B5" i="46" s="1"/>
  <c r="C2" i="46"/>
  <c r="D2" i="46"/>
  <c r="E10" i="46" s="1"/>
  <c r="E12" i="46" s="1"/>
  <c r="E2" i="46"/>
  <c r="F2" i="46"/>
  <c r="G10" i="46" s="1"/>
  <c r="G12" i="46" s="1"/>
  <c r="G2" i="46"/>
  <c r="B3" i="46"/>
  <c r="C3" i="46"/>
  <c r="D11" i="46" s="1"/>
  <c r="D3" i="46"/>
  <c r="E3" i="46"/>
  <c r="F11" i="46" s="1"/>
  <c r="F3" i="46"/>
  <c r="G3" i="46"/>
  <c r="H3" i="46"/>
  <c r="H6" i="46" s="1"/>
  <c r="H4" i="46"/>
  <c r="H2" i="46" s="1"/>
  <c r="C5" i="46"/>
  <c r="D5" i="46"/>
  <c r="E5" i="46"/>
  <c r="F5" i="46"/>
  <c r="G5" i="46"/>
  <c r="B6" i="46"/>
  <c r="C6" i="46"/>
  <c r="D6" i="46"/>
  <c r="E6" i="46"/>
  <c r="F6" i="46"/>
  <c r="G6" i="46"/>
  <c r="B9" i="46"/>
  <c r="C9" i="46"/>
  <c r="D9" i="46"/>
  <c r="E9" i="46"/>
  <c r="F9" i="46"/>
  <c r="G9" i="46"/>
  <c r="H9" i="46"/>
  <c r="I9" i="46"/>
  <c r="J9" i="46"/>
  <c r="K9" i="46"/>
  <c r="L9" i="46"/>
  <c r="M9" i="46"/>
  <c r="N9" i="46"/>
  <c r="O9" i="46"/>
  <c r="P9" i="46"/>
  <c r="Q9" i="46"/>
  <c r="R9" i="46"/>
  <c r="S9" i="46"/>
  <c r="T9" i="46"/>
  <c r="U9" i="46"/>
  <c r="V9" i="46"/>
  <c r="W9" i="46"/>
  <c r="X9" i="46"/>
  <c r="Y9" i="46"/>
  <c r="Z9" i="46"/>
  <c r="B10" i="46"/>
  <c r="D10" i="46"/>
  <c r="F10" i="46"/>
  <c r="F12" i="46" s="1"/>
  <c r="B11" i="46"/>
  <c r="C11" i="46"/>
  <c r="E11" i="46"/>
  <c r="G11" i="46"/>
  <c r="H11" i="46"/>
  <c r="B12" i="46"/>
  <c r="A5" i="44"/>
  <c r="A6" i="44" s="1"/>
  <c r="A7" i="44" s="1"/>
  <c r="A8" i="44" s="1"/>
  <c r="A9" i="44" s="1"/>
  <c r="A10" i="44" s="1"/>
  <c r="B12" i="44"/>
  <c r="B13" i="44" s="1"/>
  <c r="B14" i="44" s="1"/>
  <c r="B15" i="44" s="1"/>
  <c r="B16" i="44" s="1"/>
  <c r="B17" i="44" s="1"/>
  <c r="B18" i="44" s="1"/>
  <c r="C12" i="44"/>
  <c r="C13" i="44" s="1"/>
  <c r="C14" i="44" s="1"/>
  <c r="C15" i="44" s="1"/>
  <c r="C16" i="44" s="1"/>
  <c r="C17" i="44" s="1"/>
  <c r="C18" i="44" s="1"/>
  <c r="D12" i="44"/>
  <c r="D13" i="44" s="1"/>
  <c r="D14" i="44" s="1"/>
  <c r="D15" i="44" s="1"/>
  <c r="D16" i="44" s="1"/>
  <c r="D17" i="44" s="1"/>
  <c r="D18" i="44" s="1"/>
  <c r="E12" i="44"/>
  <c r="E13" i="44" s="1"/>
  <c r="E14" i="44" s="1"/>
  <c r="E15" i="44" s="1"/>
  <c r="E16" i="44" s="1"/>
  <c r="E17" i="44" s="1"/>
  <c r="E18" i="44" s="1"/>
  <c r="A13" i="44"/>
  <c r="A14" i="44"/>
  <c r="A15" i="44" s="1"/>
  <c r="A16" i="44" s="1"/>
  <c r="A17" i="44" s="1"/>
  <c r="A18" i="44" s="1"/>
  <c r="D7" i="42"/>
  <c r="C8" i="42"/>
  <c r="C9" i="42"/>
  <c r="C10" i="42" s="1"/>
  <c r="D9" i="42"/>
  <c r="C11" i="42"/>
  <c r="D11" i="42"/>
  <c r="C12" i="42"/>
  <c r="C13" i="42"/>
  <c r="D13" i="42"/>
  <c r="C14" i="42"/>
  <c r="D13" i="41"/>
  <c r="D15" i="41"/>
  <c r="D16" i="41" s="1"/>
  <c r="A23" i="41"/>
  <c r="B23" i="41"/>
  <c r="A24" i="41"/>
  <c r="A25" i="41"/>
  <c r="A26" i="41"/>
  <c r="A27" i="41"/>
  <c r="D13" i="40"/>
  <c r="B23" i="40" s="1"/>
  <c r="D15" i="40"/>
  <c r="D16" i="40" s="1"/>
  <c r="A23" i="40"/>
  <c r="A24" i="40"/>
  <c r="A25" i="40"/>
  <c r="D13" i="39"/>
  <c r="D15" i="39"/>
  <c r="D16" i="39" s="1"/>
  <c r="D18" i="39" s="1"/>
  <c r="A23" i="39"/>
  <c r="B3" i="38"/>
  <c r="G2" i="37"/>
  <c r="G129" i="37" s="1"/>
  <c r="H2" i="37"/>
  <c r="H129" i="37" s="1"/>
  <c r="I2" i="37"/>
  <c r="I129" i="37" s="1"/>
  <c r="J2" i="37"/>
  <c r="J129" i="37" s="1"/>
  <c r="K2" i="37"/>
  <c r="K129" i="37" s="1"/>
  <c r="L2" i="37"/>
  <c r="L129" i="37" s="1"/>
  <c r="M2" i="37"/>
  <c r="N2" i="37"/>
  <c r="N129" i="37" s="1"/>
  <c r="O2" i="37"/>
  <c r="O129" i="37" s="1"/>
  <c r="P2" i="37"/>
  <c r="P129" i="37" s="1"/>
  <c r="Q2" i="37"/>
  <c r="Q129" i="37" s="1"/>
  <c r="R2" i="37"/>
  <c r="R129" i="37" s="1"/>
  <c r="S2" i="37"/>
  <c r="S129" i="37" s="1"/>
  <c r="T2" i="37"/>
  <c r="T129" i="37" s="1"/>
  <c r="U2" i="37"/>
  <c r="U129" i="37" s="1"/>
  <c r="V2" i="37"/>
  <c r="V129" i="37" s="1"/>
  <c r="W2" i="37"/>
  <c r="W129" i="37" s="1"/>
  <c r="X2" i="37"/>
  <c r="X129" i="37" s="1"/>
  <c r="Y2" i="37"/>
  <c r="Y129" i="37" s="1"/>
  <c r="Z2" i="37"/>
  <c r="Z129" i="37" s="1"/>
  <c r="AA2" i="37"/>
  <c r="AB2" i="37"/>
  <c r="AC2" i="37"/>
  <c r="AD2" i="37"/>
  <c r="AE2" i="37"/>
  <c r="C11" i="37"/>
  <c r="B12" i="37"/>
  <c r="AE12" i="37"/>
  <c r="B13" i="37"/>
  <c r="D13" i="37"/>
  <c r="B14" i="37"/>
  <c r="D14" i="37"/>
  <c r="M14" i="37" s="1"/>
  <c r="B15" i="37"/>
  <c r="B18" i="37"/>
  <c r="C18" i="37"/>
  <c r="D18" i="37"/>
  <c r="D19" i="37" s="1"/>
  <c r="D20" i="37" s="1"/>
  <c r="D21" i="37" s="1"/>
  <c r="B19" i="37"/>
  <c r="C19" i="37"/>
  <c r="B20" i="37"/>
  <c r="C20" i="37"/>
  <c r="B21" i="37"/>
  <c r="C21" i="37"/>
  <c r="B24" i="37"/>
  <c r="C24" i="37"/>
  <c r="D24" i="37"/>
  <c r="D25" i="37" s="1"/>
  <c r="D26" i="37" s="1"/>
  <c r="D27" i="37" s="1"/>
  <c r="B25" i="37"/>
  <c r="C25" i="37"/>
  <c r="B26" i="37"/>
  <c r="C26" i="37"/>
  <c r="B27" i="37"/>
  <c r="C27" i="37"/>
  <c r="B30" i="37"/>
  <c r="C30" i="37"/>
  <c r="B31" i="37"/>
  <c r="C31" i="37"/>
  <c r="B32" i="37"/>
  <c r="C32" i="37"/>
  <c r="B33" i="37"/>
  <c r="C33" i="37"/>
  <c r="B36" i="37"/>
  <c r="C36" i="37"/>
  <c r="B37" i="37"/>
  <c r="C37" i="37"/>
  <c r="B38" i="37"/>
  <c r="C38" i="37"/>
  <c r="B39" i="37"/>
  <c r="C39" i="37"/>
  <c r="B42" i="37"/>
  <c r="C42" i="37"/>
  <c r="B43" i="37"/>
  <c r="C43" i="37"/>
  <c r="B44" i="37"/>
  <c r="C44" i="37"/>
  <c r="B45" i="37"/>
  <c r="C45" i="37"/>
  <c r="B48" i="37"/>
  <c r="C48" i="37"/>
  <c r="B49" i="37"/>
  <c r="C49" i="37"/>
  <c r="D49" i="37"/>
  <c r="B50" i="37"/>
  <c r="C50" i="37"/>
  <c r="D50" i="37"/>
  <c r="D51" i="37" s="1"/>
  <c r="B51" i="37"/>
  <c r="C51" i="37"/>
  <c r="B53" i="37"/>
  <c r="B59" i="37" s="1"/>
  <c r="B65" i="37" s="1"/>
  <c r="B71" i="37" s="1"/>
  <c r="B77" i="37" s="1"/>
  <c r="B54" i="37"/>
  <c r="C54" i="37"/>
  <c r="D54" i="37"/>
  <c r="D55" i="37" s="1"/>
  <c r="B55" i="37"/>
  <c r="C55" i="37"/>
  <c r="B56" i="37"/>
  <c r="C56" i="37"/>
  <c r="D56" i="37"/>
  <c r="D57" i="37" s="1"/>
  <c r="B57" i="37"/>
  <c r="C57" i="37"/>
  <c r="B60" i="37"/>
  <c r="C60" i="37"/>
  <c r="D60" i="37"/>
  <c r="D61" i="37" s="1"/>
  <c r="D62" i="37" s="1"/>
  <c r="D63" i="37" s="1"/>
  <c r="B61" i="37"/>
  <c r="C61" i="37"/>
  <c r="B62" i="37"/>
  <c r="C62" i="37"/>
  <c r="B63" i="37"/>
  <c r="C63" i="37"/>
  <c r="B66" i="37"/>
  <c r="C66" i="37"/>
  <c r="D66" i="37"/>
  <c r="B67" i="37"/>
  <c r="C67" i="37"/>
  <c r="B68" i="37"/>
  <c r="C68" i="37"/>
  <c r="B69" i="37"/>
  <c r="C69" i="37"/>
  <c r="B72" i="37"/>
  <c r="C72" i="37"/>
  <c r="B73" i="37"/>
  <c r="C73" i="37"/>
  <c r="B74" i="37"/>
  <c r="C74" i="37"/>
  <c r="B75" i="37"/>
  <c r="C75" i="37"/>
  <c r="B78" i="37"/>
  <c r="C78" i="37"/>
  <c r="B79" i="37"/>
  <c r="C79" i="37"/>
  <c r="B80" i="37"/>
  <c r="C80" i="37"/>
  <c r="B81" i="37"/>
  <c r="C81" i="37"/>
  <c r="B88" i="37"/>
  <c r="C88" i="37"/>
  <c r="B89" i="37"/>
  <c r="C89" i="37"/>
  <c r="B90" i="37"/>
  <c r="C90" i="37"/>
  <c r="B91" i="37"/>
  <c r="C91" i="37"/>
  <c r="B96" i="37"/>
  <c r="C96" i="37"/>
  <c r="B97" i="37"/>
  <c r="C97" i="37"/>
  <c r="B98" i="37"/>
  <c r="C98" i="37"/>
  <c r="B99" i="37"/>
  <c r="C99" i="37"/>
  <c r="C103" i="37"/>
  <c r="B104" i="37"/>
  <c r="C104" i="37"/>
  <c r="D104" i="37"/>
  <c r="B105" i="37"/>
  <c r="C105" i="37"/>
  <c r="B106" i="37"/>
  <c r="C106" i="37"/>
  <c r="D106" i="37"/>
  <c r="B107" i="37"/>
  <c r="C107" i="37"/>
  <c r="B112" i="37"/>
  <c r="B113" i="37"/>
  <c r="B114" i="37"/>
  <c r="B115" i="37"/>
  <c r="B116" i="37"/>
  <c r="B117" i="37"/>
  <c r="B118" i="37"/>
  <c r="B119" i="37"/>
  <c r="B120" i="37"/>
  <c r="B121" i="37"/>
  <c r="B122" i="37"/>
  <c r="B123" i="37"/>
  <c r="B124" i="37"/>
  <c r="B125" i="37"/>
  <c r="M129" i="37"/>
  <c r="G2" i="36"/>
  <c r="G129" i="36" s="1"/>
  <c r="H2" i="36"/>
  <c r="H129" i="36" s="1"/>
  <c r="I2" i="36"/>
  <c r="I129" i="36" s="1"/>
  <c r="J2" i="36"/>
  <c r="J129" i="36" s="1"/>
  <c r="K2" i="36"/>
  <c r="L2" i="36"/>
  <c r="M2" i="36"/>
  <c r="M129" i="36" s="1"/>
  <c r="N2" i="36"/>
  <c r="O2" i="36"/>
  <c r="O129" i="36" s="1"/>
  <c r="P2" i="36"/>
  <c r="P129" i="36" s="1"/>
  <c r="Q2" i="36"/>
  <c r="Q129" i="36" s="1"/>
  <c r="R2" i="36"/>
  <c r="R129" i="36" s="1"/>
  <c r="S2" i="36"/>
  <c r="S129" i="36" s="1"/>
  <c r="T2" i="36"/>
  <c r="T129" i="36" s="1"/>
  <c r="U2" i="36"/>
  <c r="U129" i="36" s="1"/>
  <c r="V2" i="36"/>
  <c r="V129" i="36" s="1"/>
  <c r="W2" i="36"/>
  <c r="W129" i="36" s="1"/>
  <c r="X2" i="36"/>
  <c r="X129" i="36" s="1"/>
  <c r="Y2" i="36"/>
  <c r="Y129" i="36" s="1"/>
  <c r="Z2" i="36"/>
  <c r="Z129" i="36" s="1"/>
  <c r="AA2" i="36"/>
  <c r="AB2" i="36"/>
  <c r="AC2" i="36"/>
  <c r="AD2" i="36"/>
  <c r="AE2" i="36"/>
  <c r="G6" i="36"/>
  <c r="H6" i="36"/>
  <c r="I6" i="36"/>
  <c r="J6" i="36"/>
  <c r="K6" i="36"/>
  <c r="L6" i="36"/>
  <c r="M6" i="36"/>
  <c r="G7" i="36"/>
  <c r="H7" i="36"/>
  <c r="I7" i="36"/>
  <c r="J7" i="36"/>
  <c r="K7" i="36"/>
  <c r="L7" i="36"/>
  <c r="M7" i="36"/>
  <c r="G12" i="36"/>
  <c r="H12" i="36"/>
  <c r="I12" i="36"/>
  <c r="J12" i="36"/>
  <c r="K12" i="36"/>
  <c r="L12" i="36"/>
  <c r="M12" i="36"/>
  <c r="N12" i="36"/>
  <c r="O12" i="36"/>
  <c r="P12" i="36"/>
  <c r="Q12" i="36"/>
  <c r="R12" i="36"/>
  <c r="S12" i="36"/>
  <c r="T12" i="36"/>
  <c r="U12" i="36"/>
  <c r="V12" i="36"/>
  <c r="W12" i="36"/>
  <c r="X12" i="36"/>
  <c r="Y12" i="36"/>
  <c r="Z12" i="36"/>
  <c r="AA12" i="36"/>
  <c r="AB12" i="36"/>
  <c r="AC12" i="36"/>
  <c r="AD12" i="36"/>
  <c r="AE12" i="36"/>
  <c r="D13" i="36"/>
  <c r="D14" i="36"/>
  <c r="G14" i="36" s="1"/>
  <c r="L14" i="36"/>
  <c r="M14" i="36"/>
  <c r="N14" i="36"/>
  <c r="O14" i="36"/>
  <c r="P14" i="36"/>
  <c r="Q14" i="36"/>
  <c r="R14" i="36"/>
  <c r="S14" i="36"/>
  <c r="T14" i="36"/>
  <c r="U14" i="36"/>
  <c r="V14" i="36"/>
  <c r="W14" i="36"/>
  <c r="X14" i="36"/>
  <c r="Y14" i="36"/>
  <c r="Z14" i="36"/>
  <c r="AA14" i="36"/>
  <c r="AB14" i="36"/>
  <c r="AC14" i="36"/>
  <c r="AD14" i="36"/>
  <c r="AE14" i="36"/>
  <c r="D15" i="36"/>
  <c r="D18" i="36"/>
  <c r="J18" i="36" s="1"/>
  <c r="H18" i="36"/>
  <c r="I18" i="36"/>
  <c r="L18" i="36"/>
  <c r="N18" i="36"/>
  <c r="R18" i="36"/>
  <c r="S18" i="36"/>
  <c r="T18" i="36"/>
  <c r="U18" i="36"/>
  <c r="X18" i="36"/>
  <c r="Z18" i="36"/>
  <c r="AD18" i="36"/>
  <c r="AE18" i="36"/>
  <c r="D19" i="36"/>
  <c r="D49" i="36"/>
  <c r="D50" i="36" s="1"/>
  <c r="D51" i="36" s="1"/>
  <c r="G50" i="36"/>
  <c r="H50" i="36" s="1"/>
  <c r="I50" i="36" s="1"/>
  <c r="J50" i="36" s="1"/>
  <c r="K50" i="36"/>
  <c r="G51" i="36"/>
  <c r="H51" i="36"/>
  <c r="I51" i="36" s="1"/>
  <c r="J51" i="36" s="1"/>
  <c r="K51" i="36" s="1"/>
  <c r="L51" i="36" s="1"/>
  <c r="M51" i="36" s="1"/>
  <c r="N51" i="36" s="1"/>
  <c r="O51" i="36" s="1"/>
  <c r="P51" i="36" s="1"/>
  <c r="Q51" i="36" s="1"/>
  <c r="R51" i="36" s="1"/>
  <c r="S51" i="36" s="1"/>
  <c r="T51" i="36" s="1"/>
  <c r="U51" i="36" s="1"/>
  <c r="V51" i="36" s="1"/>
  <c r="W51" i="36" s="1"/>
  <c r="X51" i="36" s="1"/>
  <c r="Y51" i="36" s="1"/>
  <c r="Z51" i="36" s="1"/>
  <c r="AA51" i="36" s="1"/>
  <c r="AB51" i="36" s="1"/>
  <c r="AC51" i="36" s="1"/>
  <c r="AD51" i="36" s="1"/>
  <c r="AE51" i="36" s="1"/>
  <c r="B53" i="36"/>
  <c r="B59" i="36" s="1"/>
  <c r="B65" i="36" s="1"/>
  <c r="B71" i="36" s="1"/>
  <c r="B77" i="36" s="1"/>
  <c r="D54" i="36"/>
  <c r="H56" i="36"/>
  <c r="I56" i="36" s="1"/>
  <c r="J56" i="36" s="1"/>
  <c r="K56" i="36" s="1"/>
  <c r="L56" i="36" s="1"/>
  <c r="M56" i="36" s="1"/>
  <c r="N56" i="36" s="1"/>
  <c r="O56" i="36" s="1"/>
  <c r="P56" i="36" s="1"/>
  <c r="Q56" i="36" s="1"/>
  <c r="R56" i="36" s="1"/>
  <c r="S56" i="36" s="1"/>
  <c r="T56" i="36" s="1"/>
  <c r="U56" i="36" s="1"/>
  <c r="V56" i="36" s="1"/>
  <c r="W56" i="36" s="1"/>
  <c r="X56" i="36" s="1"/>
  <c r="Y56" i="36" s="1"/>
  <c r="Z56" i="36" s="1"/>
  <c r="AA56" i="36" s="1"/>
  <c r="AB56" i="36" s="1"/>
  <c r="AC56" i="36" s="1"/>
  <c r="AD56" i="36" s="1"/>
  <c r="AE56" i="36" s="1"/>
  <c r="H57" i="36"/>
  <c r="I57" i="36" s="1"/>
  <c r="J57" i="36" s="1"/>
  <c r="K57" i="36" s="1"/>
  <c r="L57" i="36"/>
  <c r="M57" i="36" s="1"/>
  <c r="N57" i="36" s="1"/>
  <c r="O57" i="36" s="1"/>
  <c r="P57" i="36" s="1"/>
  <c r="Q57" i="36" s="1"/>
  <c r="R57" i="36" s="1"/>
  <c r="S57" i="36" s="1"/>
  <c r="T57" i="36" s="1"/>
  <c r="U57" i="36" s="1"/>
  <c r="V57" i="36" s="1"/>
  <c r="W57" i="36" s="1"/>
  <c r="X57" i="36" s="1"/>
  <c r="Y57" i="36" s="1"/>
  <c r="Z57" i="36" s="1"/>
  <c r="AA57" i="36" s="1"/>
  <c r="AB57" i="36" s="1"/>
  <c r="AC57" i="36" s="1"/>
  <c r="AD57" i="36" s="1"/>
  <c r="AE57" i="36" s="1"/>
  <c r="K61" i="36"/>
  <c r="L61" i="36" s="1"/>
  <c r="M61" i="36" s="1"/>
  <c r="N61" i="36" s="1"/>
  <c r="O61" i="36" s="1"/>
  <c r="P61" i="36" s="1"/>
  <c r="Q61" i="36" s="1"/>
  <c r="R61" i="36" s="1"/>
  <c r="S61" i="36" s="1"/>
  <c r="T61" i="36" s="1"/>
  <c r="U61" i="36" s="1"/>
  <c r="V61" i="36" s="1"/>
  <c r="W61" i="36" s="1"/>
  <c r="X61" i="36" s="1"/>
  <c r="Y61" i="36" s="1"/>
  <c r="Z61" i="36"/>
  <c r="AA61" i="36" s="1"/>
  <c r="AB61" i="36" s="1"/>
  <c r="AC61" i="36" s="1"/>
  <c r="AD61" i="36" s="1"/>
  <c r="AE61" i="36" s="1"/>
  <c r="I62" i="36"/>
  <c r="J62" i="36" s="1"/>
  <c r="K62" i="36" s="1"/>
  <c r="L62" i="36" s="1"/>
  <c r="M62" i="36" s="1"/>
  <c r="N62" i="36" s="1"/>
  <c r="O62" i="36" s="1"/>
  <c r="P62" i="36" s="1"/>
  <c r="Q62" i="36" s="1"/>
  <c r="R62" i="36" s="1"/>
  <c r="S62" i="36" s="1"/>
  <c r="T62" i="36" s="1"/>
  <c r="U62" i="36" s="1"/>
  <c r="V62" i="36" s="1"/>
  <c r="W62" i="36" s="1"/>
  <c r="X62" i="36" s="1"/>
  <c r="Y62" i="36" s="1"/>
  <c r="Z62" i="36" s="1"/>
  <c r="AA62" i="36" s="1"/>
  <c r="AB62" i="36" s="1"/>
  <c r="AC62" i="36" s="1"/>
  <c r="AD62" i="36" s="1"/>
  <c r="AE62" i="36" s="1"/>
  <c r="I63" i="36"/>
  <c r="J63" i="36" s="1"/>
  <c r="K63" i="36"/>
  <c r="L63" i="36" s="1"/>
  <c r="M63" i="36" s="1"/>
  <c r="N63" i="36" s="1"/>
  <c r="O63" i="36" s="1"/>
  <c r="P63" i="36" s="1"/>
  <c r="Q63" i="36" s="1"/>
  <c r="R63" i="36" s="1"/>
  <c r="S63" i="36" s="1"/>
  <c r="T63" i="36" s="1"/>
  <c r="U63" i="36" s="1"/>
  <c r="V63" i="36" s="1"/>
  <c r="W63" i="36" s="1"/>
  <c r="X63" i="36" s="1"/>
  <c r="Y63" i="36" s="1"/>
  <c r="Z63" i="36" s="1"/>
  <c r="AA63" i="36" s="1"/>
  <c r="AB63" i="36" s="1"/>
  <c r="AC63" i="36" s="1"/>
  <c r="AD63" i="36" s="1"/>
  <c r="AE63" i="36" s="1"/>
  <c r="J68" i="36"/>
  <c r="K68" i="36"/>
  <c r="L68" i="36" s="1"/>
  <c r="M68" i="36" s="1"/>
  <c r="N68" i="36" s="1"/>
  <c r="O68" i="36" s="1"/>
  <c r="P68" i="36" s="1"/>
  <c r="Q68" i="36" s="1"/>
  <c r="R68" i="36" s="1"/>
  <c r="S68" i="36" s="1"/>
  <c r="T68" i="36" s="1"/>
  <c r="U68" i="36" s="1"/>
  <c r="V68" i="36" s="1"/>
  <c r="W68" i="36" s="1"/>
  <c r="X68" i="36" s="1"/>
  <c r="Y68" i="36" s="1"/>
  <c r="Z68" i="36" s="1"/>
  <c r="AA68" i="36" s="1"/>
  <c r="AB68" i="36" s="1"/>
  <c r="AC68" i="36" s="1"/>
  <c r="AD68" i="36" s="1"/>
  <c r="AE68" i="36" s="1"/>
  <c r="J69" i="36"/>
  <c r="K69" i="36" s="1"/>
  <c r="L69" i="36"/>
  <c r="M69" i="36" s="1"/>
  <c r="N69" i="36" s="1"/>
  <c r="O69" i="36" s="1"/>
  <c r="P69" i="36" s="1"/>
  <c r="Q69" i="36" s="1"/>
  <c r="R69" i="36" s="1"/>
  <c r="S69" i="36" s="1"/>
  <c r="T69" i="36" s="1"/>
  <c r="U69" i="36" s="1"/>
  <c r="V69" i="36" s="1"/>
  <c r="W69" i="36" s="1"/>
  <c r="X69" i="36" s="1"/>
  <c r="Y69" i="36" s="1"/>
  <c r="Z69" i="36" s="1"/>
  <c r="AA69" i="36" s="1"/>
  <c r="AB69" i="36" s="1"/>
  <c r="AC69" i="36" s="1"/>
  <c r="AD69" i="36" s="1"/>
  <c r="AE69" i="36" s="1"/>
  <c r="M72" i="36"/>
  <c r="N72" i="36" s="1"/>
  <c r="O72" i="36" s="1"/>
  <c r="P72" i="36" s="1"/>
  <c r="Q72" i="36" s="1"/>
  <c r="R72" i="36" s="1"/>
  <c r="S72" i="36" s="1"/>
  <c r="T72" i="36" s="1"/>
  <c r="U72" i="36" s="1"/>
  <c r="V72" i="36" s="1"/>
  <c r="W72" i="36" s="1"/>
  <c r="X72" i="36" s="1"/>
  <c r="Y72" i="36" s="1"/>
  <c r="Z72" i="36" s="1"/>
  <c r="AA72" i="36" s="1"/>
  <c r="AB72" i="36" s="1"/>
  <c r="AC72" i="36" s="1"/>
  <c r="AD72" i="36" s="1"/>
  <c r="AE72" i="36" s="1"/>
  <c r="K74" i="36"/>
  <c r="L74" i="36" s="1"/>
  <c r="M74" i="36" s="1"/>
  <c r="N74" i="36" s="1"/>
  <c r="O74" i="36" s="1"/>
  <c r="P74" i="36" s="1"/>
  <c r="Q74" i="36" s="1"/>
  <c r="R74" i="36" s="1"/>
  <c r="S74" i="36" s="1"/>
  <c r="T74" i="36" s="1"/>
  <c r="U74" i="36" s="1"/>
  <c r="V74" i="36" s="1"/>
  <c r="W74" i="36" s="1"/>
  <c r="X74" i="36" s="1"/>
  <c r="Y74" i="36" s="1"/>
  <c r="Z74" i="36" s="1"/>
  <c r="AA74" i="36" s="1"/>
  <c r="AB74" i="36" s="1"/>
  <c r="AC74" i="36" s="1"/>
  <c r="AD74" i="36" s="1"/>
  <c r="AE74" i="36" s="1"/>
  <c r="K75" i="36"/>
  <c r="L75" i="36" s="1"/>
  <c r="M75" i="36" s="1"/>
  <c r="N75" i="36" s="1"/>
  <c r="O75" i="36" s="1"/>
  <c r="P75" i="36" s="1"/>
  <c r="Q75" i="36" s="1"/>
  <c r="R75" i="36" s="1"/>
  <c r="S75" i="36" s="1"/>
  <c r="T75" i="36" s="1"/>
  <c r="U75" i="36" s="1"/>
  <c r="V75" i="36" s="1"/>
  <c r="W75" i="36" s="1"/>
  <c r="X75" i="36" s="1"/>
  <c r="Y75" i="36" s="1"/>
  <c r="Z75" i="36" s="1"/>
  <c r="AA75" i="36" s="1"/>
  <c r="AB75" i="36" s="1"/>
  <c r="AC75" i="36" s="1"/>
  <c r="AD75" i="36" s="1"/>
  <c r="AE75" i="36" s="1"/>
  <c r="L80" i="36"/>
  <c r="M80" i="36"/>
  <c r="N80" i="36" s="1"/>
  <c r="O80" i="36" s="1"/>
  <c r="P80" i="36" s="1"/>
  <c r="Q80" i="36" s="1"/>
  <c r="R80" i="36" s="1"/>
  <c r="S80" i="36" s="1"/>
  <c r="T80" i="36" s="1"/>
  <c r="U80" i="36" s="1"/>
  <c r="V80" i="36" s="1"/>
  <c r="W80" i="36" s="1"/>
  <c r="X80" i="36" s="1"/>
  <c r="Y80" i="36" s="1"/>
  <c r="Z80" i="36" s="1"/>
  <c r="AA80" i="36" s="1"/>
  <c r="AB80" i="36" s="1"/>
  <c r="AC80" i="36" s="1"/>
  <c r="AD80" i="36" s="1"/>
  <c r="AE80" i="36" s="1"/>
  <c r="L81" i="36"/>
  <c r="M81" i="36" s="1"/>
  <c r="N81" i="36"/>
  <c r="O81" i="36" s="1"/>
  <c r="P81" i="36" s="1"/>
  <c r="Q81" i="36" s="1"/>
  <c r="R81" i="36" s="1"/>
  <c r="S81" i="36" s="1"/>
  <c r="T81" i="36" s="1"/>
  <c r="U81" i="36" s="1"/>
  <c r="V81" i="36" s="1"/>
  <c r="W81" i="36" s="1"/>
  <c r="X81" i="36" s="1"/>
  <c r="Y81" i="36" s="1"/>
  <c r="Z81" i="36" s="1"/>
  <c r="AA81" i="36" s="1"/>
  <c r="AB81" i="36" s="1"/>
  <c r="AC81" i="36" s="1"/>
  <c r="AD81" i="36" s="1"/>
  <c r="AE81" i="36" s="1"/>
  <c r="G96" i="36"/>
  <c r="G48" i="36" s="1"/>
  <c r="I96" i="36"/>
  <c r="I60" i="36" s="1"/>
  <c r="J60" i="36" s="1"/>
  <c r="K60" i="36" s="1"/>
  <c r="L60" i="36" s="1"/>
  <c r="M60" i="36" s="1"/>
  <c r="N60" i="36" s="1"/>
  <c r="O60" i="36" s="1"/>
  <c r="P60" i="36" s="1"/>
  <c r="Q60" i="36" s="1"/>
  <c r="R60" i="36" s="1"/>
  <c r="S60" i="36" s="1"/>
  <c r="T60" i="36" s="1"/>
  <c r="U60" i="36" s="1"/>
  <c r="V60" i="36" s="1"/>
  <c r="W60" i="36" s="1"/>
  <c r="X60" i="36" s="1"/>
  <c r="Y60" i="36" s="1"/>
  <c r="Z60" i="36" s="1"/>
  <c r="AA60" i="36" s="1"/>
  <c r="AB60" i="36" s="1"/>
  <c r="AC60" i="36" s="1"/>
  <c r="AD60" i="36" s="1"/>
  <c r="AE60" i="36" s="1"/>
  <c r="J96" i="36"/>
  <c r="J66" i="36" s="1"/>
  <c r="K66" i="36" s="1"/>
  <c r="L66" i="36" s="1"/>
  <c r="M66" i="36" s="1"/>
  <c r="N66" i="36" s="1"/>
  <c r="O66" i="36" s="1"/>
  <c r="P66" i="36" s="1"/>
  <c r="Q66" i="36" s="1"/>
  <c r="R66" i="36" s="1"/>
  <c r="S66" i="36" s="1"/>
  <c r="T66" i="36" s="1"/>
  <c r="U66" i="36" s="1"/>
  <c r="V66" i="36" s="1"/>
  <c r="W66" i="36" s="1"/>
  <c r="X66" i="36" s="1"/>
  <c r="Y66" i="36" s="1"/>
  <c r="Z66" i="36" s="1"/>
  <c r="AA66" i="36" s="1"/>
  <c r="AB66" i="36" s="1"/>
  <c r="AC66" i="36" s="1"/>
  <c r="AD66" i="36" s="1"/>
  <c r="AE66" i="36" s="1"/>
  <c r="K96" i="36"/>
  <c r="K72" i="36" s="1"/>
  <c r="L72" i="36" s="1"/>
  <c r="L96" i="36"/>
  <c r="L78" i="36" s="1"/>
  <c r="M78" i="36" s="1"/>
  <c r="N78" i="36" s="1"/>
  <c r="O78" i="36" s="1"/>
  <c r="P78" i="36" s="1"/>
  <c r="Q78" i="36" s="1"/>
  <c r="R78" i="36" s="1"/>
  <c r="S78" i="36" s="1"/>
  <c r="T78" i="36" s="1"/>
  <c r="U78" i="36" s="1"/>
  <c r="V78" i="36" s="1"/>
  <c r="W78" i="36" s="1"/>
  <c r="X78" i="36" s="1"/>
  <c r="Y78" i="36" s="1"/>
  <c r="Z78" i="36" s="1"/>
  <c r="AA78" i="36" s="1"/>
  <c r="AB78" i="36" s="1"/>
  <c r="AC78" i="36" s="1"/>
  <c r="AD78" i="36" s="1"/>
  <c r="AE78" i="36" s="1"/>
  <c r="G97" i="36"/>
  <c r="G49" i="36" s="1"/>
  <c r="H49" i="36" s="1"/>
  <c r="I49" i="36" s="1"/>
  <c r="J49" i="36" s="1"/>
  <c r="K49" i="36" s="1"/>
  <c r="L49" i="36" s="1"/>
  <c r="M49" i="36" s="1"/>
  <c r="N49" i="36" s="1"/>
  <c r="O49" i="36" s="1"/>
  <c r="P49" i="36" s="1"/>
  <c r="Q49" i="36" s="1"/>
  <c r="R49" i="36" s="1"/>
  <c r="S49" i="36" s="1"/>
  <c r="T49" i="36" s="1"/>
  <c r="U49" i="36" s="1"/>
  <c r="V49" i="36" s="1"/>
  <c r="W49" i="36" s="1"/>
  <c r="X49" i="36" s="1"/>
  <c r="Y49" i="36" s="1"/>
  <c r="Z49" i="36" s="1"/>
  <c r="AA49" i="36" s="1"/>
  <c r="AB49" i="36" s="1"/>
  <c r="AC49" i="36" s="1"/>
  <c r="AD49" i="36" s="1"/>
  <c r="AE49" i="36" s="1"/>
  <c r="H97" i="36"/>
  <c r="H55" i="36" s="1"/>
  <c r="I55" i="36" s="1"/>
  <c r="J55" i="36" s="1"/>
  <c r="K55" i="36" s="1"/>
  <c r="L55" i="36" s="1"/>
  <c r="M55" i="36" s="1"/>
  <c r="N55" i="36" s="1"/>
  <c r="O55" i="36" s="1"/>
  <c r="P55" i="36" s="1"/>
  <c r="Q55" i="36" s="1"/>
  <c r="R55" i="36" s="1"/>
  <c r="S55" i="36" s="1"/>
  <c r="T55" i="36" s="1"/>
  <c r="U55" i="36" s="1"/>
  <c r="V55" i="36" s="1"/>
  <c r="W55" i="36" s="1"/>
  <c r="X55" i="36" s="1"/>
  <c r="Y55" i="36" s="1"/>
  <c r="Z55" i="36" s="1"/>
  <c r="AA55" i="36" s="1"/>
  <c r="AB55" i="36" s="1"/>
  <c r="AC55" i="36" s="1"/>
  <c r="AD55" i="36" s="1"/>
  <c r="AE55" i="36" s="1"/>
  <c r="I97" i="36"/>
  <c r="I61" i="36" s="1"/>
  <c r="J61" i="36" s="1"/>
  <c r="J97" i="36"/>
  <c r="J67" i="36" s="1"/>
  <c r="K67" i="36" s="1"/>
  <c r="L67" i="36" s="1"/>
  <c r="M67" i="36" s="1"/>
  <c r="N67" i="36" s="1"/>
  <c r="O67" i="36" s="1"/>
  <c r="P67" i="36" s="1"/>
  <c r="Q67" i="36" s="1"/>
  <c r="R67" i="36" s="1"/>
  <c r="S67" i="36" s="1"/>
  <c r="T67" i="36" s="1"/>
  <c r="U67" i="36" s="1"/>
  <c r="V67" i="36" s="1"/>
  <c r="W67" i="36" s="1"/>
  <c r="X67" i="36" s="1"/>
  <c r="Y67" i="36" s="1"/>
  <c r="Z67" i="36" s="1"/>
  <c r="AA67" i="36" s="1"/>
  <c r="AB67" i="36" s="1"/>
  <c r="AC67" i="36" s="1"/>
  <c r="AD67" i="36" s="1"/>
  <c r="AE67" i="36" s="1"/>
  <c r="K97" i="36"/>
  <c r="K73" i="36" s="1"/>
  <c r="L73" i="36" s="1"/>
  <c r="M73" i="36" s="1"/>
  <c r="N73" i="36" s="1"/>
  <c r="O73" i="36" s="1"/>
  <c r="P73" i="36" s="1"/>
  <c r="Q73" i="36" s="1"/>
  <c r="R73" i="36" s="1"/>
  <c r="S73" i="36" s="1"/>
  <c r="T73" i="36" s="1"/>
  <c r="U73" i="36" s="1"/>
  <c r="V73" i="36" s="1"/>
  <c r="W73" i="36" s="1"/>
  <c r="X73" i="36" s="1"/>
  <c r="Y73" i="36" s="1"/>
  <c r="Z73" i="36" s="1"/>
  <c r="AA73" i="36" s="1"/>
  <c r="AB73" i="36" s="1"/>
  <c r="AC73" i="36" s="1"/>
  <c r="AD73" i="36" s="1"/>
  <c r="AE73" i="36" s="1"/>
  <c r="L97" i="36"/>
  <c r="L79" i="36" s="1"/>
  <c r="M79" i="36" s="1"/>
  <c r="N79" i="36" s="1"/>
  <c r="O79" i="36" s="1"/>
  <c r="P79" i="36" s="1"/>
  <c r="Q79" i="36" s="1"/>
  <c r="R79" i="36" s="1"/>
  <c r="S79" i="36" s="1"/>
  <c r="T79" i="36" s="1"/>
  <c r="U79" i="36" s="1"/>
  <c r="V79" i="36" s="1"/>
  <c r="W79" i="36" s="1"/>
  <c r="X79" i="36" s="1"/>
  <c r="Y79" i="36" s="1"/>
  <c r="Z79" i="36" s="1"/>
  <c r="AA79" i="36" s="1"/>
  <c r="AB79" i="36" s="1"/>
  <c r="AC79" i="36" s="1"/>
  <c r="AD79" i="36" s="1"/>
  <c r="AE79" i="36" s="1"/>
  <c r="M97" i="36"/>
  <c r="C103" i="36"/>
  <c r="D104" i="36"/>
  <c r="D106" i="36"/>
  <c r="E112" i="36"/>
  <c r="E113" i="36"/>
  <c r="E114" i="36"/>
  <c r="E115" i="36"/>
  <c r="E116" i="36"/>
  <c r="E117" i="36"/>
  <c r="E118" i="36"/>
  <c r="E119" i="36"/>
  <c r="E120" i="36"/>
  <c r="E121" i="36"/>
  <c r="E122" i="36"/>
  <c r="E123" i="36"/>
  <c r="C124" i="36"/>
  <c r="E124" i="36"/>
  <c r="C125" i="36"/>
  <c r="E125" i="36"/>
  <c r="C126" i="36"/>
  <c r="E126" i="36"/>
  <c r="N129" i="36"/>
  <c r="D133" i="36" l="1"/>
  <c r="G134" i="36" s="1"/>
  <c r="D10" i="13" s="1"/>
  <c r="K14" i="36"/>
  <c r="J14" i="36"/>
  <c r="I14" i="36"/>
  <c r="H14" i="36"/>
  <c r="G90" i="36"/>
  <c r="L106" i="36"/>
  <c r="K106" i="36"/>
  <c r="AE14" i="37"/>
  <c r="AD14" i="37"/>
  <c r="Y14" i="37"/>
  <c r="Q14" i="37"/>
  <c r="K14" i="37"/>
  <c r="L129" i="36"/>
  <c r="G106" i="36"/>
  <c r="D124" i="36" s="1"/>
  <c r="F124" i="36" s="1"/>
  <c r="V124" i="36" s="1"/>
  <c r="K129" i="36"/>
  <c r="G106" i="37"/>
  <c r="D124" i="37" s="1"/>
  <c r="G104" i="37"/>
  <c r="D112" i="37" s="1" a="1"/>
  <c r="D116" i="37" s="1"/>
  <c r="B23" i="39"/>
  <c r="B24" i="41"/>
  <c r="B25" i="41" s="1"/>
  <c r="B26" i="41" s="1"/>
  <c r="B27" i="41" s="1"/>
  <c r="B24" i="40"/>
  <c r="I106" i="36"/>
  <c r="H104" i="36"/>
  <c r="I104" i="36"/>
  <c r="J104" i="36"/>
  <c r="D108" i="36"/>
  <c r="G108" i="36" s="1"/>
  <c r="D126" i="36" s="1"/>
  <c r="F126" i="36" s="1"/>
  <c r="K104" i="36"/>
  <c r="L104" i="36"/>
  <c r="C118" i="36" a="1"/>
  <c r="H48" i="36"/>
  <c r="G88" i="36"/>
  <c r="L50" i="36"/>
  <c r="J106" i="36"/>
  <c r="D55" i="36"/>
  <c r="D56" i="36" s="1"/>
  <c r="D57" i="36" s="1"/>
  <c r="D60" i="36"/>
  <c r="H106" i="36"/>
  <c r="G104" i="36"/>
  <c r="D20" i="36"/>
  <c r="U19" i="36"/>
  <c r="J19" i="36"/>
  <c r="D72" i="37"/>
  <c r="D67" i="37"/>
  <c r="D68" i="37" s="1"/>
  <c r="D69" i="37" s="1"/>
  <c r="R12" i="37"/>
  <c r="AD12" i="37"/>
  <c r="H12" i="37"/>
  <c r="T12" i="37"/>
  <c r="I12" i="37"/>
  <c r="U12" i="37"/>
  <c r="J12" i="37"/>
  <c r="V12" i="37"/>
  <c r="N12" i="37"/>
  <c r="Z12" i="37"/>
  <c r="O12" i="37"/>
  <c r="AA12" i="37"/>
  <c r="X13" i="37"/>
  <c r="P12" i="37"/>
  <c r="AB12" i="37"/>
  <c r="D30" i="37"/>
  <c r="AC14" i="37"/>
  <c r="AC12" i="37"/>
  <c r="B25" i="40"/>
  <c r="V13" i="37"/>
  <c r="Y12" i="37"/>
  <c r="AC18" i="36"/>
  <c r="Q18" i="36"/>
  <c r="J13" i="36"/>
  <c r="W14" i="37"/>
  <c r="X12" i="37"/>
  <c r="D12" i="42"/>
  <c r="R13" i="37" s="1"/>
  <c r="D8" i="42"/>
  <c r="I19" i="36" s="1"/>
  <c r="D14" i="42"/>
  <c r="D107" i="37" s="1"/>
  <c r="G107" i="37" s="1"/>
  <c r="D125" i="37" s="1"/>
  <c r="D10" i="42"/>
  <c r="P15" i="36" s="1"/>
  <c r="AB18" i="36"/>
  <c r="P18" i="36"/>
  <c r="S14" i="37"/>
  <c r="W12" i="37"/>
  <c r="D12" i="46"/>
  <c r="AA18" i="36"/>
  <c r="O18" i="36"/>
  <c r="T13" i="36"/>
  <c r="H13" i="36"/>
  <c r="R14" i="37"/>
  <c r="S12" i="37"/>
  <c r="D18" i="40"/>
  <c r="Q12" i="37"/>
  <c r="H10" i="46"/>
  <c r="M96" i="36" s="1"/>
  <c r="H5" i="46"/>
  <c r="Y18" i="36"/>
  <c r="M18" i="36"/>
  <c r="J13" i="37"/>
  <c r="M12" i="37"/>
  <c r="I13" i="37"/>
  <c r="L12" i="37"/>
  <c r="D24" i="36"/>
  <c r="W18" i="36"/>
  <c r="K18" i="36"/>
  <c r="G14" i="37"/>
  <c r="H13" i="37"/>
  <c r="K12" i="37"/>
  <c r="V18" i="36"/>
  <c r="L14" i="37"/>
  <c r="X14" i="37"/>
  <c r="N14" i="37"/>
  <c r="Z14" i="37"/>
  <c r="O14" i="37"/>
  <c r="AA14" i="37"/>
  <c r="P14" i="37"/>
  <c r="AB14" i="37"/>
  <c r="H14" i="37"/>
  <c r="T14" i="37"/>
  <c r="I14" i="37"/>
  <c r="U14" i="37"/>
  <c r="D15" i="37"/>
  <c r="G15" i="37" s="1"/>
  <c r="J14" i="37"/>
  <c r="V14" i="37"/>
  <c r="G12" i="37"/>
  <c r="A24" i="39"/>
  <c r="A26" i="40"/>
  <c r="A28" i="41"/>
  <c r="D18" i="41"/>
  <c r="I4" i="46"/>
  <c r="C10" i="46"/>
  <c r="C6" i="56"/>
  <c r="B9" i="4" s="1"/>
  <c r="Z124" i="36" l="1"/>
  <c r="Y124" i="36"/>
  <c r="M124" i="36"/>
  <c r="U124" i="36"/>
  <c r="I124" i="36"/>
  <c r="P124" i="36"/>
  <c r="W124" i="36"/>
  <c r="S124" i="36"/>
  <c r="J124" i="36"/>
  <c r="N124" i="36"/>
  <c r="D114" i="37"/>
  <c r="Q124" i="36"/>
  <c r="T124" i="36"/>
  <c r="D113" i="37"/>
  <c r="O124" i="36"/>
  <c r="H124" i="36"/>
  <c r="D117" i="37"/>
  <c r="K124" i="36"/>
  <c r="X124" i="36"/>
  <c r="R124" i="36"/>
  <c r="L124" i="36"/>
  <c r="G124" i="36"/>
  <c r="D112" i="37"/>
  <c r="D115" i="37"/>
  <c r="N15" i="36"/>
  <c r="L13" i="37"/>
  <c r="AD13" i="37"/>
  <c r="AD19" i="36"/>
  <c r="A27" i="40"/>
  <c r="B26" i="40"/>
  <c r="O13" i="36"/>
  <c r="AA13" i="36"/>
  <c r="AB13" i="36"/>
  <c r="R13" i="36"/>
  <c r="AD13" i="36"/>
  <c r="U13" i="36"/>
  <c r="V13" i="36"/>
  <c r="L13" i="36"/>
  <c r="X13" i="36"/>
  <c r="AC13" i="36"/>
  <c r="AE13" i="36"/>
  <c r="W19" i="36"/>
  <c r="G13" i="36"/>
  <c r="G89" i="36" s="1"/>
  <c r="AC19" i="36"/>
  <c r="K13" i="36"/>
  <c r="M13" i="36"/>
  <c r="AE19" i="36"/>
  <c r="N13" i="36"/>
  <c r="Q13" i="36"/>
  <c r="K19" i="36"/>
  <c r="S13" i="36"/>
  <c r="W13" i="36"/>
  <c r="S19" i="36"/>
  <c r="Y13" i="36"/>
  <c r="Z13" i="36"/>
  <c r="R19" i="36"/>
  <c r="D105" i="36"/>
  <c r="AB19" i="36"/>
  <c r="H20" i="36"/>
  <c r="H90" i="36" s="1"/>
  <c r="T20" i="36"/>
  <c r="D21" i="36"/>
  <c r="I20" i="36"/>
  <c r="U20" i="36"/>
  <c r="K20" i="36"/>
  <c r="W20" i="36"/>
  <c r="M20" i="36"/>
  <c r="Y20" i="36"/>
  <c r="N20" i="36"/>
  <c r="Z20" i="36"/>
  <c r="O20" i="36"/>
  <c r="AA20" i="36"/>
  <c r="S20" i="36"/>
  <c r="V20" i="36"/>
  <c r="X20" i="36"/>
  <c r="AB20" i="36"/>
  <c r="AC20" i="36"/>
  <c r="AD20" i="36"/>
  <c r="AE20" i="36"/>
  <c r="J20" i="36"/>
  <c r="L20" i="36"/>
  <c r="P20" i="36"/>
  <c r="Q20" i="36"/>
  <c r="R20" i="36"/>
  <c r="I48" i="36"/>
  <c r="H134" i="36"/>
  <c r="E10" i="13" s="1"/>
  <c r="D105" i="37"/>
  <c r="G105" i="37" s="1"/>
  <c r="D118" i="37" s="1" a="1"/>
  <c r="AB13" i="37"/>
  <c r="Z13" i="37"/>
  <c r="P19" i="36"/>
  <c r="D112" i="36" a="1"/>
  <c r="C123" i="36"/>
  <c r="C122" i="36"/>
  <c r="C121" i="36"/>
  <c r="C118" i="36"/>
  <c r="C120" i="36"/>
  <c r="C119" i="36"/>
  <c r="K15" i="36"/>
  <c r="W15" i="36"/>
  <c r="L15" i="36"/>
  <c r="X15" i="36"/>
  <c r="Z15" i="36"/>
  <c r="AB15" i="36"/>
  <c r="Q15" i="36"/>
  <c r="AC15" i="36"/>
  <c r="R15" i="36"/>
  <c r="AD15" i="36"/>
  <c r="H15" i="36"/>
  <c r="T15" i="36"/>
  <c r="V15" i="36"/>
  <c r="Y15" i="36"/>
  <c r="AA15" i="36"/>
  <c r="AE15" i="36"/>
  <c r="G15" i="36"/>
  <c r="G91" i="36" s="1"/>
  <c r="I15" i="36"/>
  <c r="J15" i="36"/>
  <c r="M15" i="36"/>
  <c r="O15" i="36"/>
  <c r="U15" i="36"/>
  <c r="D107" i="36"/>
  <c r="S15" i="36"/>
  <c r="M50" i="36"/>
  <c r="A25" i="39"/>
  <c r="B24" i="39"/>
  <c r="W13" i="37"/>
  <c r="T19" i="36"/>
  <c r="AA19" i="36"/>
  <c r="M19" i="36"/>
  <c r="A29" i="41"/>
  <c r="B28" i="41"/>
  <c r="S24" i="36"/>
  <c r="AE24" i="36"/>
  <c r="T24" i="36"/>
  <c r="D25" i="36"/>
  <c r="D30" i="36"/>
  <c r="J24" i="36"/>
  <c r="V24" i="36"/>
  <c r="L24" i="36"/>
  <c r="X24" i="36"/>
  <c r="M24" i="36"/>
  <c r="Y24" i="36"/>
  <c r="N24" i="36"/>
  <c r="Z24" i="36"/>
  <c r="R24" i="36"/>
  <c r="U24" i="36"/>
  <c r="W24" i="36"/>
  <c r="AA24" i="36"/>
  <c r="AB24" i="36"/>
  <c r="AC24" i="36"/>
  <c r="AD24" i="36"/>
  <c r="I24" i="36"/>
  <c r="K24" i="36"/>
  <c r="O24" i="36"/>
  <c r="P24" i="36"/>
  <c r="Q24" i="36"/>
  <c r="N13" i="37"/>
  <c r="U13" i="37"/>
  <c r="D31" i="37"/>
  <c r="D32" i="37" s="1"/>
  <c r="D33" i="37" s="1"/>
  <c r="D36" i="37"/>
  <c r="K13" i="37"/>
  <c r="AC13" i="37"/>
  <c r="O19" i="36"/>
  <c r="Q19" i="36"/>
  <c r="Q13" i="37"/>
  <c r="Z19" i="36"/>
  <c r="T13" i="37"/>
  <c r="P13" i="36"/>
  <c r="N19" i="36"/>
  <c r="D61" i="36"/>
  <c r="D62" i="36" s="1"/>
  <c r="D63" i="36" s="1"/>
  <c r="D66" i="36"/>
  <c r="Y13" i="37"/>
  <c r="AE13" i="37"/>
  <c r="Y19" i="36"/>
  <c r="X19" i="36"/>
  <c r="H19" i="36"/>
  <c r="H89" i="36" s="1"/>
  <c r="H126" i="36"/>
  <c r="H135" i="36" s="1"/>
  <c r="E11" i="13" s="1"/>
  <c r="T126" i="36"/>
  <c r="T135" i="36" s="1"/>
  <c r="Q11" i="13" s="1"/>
  <c r="I126" i="36"/>
  <c r="I135" i="36" s="1"/>
  <c r="F11" i="13" s="1"/>
  <c r="U126" i="36"/>
  <c r="U135" i="36" s="1"/>
  <c r="R11" i="13" s="1"/>
  <c r="J126" i="36"/>
  <c r="J135" i="36" s="1"/>
  <c r="G11" i="13" s="1"/>
  <c r="V126" i="36"/>
  <c r="V135" i="36" s="1"/>
  <c r="S11" i="13" s="1"/>
  <c r="L126" i="36"/>
  <c r="L135" i="36" s="1"/>
  <c r="I11" i="13" s="1"/>
  <c r="X126" i="36"/>
  <c r="X135" i="36" s="1"/>
  <c r="U11" i="13" s="1"/>
  <c r="M126" i="36"/>
  <c r="M135" i="36" s="1"/>
  <c r="J11" i="13" s="1"/>
  <c r="Y126" i="36"/>
  <c r="Y135" i="36" s="1"/>
  <c r="V11" i="13" s="1"/>
  <c r="N126" i="36"/>
  <c r="N135" i="36" s="1"/>
  <c r="K11" i="13" s="1"/>
  <c r="Z126" i="36"/>
  <c r="Z135" i="36" s="1"/>
  <c r="W11" i="13" s="1"/>
  <c r="O126" i="36"/>
  <c r="O135" i="36" s="1"/>
  <c r="L11" i="13" s="1"/>
  <c r="Q126" i="36"/>
  <c r="Q135" i="36" s="1"/>
  <c r="N11" i="13" s="1"/>
  <c r="G126" i="36"/>
  <c r="G135" i="36" s="1"/>
  <c r="D11" i="13" s="1"/>
  <c r="K126" i="36"/>
  <c r="K135" i="36" s="1"/>
  <c r="H11" i="13" s="1"/>
  <c r="P126" i="36"/>
  <c r="P135" i="36" s="1"/>
  <c r="M11" i="13" s="1"/>
  <c r="R126" i="36"/>
  <c r="R135" i="36" s="1"/>
  <c r="O11" i="13" s="1"/>
  <c r="S126" i="36"/>
  <c r="S135" i="36" s="1"/>
  <c r="P11" i="13" s="1"/>
  <c r="W126" i="36"/>
  <c r="W135" i="36" s="1"/>
  <c r="T11" i="13" s="1"/>
  <c r="I2" i="46"/>
  <c r="I3" i="46"/>
  <c r="J4" i="46"/>
  <c r="I15" i="37"/>
  <c r="U15" i="37"/>
  <c r="K15" i="37"/>
  <c r="W15" i="37"/>
  <c r="L15" i="37"/>
  <c r="X15" i="37"/>
  <c r="M15" i="37"/>
  <c r="Y15" i="37"/>
  <c r="Q15" i="37"/>
  <c r="AC15" i="37"/>
  <c r="R15" i="37"/>
  <c r="AD15" i="37"/>
  <c r="S15" i="37"/>
  <c r="AE15" i="37"/>
  <c r="H15" i="37"/>
  <c r="J15" i="37"/>
  <c r="N15" i="37"/>
  <c r="O15" i="37"/>
  <c r="P15" i="37"/>
  <c r="T15" i="37"/>
  <c r="V15" i="37"/>
  <c r="AA15" i="37"/>
  <c r="AB15" i="37"/>
  <c r="Z15" i="37"/>
  <c r="C12" i="46"/>
  <c r="B13" i="46" s="1"/>
  <c r="H96" i="36"/>
  <c r="I13" i="36"/>
  <c r="M13" i="37"/>
  <c r="S13" i="37"/>
  <c r="AA13" i="37"/>
  <c r="L19" i="36"/>
  <c r="P13" i="37"/>
  <c r="G13" i="37"/>
  <c r="O13" i="37"/>
  <c r="D78" i="37"/>
  <c r="D79" i="37" s="1"/>
  <c r="D80" i="37" s="1"/>
  <c r="D81" i="37" s="1"/>
  <c r="D73" i="37"/>
  <c r="D74" i="37" s="1"/>
  <c r="D75" i="37" s="1"/>
  <c r="V19" i="36"/>
  <c r="G130" i="36" l="1"/>
  <c r="J2" i="46"/>
  <c r="J3" i="46"/>
  <c r="K4" i="46"/>
  <c r="S21" i="36"/>
  <c r="AE21" i="36"/>
  <c r="H21" i="36"/>
  <c r="H91" i="36" s="1"/>
  <c r="T21" i="36"/>
  <c r="J21" i="36"/>
  <c r="V21" i="36"/>
  <c r="L21" i="36"/>
  <c r="X21" i="36"/>
  <c r="M21" i="36"/>
  <c r="Y21" i="36"/>
  <c r="N21" i="36"/>
  <c r="Z21" i="36"/>
  <c r="R21" i="36"/>
  <c r="U21" i="36"/>
  <c r="W21" i="36"/>
  <c r="AA21" i="36"/>
  <c r="AB21" i="36"/>
  <c r="AC21" i="36"/>
  <c r="AD21" i="36"/>
  <c r="I21" i="36"/>
  <c r="K21" i="36"/>
  <c r="O21" i="36"/>
  <c r="P21" i="36"/>
  <c r="Q21" i="36"/>
  <c r="B27" i="40"/>
  <c r="A28" i="40"/>
  <c r="I11" i="46"/>
  <c r="N97" i="36" s="1"/>
  <c r="I6" i="46"/>
  <c r="N7" i="36"/>
  <c r="D112" i="36"/>
  <c r="D113" i="36"/>
  <c r="D117" i="36"/>
  <c r="D116" i="36"/>
  <c r="D115" i="36"/>
  <c r="D114" i="36"/>
  <c r="J48" i="36"/>
  <c r="I134" i="36"/>
  <c r="F10" i="13" s="1"/>
  <c r="I10" i="46"/>
  <c r="N96" i="36" s="1"/>
  <c r="B22" i="46"/>
  <c r="I5" i="46"/>
  <c r="N6" i="36"/>
  <c r="S25" i="36"/>
  <c r="AE25" i="36"/>
  <c r="T25" i="36"/>
  <c r="D26" i="36"/>
  <c r="J25" i="36"/>
  <c r="V25" i="36"/>
  <c r="L25" i="36"/>
  <c r="X25" i="36"/>
  <c r="M25" i="36"/>
  <c r="Y25" i="36"/>
  <c r="N25" i="36"/>
  <c r="Z25" i="36"/>
  <c r="R25" i="36"/>
  <c r="U25" i="36"/>
  <c r="W25" i="36"/>
  <c r="AA25" i="36"/>
  <c r="AB25" i="36"/>
  <c r="AC25" i="36"/>
  <c r="AD25" i="36"/>
  <c r="I25" i="36"/>
  <c r="K25" i="36"/>
  <c r="O25" i="36"/>
  <c r="Q25" i="36"/>
  <c r="P25" i="36"/>
  <c r="B25" i="39"/>
  <c r="A26" i="39"/>
  <c r="I89" i="36"/>
  <c r="B29" i="41"/>
  <c r="A30" i="41"/>
  <c r="D72" i="36"/>
  <c r="D67" i="36"/>
  <c r="D68" i="36" s="1"/>
  <c r="D69" i="36" s="1"/>
  <c r="I105" i="36"/>
  <c r="J105" i="36"/>
  <c r="G105" i="36"/>
  <c r="K105" i="36"/>
  <c r="H105" i="36"/>
  <c r="L105" i="36"/>
  <c r="N50" i="36"/>
  <c r="D123" i="37"/>
  <c r="D122" i="37"/>
  <c r="D118" i="37"/>
  <c r="D121" i="37"/>
  <c r="D120" i="37"/>
  <c r="D119" i="37"/>
  <c r="H54" i="36"/>
  <c r="C112" i="36" a="1"/>
  <c r="D37" i="37"/>
  <c r="D38" i="37" s="1"/>
  <c r="D39" i="37" s="1"/>
  <c r="D42" i="37"/>
  <c r="D43" i="37" s="1"/>
  <c r="D44" i="37" s="1"/>
  <c r="D45" i="37" s="1"/>
  <c r="T30" i="36"/>
  <c r="D31" i="36"/>
  <c r="U30" i="36"/>
  <c r="K30" i="36"/>
  <c r="W30" i="36"/>
  <c r="M30" i="36"/>
  <c r="Y30" i="36"/>
  <c r="N30" i="36"/>
  <c r="Z30" i="36"/>
  <c r="O30" i="36"/>
  <c r="AA30" i="36"/>
  <c r="S30" i="36"/>
  <c r="V30" i="36"/>
  <c r="X30" i="36"/>
  <c r="AB30" i="36"/>
  <c r="AC30" i="36"/>
  <c r="D36" i="36"/>
  <c r="AD30" i="36"/>
  <c r="AE30" i="36"/>
  <c r="J30" i="36"/>
  <c r="L30" i="36"/>
  <c r="P30" i="36"/>
  <c r="Q30" i="36"/>
  <c r="R30" i="36"/>
  <c r="G107" i="36"/>
  <c r="D125" i="36" s="1"/>
  <c r="F125" i="36" s="1"/>
  <c r="H107" i="36"/>
  <c r="K107" i="36"/>
  <c r="L107" i="36"/>
  <c r="I107" i="36"/>
  <c r="J107" i="36"/>
  <c r="D4" i="13" l="1"/>
  <c r="S26" i="36"/>
  <c r="AE26" i="36"/>
  <c r="T26" i="36"/>
  <c r="D27" i="36"/>
  <c r="J26" i="36"/>
  <c r="V26" i="36"/>
  <c r="L26" i="36"/>
  <c r="X26" i="36"/>
  <c r="M26" i="36"/>
  <c r="Y26" i="36"/>
  <c r="N26" i="36"/>
  <c r="Z26" i="36"/>
  <c r="R26" i="36"/>
  <c r="U26" i="36"/>
  <c r="W26" i="36"/>
  <c r="AA26" i="36"/>
  <c r="AB26" i="36"/>
  <c r="AC26" i="36"/>
  <c r="AD26" i="36"/>
  <c r="I26" i="36"/>
  <c r="I90" i="36" s="1"/>
  <c r="K26" i="36"/>
  <c r="O26" i="36"/>
  <c r="P26" i="36"/>
  <c r="Q26" i="36"/>
  <c r="B26" i="39"/>
  <c r="A27" i="39"/>
  <c r="B16" i="46"/>
  <c r="B18" i="46"/>
  <c r="B23" i="46"/>
  <c r="C117" i="36"/>
  <c r="F117" i="36" s="1"/>
  <c r="C116" i="36"/>
  <c r="F116" i="36" s="1"/>
  <c r="C113" i="36"/>
  <c r="F113" i="36" s="1"/>
  <c r="C112" i="36"/>
  <c r="F112" i="36" s="1"/>
  <c r="C115" i="36"/>
  <c r="F115" i="36" s="1"/>
  <c r="C114" i="36"/>
  <c r="F114" i="36" s="1"/>
  <c r="K48" i="36"/>
  <c r="J134" i="36"/>
  <c r="G10" i="13" s="1"/>
  <c r="M36" i="36"/>
  <c r="Y36" i="36"/>
  <c r="N36" i="36"/>
  <c r="Z36" i="36"/>
  <c r="P36" i="36"/>
  <c r="AB36" i="36"/>
  <c r="R36" i="36"/>
  <c r="AD36" i="36"/>
  <c r="S36" i="36"/>
  <c r="AE36" i="36"/>
  <c r="T36" i="36"/>
  <c r="D37" i="36"/>
  <c r="X36" i="36"/>
  <c r="AA36" i="36"/>
  <c r="AC36" i="36"/>
  <c r="K36" i="36"/>
  <c r="L36" i="36"/>
  <c r="O36" i="36"/>
  <c r="Q36" i="36"/>
  <c r="U36" i="36"/>
  <c r="V36" i="36"/>
  <c r="D42" i="36"/>
  <c r="W36" i="36"/>
  <c r="U31" i="36"/>
  <c r="J31" i="36"/>
  <c r="J89" i="36" s="1"/>
  <c r="V31" i="36"/>
  <c r="L31" i="36"/>
  <c r="X31" i="36"/>
  <c r="N31" i="36"/>
  <c r="Z31" i="36"/>
  <c r="O31" i="36"/>
  <c r="AA31" i="36"/>
  <c r="P31" i="36"/>
  <c r="AB31" i="36"/>
  <c r="T31" i="36"/>
  <c r="W31" i="36"/>
  <c r="Y31" i="36"/>
  <c r="AC31" i="36"/>
  <c r="AD31" i="36"/>
  <c r="AE31" i="36"/>
  <c r="D32" i="36"/>
  <c r="K31" i="36"/>
  <c r="M31" i="36"/>
  <c r="Q31" i="36"/>
  <c r="R31" i="36"/>
  <c r="S31" i="36"/>
  <c r="I54" i="36"/>
  <c r="H88" i="36"/>
  <c r="H130" i="36" s="1"/>
  <c r="L4" i="46"/>
  <c r="K2" i="46"/>
  <c r="K3" i="46"/>
  <c r="B30" i="41"/>
  <c r="A31" i="41"/>
  <c r="H125" i="36"/>
  <c r="T125" i="36"/>
  <c r="I125" i="36"/>
  <c r="U125" i="36"/>
  <c r="J125" i="36"/>
  <c r="V125" i="36"/>
  <c r="L125" i="36"/>
  <c r="X125" i="36"/>
  <c r="M125" i="36"/>
  <c r="Y125" i="36"/>
  <c r="N125" i="36"/>
  <c r="Z125" i="36"/>
  <c r="O125" i="36"/>
  <c r="Q125" i="36"/>
  <c r="S125" i="36"/>
  <c r="W125" i="36"/>
  <c r="G125" i="36"/>
  <c r="P125" i="36"/>
  <c r="K125" i="36"/>
  <c r="R125" i="36"/>
  <c r="O50" i="36"/>
  <c r="J6" i="46"/>
  <c r="J11" i="46"/>
  <c r="O97" i="36" s="1"/>
  <c r="O7" i="36"/>
  <c r="D73" i="36"/>
  <c r="D74" i="36" s="1"/>
  <c r="D75" i="36" s="1"/>
  <c r="D78" i="36"/>
  <c r="D79" i="36" s="1"/>
  <c r="D80" i="36" s="1"/>
  <c r="D81" i="36" s="1"/>
  <c r="D118" i="36" a="1"/>
  <c r="J10" i="46"/>
  <c r="O96" i="36" s="1"/>
  <c r="J5" i="46"/>
  <c r="O6" i="36"/>
  <c r="B28" i="40"/>
  <c r="A29" i="40"/>
  <c r="E4" i="13" l="1"/>
  <c r="J54" i="36"/>
  <c r="I88" i="36"/>
  <c r="B27" i="39"/>
  <c r="A28" i="39"/>
  <c r="D123" i="36"/>
  <c r="F123" i="36" s="1"/>
  <c r="D122" i="36"/>
  <c r="F122" i="36" s="1"/>
  <c r="D119" i="36"/>
  <c r="F119" i="36" s="1"/>
  <c r="D118" i="36"/>
  <c r="F118" i="36" s="1"/>
  <c r="D121" i="36"/>
  <c r="F121" i="36" s="1"/>
  <c r="D120" i="36"/>
  <c r="F120" i="36" s="1"/>
  <c r="T42" i="36"/>
  <c r="D43" i="36"/>
  <c r="U42" i="36"/>
  <c r="V42" i="36"/>
  <c r="L42" i="36"/>
  <c r="X42" i="36"/>
  <c r="M42" i="36"/>
  <c r="Y42" i="36"/>
  <c r="N42" i="36"/>
  <c r="Z42" i="36"/>
  <c r="O42" i="36"/>
  <c r="AA42" i="36"/>
  <c r="P42" i="36"/>
  <c r="AB42" i="36"/>
  <c r="Q42" i="36"/>
  <c r="AC42" i="36"/>
  <c r="R42" i="36"/>
  <c r="W42" i="36"/>
  <c r="AD42" i="36"/>
  <c r="AE42" i="36"/>
  <c r="S42" i="36"/>
  <c r="L48" i="36"/>
  <c r="K134" i="36"/>
  <c r="H10" i="13" s="1"/>
  <c r="S114" i="36"/>
  <c r="T114" i="36"/>
  <c r="I114" i="36"/>
  <c r="U114" i="36"/>
  <c r="K114" i="36"/>
  <c r="W114" i="36"/>
  <c r="L114" i="36"/>
  <c r="X114" i="36"/>
  <c r="M114" i="36"/>
  <c r="Y114" i="36"/>
  <c r="N114" i="36"/>
  <c r="Z114" i="36"/>
  <c r="P114" i="36"/>
  <c r="J114" i="36"/>
  <c r="O114" i="36"/>
  <c r="Q114" i="36"/>
  <c r="R114" i="36"/>
  <c r="V114" i="36"/>
  <c r="J8" i="37"/>
  <c r="J50" i="37" s="1"/>
  <c r="J90" i="37" s="1"/>
  <c r="V8" i="37"/>
  <c r="V50" i="37" s="1"/>
  <c r="V90" i="37" s="1"/>
  <c r="K8" i="37"/>
  <c r="K50" i="37" s="1"/>
  <c r="K90" i="37" s="1"/>
  <c r="W8" i="37"/>
  <c r="W50" i="37" s="1"/>
  <c r="W90" i="37" s="1"/>
  <c r="L8" i="37"/>
  <c r="L50" i="37" s="1"/>
  <c r="L90" i="37" s="1"/>
  <c r="X8" i="37"/>
  <c r="X50" i="37" s="1"/>
  <c r="X90" i="37" s="1"/>
  <c r="M8" i="37"/>
  <c r="M50" i="37" s="1"/>
  <c r="M90" i="37" s="1"/>
  <c r="Y8" i="37"/>
  <c r="Y50" i="37" s="1"/>
  <c r="Y90" i="37" s="1"/>
  <c r="N8" i="37"/>
  <c r="N50" i="37" s="1"/>
  <c r="N90" i="37" s="1"/>
  <c r="Z8" i="37"/>
  <c r="Z50" i="37" s="1"/>
  <c r="Z90" i="37" s="1"/>
  <c r="P8" i="37"/>
  <c r="P50" i="37" s="1"/>
  <c r="P90" i="37" s="1"/>
  <c r="R8" i="37"/>
  <c r="R50" i="37" s="1"/>
  <c r="R90" i="37" s="1"/>
  <c r="AD8" i="37"/>
  <c r="AD50" i="37" s="1"/>
  <c r="AD90" i="37" s="1"/>
  <c r="G8" i="37"/>
  <c r="G50" i="37" s="1"/>
  <c r="G90" i="37" s="1"/>
  <c r="S8" i="37"/>
  <c r="S50" i="37" s="1"/>
  <c r="S90" i="37" s="1"/>
  <c r="AE8" i="37"/>
  <c r="AE50" i="37" s="1"/>
  <c r="AE90" i="37" s="1"/>
  <c r="H8" i="37"/>
  <c r="H50" i="37" s="1"/>
  <c r="H90" i="37" s="1"/>
  <c r="T8" i="37"/>
  <c r="T50" i="37" s="1"/>
  <c r="T90" i="37" s="1"/>
  <c r="G98" i="37"/>
  <c r="C124" i="37" s="1"/>
  <c r="I8" i="37"/>
  <c r="I50" i="37" s="1"/>
  <c r="I90" i="37" s="1"/>
  <c r="O8" i="37"/>
  <c r="O50" i="37" s="1"/>
  <c r="O90" i="37" s="1"/>
  <c r="Q8" i="37"/>
  <c r="Q50" i="37" s="1"/>
  <c r="Q90" i="37" s="1"/>
  <c r="U8" i="37"/>
  <c r="U50" i="37" s="1"/>
  <c r="U90" i="37" s="1"/>
  <c r="AA8" i="37"/>
  <c r="AA50" i="37" s="1"/>
  <c r="AA90" i="37" s="1"/>
  <c r="AB8" i="37"/>
  <c r="AB50" i="37" s="1"/>
  <c r="AB90" i="37" s="1"/>
  <c r="AC8" i="37"/>
  <c r="AC50" i="37" s="1"/>
  <c r="AC90" i="37" s="1"/>
  <c r="L6" i="37"/>
  <c r="L48" i="37" s="1"/>
  <c r="L88" i="37" s="1"/>
  <c r="X6" i="37"/>
  <c r="X48" i="37" s="1"/>
  <c r="X88" i="37" s="1"/>
  <c r="M6" i="37"/>
  <c r="M48" i="37" s="1"/>
  <c r="M88" i="37" s="1"/>
  <c r="Y6" i="37"/>
  <c r="Y48" i="37" s="1"/>
  <c r="Y88" i="37" s="1"/>
  <c r="N6" i="37"/>
  <c r="N48" i="37" s="1"/>
  <c r="N88" i="37" s="1"/>
  <c r="Z6" i="37"/>
  <c r="Z48" i="37" s="1"/>
  <c r="Z88" i="37" s="1"/>
  <c r="O6" i="37"/>
  <c r="O48" i="37" s="1"/>
  <c r="O88" i="37" s="1"/>
  <c r="AA6" i="37"/>
  <c r="AA48" i="37" s="1"/>
  <c r="AA88" i="37" s="1"/>
  <c r="P6" i="37"/>
  <c r="P48" i="37" s="1"/>
  <c r="P88" i="37" s="1"/>
  <c r="AB6" i="37"/>
  <c r="AB48" i="37" s="1"/>
  <c r="AB88" i="37" s="1"/>
  <c r="R6" i="37"/>
  <c r="R48" i="37" s="1"/>
  <c r="R88" i="37" s="1"/>
  <c r="AD6" i="37"/>
  <c r="AD48" i="37" s="1"/>
  <c r="AD88" i="37" s="1"/>
  <c r="H6" i="37"/>
  <c r="H48" i="37" s="1"/>
  <c r="H88" i="37" s="1"/>
  <c r="T6" i="37"/>
  <c r="T48" i="37" s="1"/>
  <c r="T88" i="37" s="1"/>
  <c r="I6" i="37"/>
  <c r="I48" i="37" s="1"/>
  <c r="I88" i="37" s="1"/>
  <c r="U6" i="37"/>
  <c r="U48" i="37" s="1"/>
  <c r="U88" i="37" s="1"/>
  <c r="J6" i="37"/>
  <c r="J48" i="37" s="1"/>
  <c r="J88" i="37" s="1"/>
  <c r="V6" i="37"/>
  <c r="V48" i="37" s="1"/>
  <c r="V88" i="37" s="1"/>
  <c r="G6" i="37"/>
  <c r="G48" i="37" s="1"/>
  <c r="G88" i="37" s="1"/>
  <c r="K6" i="37"/>
  <c r="K48" i="37" s="1"/>
  <c r="K88" i="37" s="1"/>
  <c r="Q6" i="37"/>
  <c r="Q48" i="37" s="1"/>
  <c r="Q88" i="37" s="1"/>
  <c r="S6" i="37"/>
  <c r="S48" i="37" s="1"/>
  <c r="S88" i="37" s="1"/>
  <c r="G96" i="37"/>
  <c r="C112" i="37" s="1" a="1"/>
  <c r="W6" i="37"/>
  <c r="W48" i="37" s="1"/>
  <c r="W88" i="37" s="1"/>
  <c r="AC6" i="37"/>
  <c r="AC48" i="37" s="1"/>
  <c r="AC88" i="37" s="1"/>
  <c r="AE6" i="37"/>
  <c r="AE48" i="37" s="1"/>
  <c r="AE88" i="37" s="1"/>
  <c r="J115" i="36"/>
  <c r="V115" i="36"/>
  <c r="K115" i="36"/>
  <c r="W115" i="36"/>
  <c r="L115" i="36"/>
  <c r="X115" i="36"/>
  <c r="N115" i="36"/>
  <c r="Z115" i="36"/>
  <c r="O115" i="36"/>
  <c r="P115" i="36"/>
  <c r="Q115" i="36"/>
  <c r="S115" i="36"/>
  <c r="U115" i="36"/>
  <c r="Y115" i="36"/>
  <c r="R115" i="36"/>
  <c r="T115" i="36"/>
  <c r="M115" i="36"/>
  <c r="P112" i="36"/>
  <c r="Q112" i="36"/>
  <c r="R112" i="36"/>
  <c r="H112" i="36"/>
  <c r="T112" i="36"/>
  <c r="I112" i="36"/>
  <c r="U112" i="36"/>
  <c r="J112" i="36"/>
  <c r="V112" i="36"/>
  <c r="K112" i="36"/>
  <c r="W112" i="36"/>
  <c r="M112" i="36"/>
  <c r="Y112" i="36"/>
  <c r="X112" i="36"/>
  <c r="Z112" i="36"/>
  <c r="S112" i="36"/>
  <c r="G112" i="36"/>
  <c r="L112" i="36"/>
  <c r="N112" i="36"/>
  <c r="O112" i="36"/>
  <c r="M4" i="46"/>
  <c r="L2" i="46"/>
  <c r="L3" i="46"/>
  <c r="Q113" i="36"/>
  <c r="R113" i="36"/>
  <c r="S113" i="36"/>
  <c r="I113" i="36"/>
  <c r="U113" i="36"/>
  <c r="J113" i="36"/>
  <c r="V113" i="36"/>
  <c r="K113" i="36"/>
  <c r="W113" i="36"/>
  <c r="L113" i="36"/>
  <c r="X113" i="36"/>
  <c r="N113" i="36"/>
  <c r="Z113" i="36"/>
  <c r="H113" i="36"/>
  <c r="M113" i="36"/>
  <c r="O113" i="36"/>
  <c r="P113" i="36"/>
  <c r="T113" i="36"/>
  <c r="Y113" i="36"/>
  <c r="N116" i="36"/>
  <c r="Z116" i="36"/>
  <c r="O116" i="36"/>
  <c r="P116" i="36"/>
  <c r="R116" i="36"/>
  <c r="S116" i="36"/>
  <c r="T116" i="36"/>
  <c r="U116" i="36"/>
  <c r="K116" i="36"/>
  <c r="W116" i="36"/>
  <c r="L116" i="36"/>
  <c r="M116" i="36"/>
  <c r="Q116" i="36"/>
  <c r="V116" i="36"/>
  <c r="X116" i="36"/>
  <c r="Y116" i="36"/>
  <c r="S27" i="36"/>
  <c r="AE27" i="36"/>
  <c r="T27" i="36"/>
  <c r="J27" i="36"/>
  <c r="V27" i="36"/>
  <c r="L27" i="36"/>
  <c r="X27" i="36"/>
  <c r="M27" i="36"/>
  <c r="Y27" i="36"/>
  <c r="N27" i="36"/>
  <c r="Z27" i="36"/>
  <c r="R27" i="36"/>
  <c r="U27" i="36"/>
  <c r="W27" i="36"/>
  <c r="AA27" i="36"/>
  <c r="AB27" i="36"/>
  <c r="AC27" i="36"/>
  <c r="AD27" i="36"/>
  <c r="I27" i="36"/>
  <c r="I91" i="36" s="1"/>
  <c r="K27" i="36"/>
  <c r="O27" i="36"/>
  <c r="Q27" i="36"/>
  <c r="P27" i="36"/>
  <c r="O37" i="36"/>
  <c r="P37" i="36"/>
  <c r="R37" i="36"/>
  <c r="T37" i="36"/>
  <c r="U37" i="36"/>
  <c r="Y37" i="36"/>
  <c r="Z37" i="36"/>
  <c r="AA37" i="36"/>
  <c r="K37" i="36"/>
  <c r="K89" i="36" s="1"/>
  <c r="AB37" i="36"/>
  <c r="L37" i="36"/>
  <c r="AC37" i="36"/>
  <c r="M37" i="36"/>
  <c r="AD37" i="36"/>
  <c r="N37" i="36"/>
  <c r="AE37" i="36"/>
  <c r="Q37" i="36"/>
  <c r="D38" i="36"/>
  <c r="S37" i="36"/>
  <c r="V37" i="36"/>
  <c r="X37" i="36"/>
  <c r="W37" i="36"/>
  <c r="B31" i="41"/>
  <c r="A32" i="41"/>
  <c r="S117" i="36"/>
  <c r="T117" i="36"/>
  <c r="U117" i="36"/>
  <c r="W117" i="36"/>
  <c r="L117" i="36"/>
  <c r="X117" i="36"/>
  <c r="M117" i="36"/>
  <c r="Y117" i="36"/>
  <c r="N117" i="36"/>
  <c r="Z117" i="36"/>
  <c r="P117" i="36"/>
  <c r="Q117" i="36"/>
  <c r="R117" i="36"/>
  <c r="V117" i="36"/>
  <c r="O117" i="36"/>
  <c r="J32" i="36"/>
  <c r="V32" i="36"/>
  <c r="K32" i="36"/>
  <c r="W32" i="36"/>
  <c r="M32" i="36"/>
  <c r="Y32" i="36"/>
  <c r="O32" i="36"/>
  <c r="AA32" i="36"/>
  <c r="P32" i="36"/>
  <c r="AB32" i="36"/>
  <c r="Q32" i="36"/>
  <c r="AC32" i="36"/>
  <c r="U32" i="36"/>
  <c r="X32" i="36"/>
  <c r="Z32" i="36"/>
  <c r="AD32" i="36"/>
  <c r="AE32" i="36"/>
  <c r="D33" i="36"/>
  <c r="L32" i="36"/>
  <c r="N32" i="36"/>
  <c r="R32" i="36"/>
  <c r="S32" i="36"/>
  <c r="T32" i="36"/>
  <c r="B29" i="40"/>
  <c r="A30" i="40"/>
  <c r="K6" i="46"/>
  <c r="K11" i="46"/>
  <c r="P97" i="36" s="1"/>
  <c r="P7" i="36"/>
  <c r="P50" i="36"/>
  <c r="K5" i="46"/>
  <c r="K10" i="46"/>
  <c r="P96" i="36" s="1"/>
  <c r="P6" i="36"/>
  <c r="B17" i="46"/>
  <c r="B20" i="46" s="1"/>
  <c r="B19" i="46"/>
  <c r="J90" i="36"/>
  <c r="I130" i="36" l="1"/>
  <c r="U139" i="36"/>
  <c r="L139" i="36"/>
  <c r="G139" i="36"/>
  <c r="T139" i="36"/>
  <c r="K54" i="36"/>
  <c r="J88" i="36"/>
  <c r="S139" i="36"/>
  <c r="H139" i="36"/>
  <c r="W43" i="36"/>
  <c r="W89" i="36" s="1"/>
  <c r="L43" i="36"/>
  <c r="L89" i="36" s="1"/>
  <c r="X43" i="36"/>
  <c r="X89" i="36" s="1"/>
  <c r="M43" i="36"/>
  <c r="M89" i="36" s="1"/>
  <c r="Y43" i="36"/>
  <c r="Y89" i="36" s="1"/>
  <c r="O43" i="36"/>
  <c r="O89" i="36" s="1"/>
  <c r="AA43" i="36"/>
  <c r="AA89" i="36" s="1"/>
  <c r="P43" i="36"/>
  <c r="P89" i="36" s="1"/>
  <c r="AB43" i="36"/>
  <c r="AB89" i="36" s="1"/>
  <c r="Q43" i="36"/>
  <c r="Q89" i="36" s="1"/>
  <c r="AC43" i="36"/>
  <c r="AC89" i="36" s="1"/>
  <c r="R43" i="36"/>
  <c r="R89" i="36" s="1"/>
  <c r="AD43" i="36"/>
  <c r="AD89" i="36" s="1"/>
  <c r="S43" i="36"/>
  <c r="S89" i="36" s="1"/>
  <c r="AE43" i="36"/>
  <c r="AE89" i="36" s="1"/>
  <c r="T43" i="36"/>
  <c r="T89" i="36" s="1"/>
  <c r="D44" i="36"/>
  <c r="N43" i="36"/>
  <c r="N89" i="36" s="1"/>
  <c r="U43" i="36"/>
  <c r="U89" i="36" s="1"/>
  <c r="V43" i="36"/>
  <c r="V89" i="36" s="1"/>
  <c r="Z43" i="36"/>
  <c r="Z89" i="36" s="1"/>
  <c r="Z139" i="36"/>
  <c r="R139" i="36"/>
  <c r="Q50" i="36"/>
  <c r="K33" i="36"/>
  <c r="W33" i="36"/>
  <c r="L33" i="36"/>
  <c r="X33" i="36"/>
  <c r="N33" i="36"/>
  <c r="Z33" i="36"/>
  <c r="P33" i="36"/>
  <c r="AB33" i="36"/>
  <c r="Q33" i="36"/>
  <c r="AC33" i="36"/>
  <c r="R33" i="36"/>
  <c r="AD33" i="36"/>
  <c r="V33" i="36"/>
  <c r="Y33" i="36"/>
  <c r="AA33" i="36"/>
  <c r="AE33" i="36"/>
  <c r="J33" i="36"/>
  <c r="J91" i="36" s="1"/>
  <c r="M33" i="36"/>
  <c r="O33" i="36"/>
  <c r="S33" i="36"/>
  <c r="U33" i="36"/>
  <c r="T33" i="36"/>
  <c r="B32" i="41"/>
  <c r="A33" i="41"/>
  <c r="X139" i="36"/>
  <c r="Q139" i="36"/>
  <c r="T120" i="36"/>
  <c r="I120" i="36"/>
  <c r="U120" i="36"/>
  <c r="J120" i="36"/>
  <c r="V120" i="36"/>
  <c r="L120" i="36"/>
  <c r="X120" i="36"/>
  <c r="M120" i="36"/>
  <c r="Y120" i="36"/>
  <c r="N120" i="36"/>
  <c r="Z120" i="36"/>
  <c r="O120" i="36"/>
  <c r="Q120" i="36"/>
  <c r="K120" i="36"/>
  <c r="P120" i="36"/>
  <c r="R120" i="36"/>
  <c r="W120" i="36"/>
  <c r="S120" i="36"/>
  <c r="N139" i="36"/>
  <c r="Y139" i="36"/>
  <c r="P139" i="36"/>
  <c r="K121" i="36"/>
  <c r="W121" i="36"/>
  <c r="L121" i="36"/>
  <c r="X121" i="36"/>
  <c r="M121" i="36"/>
  <c r="Y121" i="36"/>
  <c r="O121" i="36"/>
  <c r="P121" i="36"/>
  <c r="Q121" i="36"/>
  <c r="R121" i="36"/>
  <c r="T121" i="36"/>
  <c r="V121" i="36"/>
  <c r="Z121" i="36"/>
  <c r="S121" i="36"/>
  <c r="U121" i="36"/>
  <c r="J121" i="36"/>
  <c r="N121" i="36"/>
  <c r="M139" i="36"/>
  <c r="C112" i="37"/>
  <c r="C115" i="37"/>
  <c r="C113" i="37"/>
  <c r="C114" i="37"/>
  <c r="C116" i="37"/>
  <c r="C117" i="37"/>
  <c r="M48" i="36"/>
  <c r="L134" i="36"/>
  <c r="I10" i="13" s="1"/>
  <c r="Q118" i="36"/>
  <c r="R118" i="36"/>
  <c r="G118" i="36"/>
  <c r="G131" i="36" s="1"/>
  <c r="S118" i="36"/>
  <c r="I118" i="36"/>
  <c r="U118" i="36"/>
  <c r="J118" i="36"/>
  <c r="V118" i="36"/>
  <c r="K118" i="36"/>
  <c r="W118" i="36"/>
  <c r="L118" i="36"/>
  <c r="X118" i="36"/>
  <c r="N118" i="36"/>
  <c r="Z118" i="36"/>
  <c r="Y118" i="36"/>
  <c r="T118" i="36"/>
  <c r="M118" i="36"/>
  <c r="H118" i="36"/>
  <c r="P118" i="36"/>
  <c r="O118" i="36"/>
  <c r="L6" i="46"/>
  <c r="L11" i="46"/>
  <c r="Q97" i="36" s="1"/>
  <c r="Q7" i="36"/>
  <c r="W139" i="36"/>
  <c r="R119" i="36"/>
  <c r="S119" i="36"/>
  <c r="H119" i="36"/>
  <c r="T119" i="36"/>
  <c r="J119" i="36"/>
  <c r="V119" i="36"/>
  <c r="K119" i="36"/>
  <c r="W119" i="36"/>
  <c r="L119" i="36"/>
  <c r="X119" i="36"/>
  <c r="M119" i="36"/>
  <c r="Y119" i="36"/>
  <c r="O119" i="36"/>
  <c r="I119" i="36"/>
  <c r="N119" i="36"/>
  <c r="P119" i="36"/>
  <c r="Q119" i="36"/>
  <c r="U119" i="36"/>
  <c r="Z119" i="36"/>
  <c r="L5" i="46"/>
  <c r="L10" i="46"/>
  <c r="Q96" i="36" s="1"/>
  <c r="Q6" i="36"/>
  <c r="K139" i="36"/>
  <c r="O122" i="36"/>
  <c r="P122" i="36"/>
  <c r="Q122" i="36"/>
  <c r="S122" i="36"/>
  <c r="T122" i="36"/>
  <c r="U122" i="36"/>
  <c r="V122" i="36"/>
  <c r="L122" i="36"/>
  <c r="X122" i="36"/>
  <c r="M122" i="36"/>
  <c r="K122" i="36"/>
  <c r="N122" i="36"/>
  <c r="R122" i="36"/>
  <c r="Y122" i="36"/>
  <c r="W122" i="36"/>
  <c r="Z122" i="36"/>
  <c r="I139" i="36"/>
  <c r="I9" i="37"/>
  <c r="I51" i="37" s="1"/>
  <c r="I91" i="37" s="1"/>
  <c r="U9" i="37"/>
  <c r="U51" i="37" s="1"/>
  <c r="U91" i="37" s="1"/>
  <c r="K9" i="37"/>
  <c r="K51" i="37" s="1"/>
  <c r="K91" i="37" s="1"/>
  <c r="W9" i="37"/>
  <c r="W51" i="37" s="1"/>
  <c r="W91" i="37" s="1"/>
  <c r="L9" i="37"/>
  <c r="L51" i="37" s="1"/>
  <c r="L91" i="37" s="1"/>
  <c r="X9" i="37"/>
  <c r="X51" i="37" s="1"/>
  <c r="X91" i="37" s="1"/>
  <c r="M9" i="37"/>
  <c r="M51" i="37" s="1"/>
  <c r="M91" i="37" s="1"/>
  <c r="Y9" i="37"/>
  <c r="Y51" i="37" s="1"/>
  <c r="Y91" i="37" s="1"/>
  <c r="Q9" i="37"/>
  <c r="Q51" i="37" s="1"/>
  <c r="Q91" i="37" s="1"/>
  <c r="AC9" i="37"/>
  <c r="AC51" i="37" s="1"/>
  <c r="AC91" i="37" s="1"/>
  <c r="R9" i="37"/>
  <c r="R51" i="37" s="1"/>
  <c r="R91" i="37" s="1"/>
  <c r="AD9" i="37"/>
  <c r="AD51" i="37" s="1"/>
  <c r="AD91" i="37" s="1"/>
  <c r="G9" i="37"/>
  <c r="G51" i="37" s="1"/>
  <c r="G91" i="37" s="1"/>
  <c r="S9" i="37"/>
  <c r="S51" i="37" s="1"/>
  <c r="S91" i="37" s="1"/>
  <c r="AE9" i="37"/>
  <c r="AE51" i="37" s="1"/>
  <c r="AE91" i="37" s="1"/>
  <c r="H9" i="37"/>
  <c r="H51" i="37" s="1"/>
  <c r="H91" i="37" s="1"/>
  <c r="J9" i="37"/>
  <c r="J51" i="37" s="1"/>
  <c r="J91" i="37" s="1"/>
  <c r="N9" i="37"/>
  <c r="N51" i="37" s="1"/>
  <c r="N91" i="37" s="1"/>
  <c r="O9" i="37"/>
  <c r="O51" i="37" s="1"/>
  <c r="O91" i="37" s="1"/>
  <c r="P9" i="37"/>
  <c r="P51" i="37" s="1"/>
  <c r="P91" i="37" s="1"/>
  <c r="G99" i="37"/>
  <c r="C125" i="37" s="1"/>
  <c r="T9" i="37"/>
  <c r="T51" i="37" s="1"/>
  <c r="T91" i="37" s="1"/>
  <c r="V9" i="37"/>
  <c r="V51" i="37" s="1"/>
  <c r="V91" i="37" s="1"/>
  <c r="Z9" i="37"/>
  <c r="Z51" i="37" s="1"/>
  <c r="Z91" i="37" s="1"/>
  <c r="AA9" i="37"/>
  <c r="AA51" i="37" s="1"/>
  <c r="AA91" i="37" s="1"/>
  <c r="AB9" i="37"/>
  <c r="AB51" i="37" s="1"/>
  <c r="AB91" i="37" s="1"/>
  <c r="B30" i="40"/>
  <c r="A31" i="40"/>
  <c r="N4" i="46"/>
  <c r="M2" i="46"/>
  <c r="M3" i="46"/>
  <c r="V139" i="36"/>
  <c r="T123" i="36"/>
  <c r="U123" i="36"/>
  <c r="V123" i="36"/>
  <c r="L123" i="36"/>
  <c r="X123" i="36"/>
  <c r="M123" i="36"/>
  <c r="Y123" i="36"/>
  <c r="N123" i="36"/>
  <c r="Z123" i="36"/>
  <c r="O123" i="36"/>
  <c r="Q123" i="36"/>
  <c r="P123" i="36"/>
  <c r="R123" i="36"/>
  <c r="S123" i="36"/>
  <c r="W123" i="36"/>
  <c r="K7" i="37"/>
  <c r="K49" i="37" s="1"/>
  <c r="K89" i="37" s="1"/>
  <c r="W7" i="37"/>
  <c r="W49" i="37" s="1"/>
  <c r="W89" i="37" s="1"/>
  <c r="L7" i="37"/>
  <c r="L49" i="37" s="1"/>
  <c r="L89" i="37" s="1"/>
  <c r="X7" i="37"/>
  <c r="X49" i="37" s="1"/>
  <c r="X89" i="37" s="1"/>
  <c r="M7" i="37"/>
  <c r="M49" i="37" s="1"/>
  <c r="M89" i="37" s="1"/>
  <c r="Y7" i="37"/>
  <c r="Y49" i="37" s="1"/>
  <c r="Y89" i="37" s="1"/>
  <c r="N7" i="37"/>
  <c r="N49" i="37" s="1"/>
  <c r="N89" i="37" s="1"/>
  <c r="Z7" i="37"/>
  <c r="Z49" i="37" s="1"/>
  <c r="Z89" i="37" s="1"/>
  <c r="Z130" i="37" s="1"/>
  <c r="O7" i="37"/>
  <c r="O49" i="37" s="1"/>
  <c r="O89" i="37" s="1"/>
  <c r="AA7" i="37"/>
  <c r="AA49" i="37" s="1"/>
  <c r="AA89" i="37" s="1"/>
  <c r="Q7" i="37"/>
  <c r="Q49" i="37" s="1"/>
  <c r="Q89" i="37" s="1"/>
  <c r="AC7" i="37"/>
  <c r="AC49" i="37" s="1"/>
  <c r="AC89" i="37" s="1"/>
  <c r="G7" i="37"/>
  <c r="G49" i="37" s="1"/>
  <c r="G89" i="37" s="1"/>
  <c r="G130" i="37" s="1"/>
  <c r="S7" i="37"/>
  <c r="S49" i="37" s="1"/>
  <c r="S89" i="37" s="1"/>
  <c r="AE7" i="37"/>
  <c r="AE49" i="37" s="1"/>
  <c r="AE89" i="37" s="1"/>
  <c r="H7" i="37"/>
  <c r="H49" i="37" s="1"/>
  <c r="H89" i="37" s="1"/>
  <c r="H130" i="37" s="1"/>
  <c r="T7" i="37"/>
  <c r="T49" i="37" s="1"/>
  <c r="T89" i="37" s="1"/>
  <c r="I7" i="37"/>
  <c r="I49" i="37" s="1"/>
  <c r="I89" i="37" s="1"/>
  <c r="I130" i="37" s="1"/>
  <c r="U7" i="37"/>
  <c r="U49" i="37" s="1"/>
  <c r="U89" i="37" s="1"/>
  <c r="P7" i="37"/>
  <c r="P49" i="37" s="1"/>
  <c r="P89" i="37" s="1"/>
  <c r="R7" i="37"/>
  <c r="R49" i="37" s="1"/>
  <c r="R89" i="37" s="1"/>
  <c r="V7" i="37"/>
  <c r="V49" i="37" s="1"/>
  <c r="V89" i="37" s="1"/>
  <c r="AB7" i="37"/>
  <c r="AB49" i="37" s="1"/>
  <c r="AB89" i="37" s="1"/>
  <c r="AD7" i="37"/>
  <c r="AD49" i="37" s="1"/>
  <c r="AD89" i="37" s="1"/>
  <c r="G97" i="37"/>
  <c r="C118" i="37" s="1" a="1"/>
  <c r="J7" i="37"/>
  <c r="J49" i="37" s="1"/>
  <c r="J89" i="37" s="1"/>
  <c r="O38" i="36"/>
  <c r="AA38" i="36"/>
  <c r="P38" i="36"/>
  <c r="AB38" i="36"/>
  <c r="Q38" i="36"/>
  <c r="AC38" i="36"/>
  <c r="R38" i="36"/>
  <c r="AD38" i="36"/>
  <c r="S38" i="36"/>
  <c r="AE38" i="36"/>
  <c r="T38" i="36"/>
  <c r="D39" i="36"/>
  <c r="U38" i="36"/>
  <c r="V38" i="36"/>
  <c r="K38" i="36"/>
  <c r="K90" i="36" s="1"/>
  <c r="W38" i="36"/>
  <c r="L38" i="36"/>
  <c r="X38" i="36"/>
  <c r="M38" i="36"/>
  <c r="N38" i="36"/>
  <c r="Y38" i="36"/>
  <c r="Z38" i="36"/>
  <c r="O139" i="36"/>
  <c r="J139" i="36"/>
  <c r="B28" i="39"/>
  <c r="A29" i="39"/>
  <c r="U130" i="37" l="1"/>
  <c r="T130" i="37"/>
  <c r="S130" i="37"/>
  <c r="J130" i="37"/>
  <c r="L130" i="37"/>
  <c r="V130" i="37"/>
  <c r="S4" i="75" s="1"/>
  <c r="M35" i="73" s="1"/>
  <c r="Q130" i="37"/>
  <c r="W130" i="37"/>
  <c r="T4" i="75" s="1"/>
  <c r="M36" i="73" s="1"/>
  <c r="J131" i="36"/>
  <c r="H131" i="36"/>
  <c r="E5" i="13" s="1"/>
  <c r="K130" i="37"/>
  <c r="N130" i="37"/>
  <c r="I131" i="36"/>
  <c r="M130" i="37"/>
  <c r="X130" i="37"/>
  <c r="U4" i="75" s="1"/>
  <c r="M37" i="73" s="1"/>
  <c r="P130" i="37"/>
  <c r="R4" i="75"/>
  <c r="M34" i="73" s="1"/>
  <c r="L131" i="36"/>
  <c r="F4" i="75"/>
  <c r="M22" i="73" s="1"/>
  <c r="Y130" i="37"/>
  <c r="Q4" i="75"/>
  <c r="M33" i="73" s="1"/>
  <c r="W4" i="75"/>
  <c r="M39" i="73" s="1"/>
  <c r="E4" i="75"/>
  <c r="M21" i="73" s="1"/>
  <c r="I4" i="75"/>
  <c r="M25" i="73" s="1"/>
  <c r="G4" i="75"/>
  <c r="M23" i="73" s="1"/>
  <c r="K23" i="73" s="1"/>
  <c r="P4" i="75"/>
  <c r="M32" i="73" s="1"/>
  <c r="K32" i="73" s="1"/>
  <c r="U131" i="36"/>
  <c r="R5" i="13" s="1"/>
  <c r="D4" i="75"/>
  <c r="M20" i="73" s="1"/>
  <c r="M131" i="36"/>
  <c r="J5" i="13" s="1"/>
  <c r="N4" i="75"/>
  <c r="M30" i="73" s="1"/>
  <c r="Q131" i="36"/>
  <c r="N5" i="13" s="1"/>
  <c r="I5" i="13"/>
  <c r="T131" i="36"/>
  <c r="S131" i="36"/>
  <c r="R130" i="37"/>
  <c r="D5" i="13"/>
  <c r="Y131" i="36"/>
  <c r="R131" i="36"/>
  <c r="Z131" i="36"/>
  <c r="O130" i="37"/>
  <c r="N131" i="36"/>
  <c r="X131" i="36"/>
  <c r="W131" i="36"/>
  <c r="K131" i="36"/>
  <c r="O131" i="36"/>
  <c r="V131" i="36"/>
  <c r="P131" i="36"/>
  <c r="F4" i="13"/>
  <c r="P140" i="36"/>
  <c r="B31" i="40"/>
  <c r="A32" i="40"/>
  <c r="Q140" i="36"/>
  <c r="B29" i="39"/>
  <c r="A30" i="39"/>
  <c r="N140" i="36"/>
  <c r="X140" i="36"/>
  <c r="H140" i="36"/>
  <c r="T140" i="36"/>
  <c r="C123" i="37"/>
  <c r="C122" i="37"/>
  <c r="C118" i="37"/>
  <c r="C121" i="37"/>
  <c r="C119" i="37"/>
  <c r="C120" i="37"/>
  <c r="I140" i="36"/>
  <c r="W140" i="36"/>
  <c r="M140" i="36"/>
  <c r="J130" i="36"/>
  <c r="R140" i="36"/>
  <c r="J140" i="36"/>
  <c r="V140" i="36"/>
  <c r="B33" i="41"/>
  <c r="A34" i="41"/>
  <c r="S140" i="36"/>
  <c r="G140" i="36"/>
  <c r="O4" i="46"/>
  <c r="N2" i="46"/>
  <c r="N3" i="46"/>
  <c r="L54" i="36"/>
  <c r="K88" i="36"/>
  <c r="Z140" i="36"/>
  <c r="O140" i="36"/>
  <c r="R50" i="36"/>
  <c r="U140" i="36"/>
  <c r="K140" i="36"/>
  <c r="M6" i="46"/>
  <c r="M11" i="46"/>
  <c r="R97" i="36" s="1"/>
  <c r="R7" i="36"/>
  <c r="N44" i="36"/>
  <c r="N90" i="36" s="1"/>
  <c r="Z44" i="36"/>
  <c r="O44" i="36"/>
  <c r="O90" i="36" s="1"/>
  <c r="AA44" i="36"/>
  <c r="P44" i="36"/>
  <c r="P90" i="36" s="1"/>
  <c r="AB44" i="36"/>
  <c r="R44" i="36"/>
  <c r="AD44" i="36"/>
  <c r="S44" i="36"/>
  <c r="AE44" i="36"/>
  <c r="T44" i="36"/>
  <c r="D45" i="36"/>
  <c r="U44" i="36"/>
  <c r="V44" i="36"/>
  <c r="W44" i="36"/>
  <c r="M44" i="36"/>
  <c r="M90" i="36" s="1"/>
  <c r="Q44" i="36"/>
  <c r="Q90" i="36" s="1"/>
  <c r="X44" i="36"/>
  <c r="AC44" i="36"/>
  <c r="L44" i="36"/>
  <c r="L90" i="36" s="1"/>
  <c r="Y44" i="36"/>
  <c r="Y140" i="36"/>
  <c r="Q39" i="36"/>
  <c r="AC39" i="36"/>
  <c r="R39" i="36"/>
  <c r="AD39" i="36"/>
  <c r="S39" i="36"/>
  <c r="AE39" i="36"/>
  <c r="T39" i="36"/>
  <c r="U39" i="36"/>
  <c r="V39" i="36"/>
  <c r="K39" i="36"/>
  <c r="K91" i="36" s="1"/>
  <c r="W39" i="36"/>
  <c r="L39" i="36"/>
  <c r="X39" i="36"/>
  <c r="M39" i="36"/>
  <c r="Y39" i="36"/>
  <c r="N39" i="36"/>
  <c r="Z39" i="36"/>
  <c r="AB39" i="36"/>
  <c r="O39" i="36"/>
  <c r="P39" i="36"/>
  <c r="AA39" i="36"/>
  <c r="M5" i="46"/>
  <c r="M10" i="46"/>
  <c r="R96" i="36" s="1"/>
  <c r="R6" i="36"/>
  <c r="M134" i="36"/>
  <c r="J10" i="13" s="1"/>
  <c r="N48" i="36"/>
  <c r="L140" i="36"/>
  <c r="AB39" i="22"/>
  <c r="AB38" i="22"/>
  <c r="AB37" i="22"/>
  <c r="AB36" i="22"/>
  <c r="AB35" i="22"/>
  <c r="AB34" i="22"/>
  <c r="AB33" i="22"/>
  <c r="AB32" i="22"/>
  <c r="AB31" i="22"/>
  <c r="AB30" i="22"/>
  <c r="AB29" i="22"/>
  <c r="AB28" i="22"/>
  <c r="AB27" i="22"/>
  <c r="AB26" i="22"/>
  <c r="AB25" i="22"/>
  <c r="AB24" i="22"/>
  <c r="AB23" i="22"/>
  <c r="AB22" i="22"/>
  <c r="AB21" i="22"/>
  <c r="B21" i="22"/>
  <c r="B22" i="22" s="1"/>
  <c r="AB20" i="22"/>
  <c r="AB19" i="22"/>
  <c r="AB18" i="22"/>
  <c r="AB17" i="22"/>
  <c r="AB16" i="22"/>
  <c r="AB15" i="22"/>
  <c r="AC13" i="22"/>
  <c r="AC14" i="22" s="1"/>
  <c r="B9" i="22"/>
  <c r="C8" i="22"/>
  <c r="C9" i="22" s="1"/>
  <c r="H4" i="75" l="1"/>
  <c r="M24" i="73" s="1"/>
  <c r="G5" i="13"/>
  <c r="K4" i="75"/>
  <c r="M27" i="73" s="1"/>
  <c r="K27" i="73" s="1"/>
  <c r="F5" i="13"/>
  <c r="J4" i="75"/>
  <c r="M26" i="73" s="1"/>
  <c r="K26" i="73" s="1"/>
  <c r="M4" i="75"/>
  <c r="M29" i="73" s="1"/>
  <c r="K29" i="73" s="1"/>
  <c r="AC15" i="22"/>
  <c r="AC16" i="22" s="1"/>
  <c r="AC17" i="22" s="1"/>
  <c r="AC18" i="22" s="1"/>
  <c r="AC19" i="22" s="1"/>
  <c r="AC20" i="22" s="1"/>
  <c r="AC21" i="22" s="1"/>
  <c r="I21" i="22" s="1"/>
  <c r="T21" i="22" s="1"/>
  <c r="L4" i="75"/>
  <c r="M28" i="73" s="1"/>
  <c r="K35" i="73"/>
  <c r="K33" i="73"/>
  <c r="K30" i="73"/>
  <c r="K25" i="73"/>
  <c r="V4" i="75"/>
  <c r="M38" i="73" s="1"/>
  <c r="K24" i="73"/>
  <c r="K22" i="73"/>
  <c r="K37" i="73"/>
  <c r="K20" i="73"/>
  <c r="K21" i="73"/>
  <c r="O4" i="75"/>
  <c r="M31" i="73" s="1"/>
  <c r="K36" i="73"/>
  <c r="K39" i="73"/>
  <c r="K34" i="73"/>
  <c r="T5" i="13"/>
  <c r="P5" i="13"/>
  <c r="U5" i="13"/>
  <c r="Q5" i="13"/>
  <c r="K5" i="13"/>
  <c r="M5" i="13"/>
  <c r="W5" i="13"/>
  <c r="S5" i="13"/>
  <c r="O5" i="13"/>
  <c r="L5" i="13"/>
  <c r="V5" i="13"/>
  <c r="G4" i="13"/>
  <c r="H5" i="13"/>
  <c r="Q91" i="36"/>
  <c r="Q45" i="36"/>
  <c r="AC45" i="36"/>
  <c r="R45" i="36"/>
  <c r="R91" i="36" s="1"/>
  <c r="AD45" i="36"/>
  <c r="AD91" i="36" s="1"/>
  <c r="S45" i="36"/>
  <c r="S91" i="36" s="1"/>
  <c r="AE45" i="36"/>
  <c r="AE91" i="36" s="1"/>
  <c r="U45" i="36"/>
  <c r="U91" i="36" s="1"/>
  <c r="V45" i="36"/>
  <c r="V91" i="36" s="1"/>
  <c r="W45" i="36"/>
  <c r="W91" i="36" s="1"/>
  <c r="L45" i="36"/>
  <c r="L91" i="36" s="1"/>
  <c r="X45" i="36"/>
  <c r="X91" i="36" s="1"/>
  <c r="M45" i="36"/>
  <c r="M91" i="36" s="1"/>
  <c r="Y45" i="36"/>
  <c r="N45" i="36"/>
  <c r="Z45" i="36"/>
  <c r="Z91" i="36" s="1"/>
  <c r="O45" i="36"/>
  <c r="O91" i="36" s="1"/>
  <c r="P45" i="36"/>
  <c r="P91" i="36" s="1"/>
  <c r="T45" i="36"/>
  <c r="T91" i="36" s="1"/>
  <c r="AA45" i="36"/>
  <c r="AA91" i="36" s="1"/>
  <c r="AB45" i="36"/>
  <c r="AB91" i="36" s="1"/>
  <c r="A35" i="41"/>
  <c r="B34" i="41"/>
  <c r="N91" i="36"/>
  <c r="AC91" i="36"/>
  <c r="A33" i="40"/>
  <c r="B32" i="40"/>
  <c r="O48" i="36"/>
  <c r="N134" i="36"/>
  <c r="K10" i="13" s="1"/>
  <c r="Y91" i="36"/>
  <c r="S50" i="36"/>
  <c r="R90" i="36"/>
  <c r="K130" i="36"/>
  <c r="M54" i="36"/>
  <c r="L88" i="36"/>
  <c r="A31" i="39"/>
  <c r="B30" i="39"/>
  <c r="N6" i="46"/>
  <c r="N11" i="46"/>
  <c r="S97" i="36" s="1"/>
  <c r="S7" i="36"/>
  <c r="N5" i="46"/>
  <c r="N10" i="46"/>
  <c r="S96" i="36" s="1"/>
  <c r="S6" i="36"/>
  <c r="P4" i="46"/>
  <c r="O2" i="46"/>
  <c r="O3" i="46"/>
  <c r="E42" i="22"/>
  <c r="D42" i="22"/>
  <c r="F42" i="22"/>
  <c r="J20" i="22"/>
  <c r="J23" i="22"/>
  <c r="J26" i="22"/>
  <c r="J29" i="22"/>
  <c r="J32" i="22"/>
  <c r="J35" i="22"/>
  <c r="J38" i="22"/>
  <c r="J21" i="22"/>
  <c r="J24" i="22"/>
  <c r="J27" i="22"/>
  <c r="J30" i="22"/>
  <c r="J33" i="22"/>
  <c r="J36" i="22"/>
  <c r="J39" i="22"/>
  <c r="J22" i="22"/>
  <c r="J25" i="22"/>
  <c r="J28" i="22"/>
  <c r="J31" i="22"/>
  <c r="J34" i="22"/>
  <c r="J37" i="22"/>
  <c r="C42" i="22"/>
  <c r="C11" i="33" s="1"/>
  <c r="B23" i="22"/>
  <c r="D8" i="22"/>
  <c r="F6" i="1" l="1"/>
  <c r="U43" i="22"/>
  <c r="H11" i="33"/>
  <c r="D6" i="1"/>
  <c r="D13" i="1" s="1"/>
  <c r="F11" i="33"/>
  <c r="C6" i="1"/>
  <c r="C13" i="1" s="1"/>
  <c r="D11" i="33"/>
  <c r="I20" i="22"/>
  <c r="T20" i="22" s="1"/>
  <c r="H20" i="22"/>
  <c r="S20" i="22" s="1"/>
  <c r="H21" i="22"/>
  <c r="S21" i="22" s="1"/>
  <c r="AC22" i="22"/>
  <c r="I22" i="22" s="1"/>
  <c r="T22" i="22" s="1"/>
  <c r="G20" i="22"/>
  <c r="R20" i="22" s="1"/>
  <c r="G21" i="22"/>
  <c r="R21" i="22" s="1"/>
  <c r="M43" i="73"/>
  <c r="J42" i="22"/>
  <c r="F6" i="81" s="1"/>
  <c r="B6" i="1"/>
  <c r="B13" i="1" s="1"/>
  <c r="K31" i="73"/>
  <c r="K28" i="73"/>
  <c r="K38" i="73"/>
  <c r="H4" i="13"/>
  <c r="B35" i="41"/>
  <c r="A36" i="41"/>
  <c r="T50" i="36"/>
  <c r="S90" i="36"/>
  <c r="O6" i="46"/>
  <c r="O11" i="46"/>
  <c r="T97" i="36" s="1"/>
  <c r="T7" i="36"/>
  <c r="O5" i="46"/>
  <c r="O10" i="46"/>
  <c r="T96" i="36" s="1"/>
  <c r="T6" i="36"/>
  <c r="P48" i="36"/>
  <c r="O134" i="36"/>
  <c r="L10" i="13" s="1"/>
  <c r="Q4" i="46"/>
  <c r="P2" i="46"/>
  <c r="P3" i="46"/>
  <c r="B31" i="39"/>
  <c r="A32" i="39"/>
  <c r="B33" i="40"/>
  <c r="A34" i="40"/>
  <c r="N54" i="36"/>
  <c r="M88" i="36"/>
  <c r="M130" i="36" s="1"/>
  <c r="L130" i="36"/>
  <c r="C43" i="22"/>
  <c r="E43" i="22"/>
  <c r="D43" i="22"/>
  <c r="E8" i="22"/>
  <c r="D9" i="22"/>
  <c r="B24" i="22"/>
  <c r="F43" i="22"/>
  <c r="G22" i="22" l="1"/>
  <c r="R22" i="22" s="1"/>
  <c r="H22" i="22"/>
  <c r="S22" i="22" s="1"/>
  <c r="AC23" i="22"/>
  <c r="H23" i="22" s="1"/>
  <c r="S23" i="22" s="1"/>
  <c r="F13" i="1"/>
  <c r="P21" i="22"/>
  <c r="Y21" i="22" s="1"/>
  <c r="P20" i="22"/>
  <c r="Y20" i="22" s="1"/>
  <c r="K43" i="73"/>
  <c r="I4" i="13"/>
  <c r="J4" i="13"/>
  <c r="Q48" i="36"/>
  <c r="P134" i="36"/>
  <c r="M10" i="13" s="1"/>
  <c r="O54" i="36"/>
  <c r="N88" i="36"/>
  <c r="N130" i="36" s="1"/>
  <c r="B34" i="40"/>
  <c r="A35" i="40"/>
  <c r="P6" i="46"/>
  <c r="P11" i="46"/>
  <c r="U97" i="36" s="1"/>
  <c r="U7" i="36"/>
  <c r="P5" i="46"/>
  <c r="P10" i="46"/>
  <c r="U96" i="36" s="1"/>
  <c r="U6" i="36"/>
  <c r="U50" i="36"/>
  <c r="T90" i="36"/>
  <c r="B32" i="39"/>
  <c r="A33" i="39"/>
  <c r="R4" i="46"/>
  <c r="Q2" i="46"/>
  <c r="Q3" i="46"/>
  <c r="B36" i="41"/>
  <c r="A37" i="41"/>
  <c r="J43" i="22"/>
  <c r="F6" i="11"/>
  <c r="P22" i="22"/>
  <c r="Y22" i="22" s="1"/>
  <c r="AC24" i="22"/>
  <c r="I23" i="22"/>
  <c r="T23" i="22" s="1"/>
  <c r="G23" i="22"/>
  <c r="R23" i="22" s="1"/>
  <c r="F8" i="22"/>
  <c r="E9" i="22"/>
  <c r="B25" i="22"/>
  <c r="K4" i="13" l="1"/>
  <c r="B37" i="41"/>
  <c r="A38" i="41"/>
  <c r="B35" i="40"/>
  <c r="A36" i="40"/>
  <c r="S4" i="46"/>
  <c r="R2" i="46"/>
  <c r="R3" i="46"/>
  <c r="B33" i="39"/>
  <c r="A34" i="39"/>
  <c r="P54" i="36"/>
  <c r="O88" i="36"/>
  <c r="O130" i="36" s="1"/>
  <c r="Q5" i="46"/>
  <c r="Q10" i="46"/>
  <c r="V96" i="36" s="1"/>
  <c r="V6" i="36"/>
  <c r="U90" i="36"/>
  <c r="V50" i="36"/>
  <c r="R48" i="36"/>
  <c r="Q134" i="36"/>
  <c r="N10" i="13" s="1"/>
  <c r="Q6" i="46"/>
  <c r="Q11" i="46"/>
  <c r="V97" i="36" s="1"/>
  <c r="V7" i="36"/>
  <c r="P23" i="22"/>
  <c r="Y23" i="22" s="1"/>
  <c r="AC25" i="22"/>
  <c r="I24" i="22"/>
  <c r="T24" i="22" s="1"/>
  <c r="G24" i="22"/>
  <c r="R24" i="22" s="1"/>
  <c r="H24" i="22"/>
  <c r="S24" i="22" s="1"/>
  <c r="F9" i="22"/>
  <c r="G8" i="22"/>
  <c r="B26" i="22"/>
  <c r="L4" i="13" l="1"/>
  <c r="R6" i="46"/>
  <c r="R11" i="46"/>
  <c r="W97" i="36" s="1"/>
  <c r="W7" i="36"/>
  <c r="B34" i="39"/>
  <c r="A35" i="39"/>
  <c r="R5" i="46"/>
  <c r="R10" i="46"/>
  <c r="W96" i="36" s="1"/>
  <c r="W6" i="36"/>
  <c r="S48" i="36"/>
  <c r="R134" i="36"/>
  <c r="O10" i="13" s="1"/>
  <c r="S3" i="46"/>
  <c r="T4" i="46"/>
  <c r="S2" i="46"/>
  <c r="V90" i="36"/>
  <c r="W50" i="36"/>
  <c r="B36" i="40"/>
  <c r="A37" i="40"/>
  <c r="Q54" i="36"/>
  <c r="P88" i="36"/>
  <c r="P130" i="36" s="1"/>
  <c r="B38" i="41"/>
  <c r="A39" i="41"/>
  <c r="I25" i="22"/>
  <c r="T25" i="22" s="1"/>
  <c r="AC26" i="22"/>
  <c r="H25" i="22"/>
  <c r="S25" i="22" s="1"/>
  <c r="G25" i="22"/>
  <c r="R25" i="22" s="1"/>
  <c r="G9" i="22"/>
  <c r="H8" i="22"/>
  <c r="B27" i="22"/>
  <c r="P24" i="22"/>
  <c r="Y24" i="22" s="1"/>
  <c r="M4" i="13" l="1"/>
  <c r="T48" i="36"/>
  <c r="S134" i="36"/>
  <c r="P10" i="13" s="1"/>
  <c r="R54" i="36"/>
  <c r="Q88" i="36"/>
  <c r="Q130" i="36" s="1"/>
  <c r="B35" i="39"/>
  <c r="A36" i="39"/>
  <c r="S11" i="46"/>
  <c r="X97" i="36" s="1"/>
  <c r="S6" i="46"/>
  <c r="X7" i="36"/>
  <c r="B37" i="40"/>
  <c r="A38" i="40"/>
  <c r="B39" i="41"/>
  <c r="A40" i="41"/>
  <c r="X50" i="36"/>
  <c r="W90" i="36"/>
  <c r="S5" i="46"/>
  <c r="S10" i="46"/>
  <c r="X96" i="36" s="1"/>
  <c r="X6" i="36"/>
  <c r="T2" i="46"/>
  <c r="T3" i="46"/>
  <c r="U4" i="46"/>
  <c r="AC27" i="22"/>
  <c r="H26" i="22"/>
  <c r="S26" i="22" s="1"/>
  <c r="I26" i="22"/>
  <c r="T26" i="22" s="1"/>
  <c r="G26" i="22"/>
  <c r="R26" i="22" s="1"/>
  <c r="H9" i="22"/>
  <c r="I8" i="22"/>
  <c r="B28" i="22"/>
  <c r="P25" i="22"/>
  <c r="Y25" i="22" s="1"/>
  <c r="N4" i="13" l="1"/>
  <c r="T11" i="46"/>
  <c r="Y97" i="36" s="1"/>
  <c r="T6" i="46"/>
  <c r="Y7" i="36"/>
  <c r="A37" i="39"/>
  <c r="B36" i="39"/>
  <c r="A39" i="40"/>
  <c r="B38" i="40"/>
  <c r="U2" i="46"/>
  <c r="U3" i="46"/>
  <c r="V4" i="46"/>
  <c r="T10" i="46"/>
  <c r="Y96" i="36" s="1"/>
  <c r="T5" i="46"/>
  <c r="Y6" i="36"/>
  <c r="S54" i="36"/>
  <c r="R88" i="36"/>
  <c r="R130" i="36" s="1"/>
  <c r="Y50" i="36"/>
  <c r="X90" i="36"/>
  <c r="A41" i="41"/>
  <c r="B40" i="41"/>
  <c r="U48" i="36"/>
  <c r="T134" i="36"/>
  <c r="Q10" i="13" s="1"/>
  <c r="P26" i="22"/>
  <c r="Y26" i="22" s="1"/>
  <c r="B29" i="22"/>
  <c r="AC28" i="22"/>
  <c r="I27" i="22"/>
  <c r="T27" i="22" s="1"/>
  <c r="G27" i="22"/>
  <c r="R27" i="22" s="1"/>
  <c r="H27" i="22"/>
  <c r="S27" i="22" s="1"/>
  <c r="I9" i="22"/>
  <c r="J8" i="22"/>
  <c r="O4" i="13" l="1"/>
  <c r="U11" i="46"/>
  <c r="Z97" i="36" s="1"/>
  <c r="U6" i="46"/>
  <c r="Z7" i="36"/>
  <c r="U10" i="46"/>
  <c r="Z96" i="36" s="1"/>
  <c r="U5" i="46"/>
  <c r="Z6" i="36"/>
  <c r="B39" i="40"/>
  <c r="A40" i="40"/>
  <c r="B41" i="41"/>
  <c r="A42" i="41"/>
  <c r="Z50" i="36"/>
  <c r="Y90" i="36"/>
  <c r="B37" i="39"/>
  <c r="A38" i="39"/>
  <c r="V48" i="36"/>
  <c r="U134" i="36"/>
  <c r="R10" i="13" s="1"/>
  <c r="V2" i="46"/>
  <c r="V3" i="46"/>
  <c r="W4" i="46"/>
  <c r="T54" i="36"/>
  <c r="S88" i="36"/>
  <c r="S130" i="36" s="1"/>
  <c r="P27" i="22"/>
  <c r="Y27" i="22" s="1"/>
  <c r="I28" i="22"/>
  <c r="T28" i="22" s="1"/>
  <c r="AC29" i="22"/>
  <c r="H28" i="22"/>
  <c r="S28" i="22" s="1"/>
  <c r="G28" i="22"/>
  <c r="R28" i="22" s="1"/>
  <c r="B30" i="22"/>
  <c r="J9" i="22"/>
  <c r="K8" i="22"/>
  <c r="P4" i="13" l="1"/>
  <c r="Z90" i="36"/>
  <c r="AA50" i="36"/>
  <c r="B42" i="41"/>
  <c r="A43" i="41"/>
  <c r="U54" i="36"/>
  <c r="T88" i="36"/>
  <c r="T130" i="36" s="1"/>
  <c r="V6" i="46"/>
  <c r="V11" i="46"/>
  <c r="AA97" i="36" s="1"/>
  <c r="AA7" i="36"/>
  <c r="B40" i="40"/>
  <c r="A41" i="40"/>
  <c r="W48" i="36"/>
  <c r="V134" i="36"/>
  <c r="S10" i="13" s="1"/>
  <c r="X4" i="46"/>
  <c r="W2" i="46"/>
  <c r="W3" i="46"/>
  <c r="V10" i="46"/>
  <c r="AA96" i="36" s="1"/>
  <c r="V5" i="46"/>
  <c r="AA6" i="36"/>
  <c r="B38" i="39"/>
  <c r="A39" i="39"/>
  <c r="AC30" i="22"/>
  <c r="H29" i="22"/>
  <c r="S29" i="22" s="1"/>
  <c r="I29" i="22"/>
  <c r="T29" i="22" s="1"/>
  <c r="G29" i="22"/>
  <c r="R29" i="22" s="1"/>
  <c r="K9" i="22"/>
  <c r="L8" i="22"/>
  <c r="B31" i="22"/>
  <c r="P28" i="22"/>
  <c r="Y28" i="22" s="1"/>
  <c r="Q4" i="13" l="1"/>
  <c r="B41" i="40"/>
  <c r="A42" i="40"/>
  <c r="W6" i="46"/>
  <c r="W11" i="46"/>
  <c r="AB97" i="36" s="1"/>
  <c r="AB7" i="36"/>
  <c r="V54" i="36"/>
  <c r="U88" i="36"/>
  <c r="U130" i="36" s="1"/>
  <c r="B39" i="39"/>
  <c r="A40" i="39"/>
  <c r="W5" i="46"/>
  <c r="W10" i="46"/>
  <c r="AB96" i="36" s="1"/>
  <c r="AB6" i="36"/>
  <c r="B43" i="41"/>
  <c r="A44" i="41"/>
  <c r="Y4" i="46"/>
  <c r="X2" i="46"/>
  <c r="X3" i="46"/>
  <c r="AB50" i="36"/>
  <c r="AA90" i="36"/>
  <c r="X48" i="36"/>
  <c r="W134" i="36"/>
  <c r="T10" i="13" s="1"/>
  <c r="P29" i="22"/>
  <c r="Y29" i="22" s="1"/>
  <c r="B32" i="22"/>
  <c r="L9" i="22"/>
  <c r="M8" i="22"/>
  <c r="AC31" i="22"/>
  <c r="I30" i="22"/>
  <c r="T30" i="22" s="1"/>
  <c r="H30" i="22"/>
  <c r="S30" i="22" s="1"/>
  <c r="G30" i="22"/>
  <c r="R30" i="22" s="1"/>
  <c r="R4" i="13" l="1"/>
  <c r="B40" i="39"/>
  <c r="A41" i="39"/>
  <c r="Y48" i="36"/>
  <c r="X134" i="36"/>
  <c r="U10" i="13" s="1"/>
  <c r="X6" i="46"/>
  <c r="X11" i="46"/>
  <c r="AC97" i="36" s="1"/>
  <c r="AC7" i="36"/>
  <c r="AC50" i="36"/>
  <c r="AB90" i="36"/>
  <c r="X5" i="46"/>
  <c r="X10" i="46"/>
  <c r="AC96" i="36" s="1"/>
  <c r="AC6" i="36"/>
  <c r="Z4" i="46"/>
  <c r="Y2" i="46"/>
  <c r="Y3" i="46"/>
  <c r="W54" i="36"/>
  <c r="V88" i="36"/>
  <c r="V130" i="36" s="1"/>
  <c r="B44" i="41"/>
  <c r="A45" i="41"/>
  <c r="B42" i="40"/>
  <c r="A43" i="40"/>
  <c r="B33" i="22"/>
  <c r="P30" i="22"/>
  <c r="Y30" i="22" s="1"/>
  <c r="AC32" i="22"/>
  <c r="H31" i="22"/>
  <c r="S31" i="22" s="1"/>
  <c r="I31" i="22"/>
  <c r="T31" i="22" s="1"/>
  <c r="G31" i="22"/>
  <c r="R31" i="22" s="1"/>
  <c r="M9" i="22"/>
  <c r="N8" i="22"/>
  <c r="S4" i="13" l="1"/>
  <c r="X54" i="36"/>
  <c r="W88" i="36"/>
  <c r="W130" i="36" s="1"/>
  <c r="Y6" i="46"/>
  <c r="Y11" i="46"/>
  <c r="AD97" i="36" s="1"/>
  <c r="AD7" i="36"/>
  <c r="Z48" i="36"/>
  <c r="Y134" i="36"/>
  <c r="V10" i="13" s="1"/>
  <c r="B43" i="40"/>
  <c r="A44" i="40"/>
  <c r="B45" i="41"/>
  <c r="A46" i="41"/>
  <c r="Y5" i="46"/>
  <c r="Y10" i="46"/>
  <c r="AD96" i="36" s="1"/>
  <c r="AD6" i="36"/>
  <c r="Z2" i="46"/>
  <c r="Z3" i="46"/>
  <c r="B41" i="39"/>
  <c r="A42" i="39"/>
  <c r="AD50" i="36"/>
  <c r="AC90" i="36"/>
  <c r="AC33" i="22"/>
  <c r="I32" i="22"/>
  <c r="T32" i="22" s="1"/>
  <c r="H32" i="22"/>
  <c r="S32" i="22" s="1"/>
  <c r="G32" i="22"/>
  <c r="R32" i="22" s="1"/>
  <c r="O8" i="22"/>
  <c r="N9" i="22"/>
  <c r="B34" i="22"/>
  <c r="P31" i="22"/>
  <c r="Y31" i="22" s="1"/>
  <c r="T4" i="13" l="1"/>
  <c r="A47" i="41"/>
  <c r="B46" i="41"/>
  <c r="A45" i="40"/>
  <c r="B44" i="40"/>
  <c r="A43" i="39"/>
  <c r="B42" i="39"/>
  <c r="AA48" i="36"/>
  <c r="Z134" i="36"/>
  <c r="W10" i="13" s="1"/>
  <c r="AE50" i="36"/>
  <c r="AE90" i="36" s="1"/>
  <c r="AD90" i="36"/>
  <c r="Z6" i="46"/>
  <c r="Z11" i="46"/>
  <c r="AE97" i="36" s="1"/>
  <c r="AE7" i="36"/>
  <c r="Z5" i="46"/>
  <c r="Z10" i="46"/>
  <c r="AE96" i="36" s="1"/>
  <c r="AE6" i="36"/>
  <c r="Y54" i="36"/>
  <c r="X88" i="36"/>
  <c r="X130" i="36" s="1"/>
  <c r="P32" i="22"/>
  <c r="Y32" i="22" s="1"/>
  <c r="B35" i="22"/>
  <c r="AC34" i="22"/>
  <c r="I33" i="22"/>
  <c r="T33" i="22" s="1"/>
  <c r="H33" i="22"/>
  <c r="S33" i="22" s="1"/>
  <c r="G33" i="22"/>
  <c r="R33" i="22" s="1"/>
  <c r="O9" i="22"/>
  <c r="P8" i="22"/>
  <c r="U4" i="13" l="1"/>
  <c r="G136" i="36"/>
  <c r="AB48" i="36"/>
  <c r="B43" i="39"/>
  <c r="A44" i="39"/>
  <c r="B45" i="40"/>
  <c r="A46" i="40"/>
  <c r="Z54" i="36"/>
  <c r="Y88" i="36"/>
  <c r="Y130" i="36" s="1"/>
  <c r="B47" i="41"/>
  <c r="A48" i="41"/>
  <c r="H34" i="22"/>
  <c r="S34" i="22" s="1"/>
  <c r="AC35" i="22"/>
  <c r="I34" i="22"/>
  <c r="T34" i="22" s="1"/>
  <c r="G34" i="22"/>
  <c r="R34" i="22" s="1"/>
  <c r="B36" i="22"/>
  <c r="Q8" i="22"/>
  <c r="R8" i="22" s="1"/>
  <c r="P9" i="22"/>
  <c r="P33" i="22"/>
  <c r="Y33" i="22" s="1"/>
  <c r="S8" i="22" l="1"/>
  <c r="R9" i="22"/>
  <c r="V4" i="13"/>
  <c r="AA54" i="36"/>
  <c r="Z88" i="36"/>
  <c r="Z130" i="36" s="1"/>
  <c r="B48" i="41"/>
  <c r="A49" i="41"/>
  <c r="B46" i="40"/>
  <c r="A47" i="40"/>
  <c r="B44" i="39"/>
  <c r="A45" i="39"/>
  <c r="AC48" i="36"/>
  <c r="B37" i="22"/>
  <c r="AC36" i="22"/>
  <c r="G35" i="22"/>
  <c r="R35" i="22" s="1"/>
  <c r="H35" i="22"/>
  <c r="S35" i="22" s="1"/>
  <c r="I35" i="22"/>
  <c r="T35" i="22" s="1"/>
  <c r="P34" i="22"/>
  <c r="Y34" i="22" s="1"/>
  <c r="Q9" i="22"/>
  <c r="T8" i="22" l="1"/>
  <c r="S9" i="22"/>
  <c r="W4" i="13"/>
  <c r="AD48" i="36"/>
  <c r="B47" i="40"/>
  <c r="A48" i="40"/>
  <c r="B49" i="41"/>
  <c r="A50" i="41"/>
  <c r="B45" i="39"/>
  <c r="A46" i="39"/>
  <c r="AB54" i="36"/>
  <c r="AA88" i="36"/>
  <c r="P35" i="22"/>
  <c r="Y35" i="22" s="1"/>
  <c r="AC37" i="22"/>
  <c r="I36" i="22"/>
  <c r="T36" i="22" s="1"/>
  <c r="G36" i="22"/>
  <c r="R36" i="22" s="1"/>
  <c r="H36" i="22"/>
  <c r="S36" i="22" s="1"/>
  <c r="B38" i="22"/>
  <c r="U8" i="22" l="1"/>
  <c r="T9" i="22"/>
  <c r="AC54" i="36"/>
  <c r="AB88" i="36"/>
  <c r="B48" i="40"/>
  <c r="A49" i="40"/>
  <c r="B46" i="39"/>
  <c r="A47" i="39"/>
  <c r="B50" i="41"/>
  <c r="A51" i="41"/>
  <c r="AE48" i="36"/>
  <c r="P36" i="22"/>
  <c r="Y36" i="22" s="1"/>
  <c r="H37" i="22"/>
  <c r="S37" i="22" s="1"/>
  <c r="AC38" i="22"/>
  <c r="I37" i="22"/>
  <c r="T37" i="22" s="1"/>
  <c r="G37" i="22"/>
  <c r="R37" i="22" s="1"/>
  <c r="B39" i="22"/>
  <c r="V8" i="22" l="1"/>
  <c r="U9" i="22"/>
  <c r="B51" i="41"/>
  <c r="A52" i="41"/>
  <c r="B47" i="39"/>
  <c r="A48" i="39"/>
  <c r="B49" i="40"/>
  <c r="A50" i="40"/>
  <c r="AD54" i="36"/>
  <c r="AC88" i="36"/>
  <c r="P37" i="22"/>
  <c r="Y37" i="22" s="1"/>
  <c r="AC39" i="22"/>
  <c r="I38" i="22"/>
  <c r="T38" i="22" s="1"/>
  <c r="G38" i="22"/>
  <c r="R38" i="22" s="1"/>
  <c r="H38" i="22"/>
  <c r="S38" i="22" s="1"/>
  <c r="W8" i="22" l="1"/>
  <c r="V9" i="22"/>
  <c r="A51" i="40"/>
  <c r="B50" i="40"/>
  <c r="A49" i="39"/>
  <c r="B48" i="39"/>
  <c r="A53" i="41"/>
  <c r="B52" i="41"/>
  <c r="AE54" i="36"/>
  <c r="AE88" i="36" s="1"/>
  <c r="AD88" i="36"/>
  <c r="I39" i="22"/>
  <c r="T39" i="22" s="1"/>
  <c r="T42" i="22" s="1"/>
  <c r="H39" i="22"/>
  <c r="S39" i="22" s="1"/>
  <c r="S42" i="22" s="1"/>
  <c r="G39" i="22"/>
  <c r="R39" i="22" s="1"/>
  <c r="R42" i="22" s="1"/>
  <c r="P38" i="22"/>
  <c r="Y38" i="22" s="1"/>
  <c r="X8" i="22" l="1"/>
  <c r="W9" i="22"/>
  <c r="T43" i="22"/>
  <c r="D6" i="81"/>
  <c r="D13" i="81" s="1"/>
  <c r="S43" i="22"/>
  <c r="C6" i="81"/>
  <c r="C13" i="81" s="1"/>
  <c r="R43" i="22"/>
  <c r="B6" i="81"/>
  <c r="B13" i="81" s="1"/>
  <c r="B49" i="39"/>
  <c r="A50" i="39"/>
  <c r="B53" i="41"/>
  <c r="A54" i="41"/>
  <c r="B51" i="40"/>
  <c r="A52" i="40"/>
  <c r="H42" i="22"/>
  <c r="P39" i="22"/>
  <c r="Y39" i="22" s="1"/>
  <c r="Y42" i="22" s="1"/>
  <c r="Y43" i="22" s="1"/>
  <c r="G42" i="22"/>
  <c r="I42" i="22"/>
  <c r="Y8" i="22" l="1"/>
  <c r="X9" i="22"/>
  <c r="F13" i="81"/>
  <c r="B54" i="41"/>
  <c r="A55" i="41"/>
  <c r="B52" i="40"/>
  <c r="A53" i="40"/>
  <c r="B50" i="39"/>
  <c r="A51" i="39"/>
  <c r="I43" i="22"/>
  <c r="D6" i="11"/>
  <c r="G43" i="22"/>
  <c r="B6" i="11"/>
  <c r="H43" i="22"/>
  <c r="C6" i="11"/>
  <c r="P42" i="22"/>
  <c r="P43" i="22" s="1"/>
  <c r="Z8" i="22" l="1"/>
  <c r="Z9" i="22" s="1"/>
  <c r="Y9" i="22"/>
  <c r="B53" i="40"/>
  <c r="A54" i="40"/>
  <c r="B51" i="39"/>
  <c r="A52" i="39"/>
  <c r="B55" i="41"/>
  <c r="A56" i="41"/>
  <c r="B13" i="11"/>
  <c r="C11" i="27"/>
  <c r="D13" i="11"/>
  <c r="F11" i="27"/>
  <c r="C13" i="11"/>
  <c r="D11" i="27"/>
  <c r="D12" i="13"/>
  <c r="B37" i="15" s="1"/>
  <c r="M39" i="12"/>
  <c r="V39" i="12" s="1"/>
  <c r="M38" i="12"/>
  <c r="V38" i="12" s="1"/>
  <c r="M37" i="12"/>
  <c r="V37" i="12" s="1"/>
  <c r="M36" i="12"/>
  <c r="V36" i="12" s="1"/>
  <c r="M35" i="12"/>
  <c r="V35" i="12" s="1"/>
  <c r="M34" i="12"/>
  <c r="V34" i="12" s="1"/>
  <c r="M33" i="12"/>
  <c r="V33" i="12" s="1"/>
  <c r="M32" i="12"/>
  <c r="V32" i="12" s="1"/>
  <c r="M31" i="12"/>
  <c r="V31" i="12" s="1"/>
  <c r="M30" i="12"/>
  <c r="V30" i="12" s="1"/>
  <c r="M29" i="12"/>
  <c r="V29" i="12" s="1"/>
  <c r="M28" i="12"/>
  <c r="V28" i="12" s="1"/>
  <c r="M27" i="12"/>
  <c r="V27" i="12" s="1"/>
  <c r="M26" i="12"/>
  <c r="V26" i="12" s="1"/>
  <c r="M25" i="12"/>
  <c r="V25" i="12" s="1"/>
  <c r="M24" i="12"/>
  <c r="V24" i="12" s="1"/>
  <c r="M23" i="12"/>
  <c r="V23" i="12" s="1"/>
  <c r="M22" i="12"/>
  <c r="V22" i="12" s="1"/>
  <c r="M21" i="12"/>
  <c r="V21" i="12" s="1"/>
  <c r="D25" i="27" l="1"/>
  <c r="F25" i="27"/>
  <c r="C25" i="27"/>
  <c r="B56" i="41"/>
  <c r="A57" i="41"/>
  <c r="B52" i="39"/>
  <c r="A53" i="39"/>
  <c r="B54" i="40"/>
  <c r="A55" i="40"/>
  <c r="F13" i="11"/>
  <c r="B53" i="39" l="1"/>
  <c r="A54" i="39"/>
  <c r="B57" i="41"/>
  <c r="A58" i="41"/>
  <c r="B55" i="40"/>
  <c r="A56" i="40"/>
  <c r="K12" i="14"/>
  <c r="N12" i="14" s="1"/>
  <c r="K13" i="14"/>
  <c r="K14" i="14"/>
  <c r="K15" i="14"/>
  <c r="K16" i="14"/>
  <c r="K17" i="14"/>
  <c r="K18" i="14"/>
  <c r="K19" i="14"/>
  <c r="K20" i="14"/>
  <c r="K21" i="14"/>
  <c r="K22" i="14"/>
  <c r="K23" i="14"/>
  <c r="K24" i="14"/>
  <c r="K25" i="14"/>
  <c r="K26" i="14"/>
  <c r="K27" i="14"/>
  <c r="K28" i="14"/>
  <c r="K29" i="14"/>
  <c r="K30" i="14"/>
  <c r="K31" i="14"/>
  <c r="K32" i="14"/>
  <c r="K33" i="14"/>
  <c r="K34" i="14"/>
  <c r="K35" i="14"/>
  <c r="K36" i="14"/>
  <c r="K37" i="14"/>
  <c r="K38" i="14"/>
  <c r="K39" i="14"/>
  <c r="A59" i="41" l="1"/>
  <c r="B58" i="41"/>
  <c r="A55" i="39"/>
  <c r="B54" i="39"/>
  <c r="A57" i="40"/>
  <c r="B56" i="40"/>
  <c r="N20" i="12"/>
  <c r="W20" i="12" s="1"/>
  <c r="B57" i="40" l="1"/>
  <c r="A58" i="40"/>
  <c r="B55" i="39"/>
  <c r="A56" i="39"/>
  <c r="B59" i="41"/>
  <c r="A60" i="41"/>
  <c r="B56" i="39" l="1"/>
  <c r="A57" i="39"/>
  <c r="B60" i="41"/>
  <c r="A61" i="41"/>
  <c r="B58" i="40"/>
  <c r="A59" i="40"/>
  <c r="N20" i="3"/>
  <c r="W20" i="3" s="1"/>
  <c r="M24" i="15"/>
  <c r="K24" i="15"/>
  <c r="B61" i="41" l="1"/>
  <c r="A62" i="41"/>
  <c r="B59" i="40"/>
  <c r="A60" i="40"/>
  <c r="B57" i="39"/>
  <c r="A58" i="39"/>
  <c r="B62" i="41" l="1"/>
  <c r="B64" i="41" s="1"/>
  <c r="D14" i="41" s="1"/>
  <c r="D17" i="41" s="1"/>
  <c r="D19" i="41" s="1"/>
  <c r="B58" i="39"/>
  <c r="A59" i="39"/>
  <c r="B60" i="40"/>
  <c r="A61" i="40"/>
  <c r="AB39" i="14"/>
  <c r="AB38" i="14"/>
  <c r="AB37" i="14"/>
  <c r="AB36" i="14"/>
  <c r="AB35" i="14"/>
  <c r="AB34" i="14"/>
  <c r="AB33" i="14"/>
  <c r="AB32" i="14"/>
  <c r="AB31" i="14"/>
  <c r="AB30" i="14"/>
  <c r="AB29" i="14"/>
  <c r="AB28" i="14"/>
  <c r="AB27" i="14"/>
  <c r="AB26" i="14"/>
  <c r="AB25" i="14"/>
  <c r="AB24" i="14"/>
  <c r="AB23" i="14"/>
  <c r="AB22" i="14"/>
  <c r="AB21" i="14"/>
  <c r="B21" i="14"/>
  <c r="AB20" i="14"/>
  <c r="D42" i="14"/>
  <c r="AB19" i="14"/>
  <c r="AB18" i="14"/>
  <c r="AB17" i="14"/>
  <c r="AB16" i="14"/>
  <c r="AB15" i="14"/>
  <c r="AC13" i="14"/>
  <c r="N13" i="14" s="1"/>
  <c r="B9" i="14"/>
  <c r="C8" i="14"/>
  <c r="C9" i="14" s="1"/>
  <c r="N39" i="12"/>
  <c r="W39" i="12" s="1"/>
  <c r="N38" i="12"/>
  <c r="W38" i="12" s="1"/>
  <c r="N37" i="12"/>
  <c r="W37" i="12" s="1"/>
  <c r="N36" i="12"/>
  <c r="W36" i="12" s="1"/>
  <c r="N35" i="12"/>
  <c r="W35" i="12" s="1"/>
  <c r="N34" i="12"/>
  <c r="W34" i="12" s="1"/>
  <c r="N33" i="12"/>
  <c r="W33" i="12" s="1"/>
  <c r="N32" i="12"/>
  <c r="W32" i="12" s="1"/>
  <c r="N31" i="12"/>
  <c r="W31" i="12" s="1"/>
  <c r="N30" i="12"/>
  <c r="W30" i="12" s="1"/>
  <c r="N29" i="12"/>
  <c r="W29" i="12" s="1"/>
  <c r="N28" i="12"/>
  <c r="W28" i="12" s="1"/>
  <c r="N27" i="12"/>
  <c r="W27" i="12" s="1"/>
  <c r="N26" i="12"/>
  <c r="W26" i="12" s="1"/>
  <c r="N25" i="12"/>
  <c r="W25" i="12" s="1"/>
  <c r="N24" i="12"/>
  <c r="W24" i="12" s="1"/>
  <c r="N23" i="12"/>
  <c r="W23" i="12" s="1"/>
  <c r="N22" i="12"/>
  <c r="W22" i="12" s="1"/>
  <c r="N21" i="12"/>
  <c r="W21" i="12" s="1"/>
  <c r="M20" i="12"/>
  <c r="V20" i="12" s="1"/>
  <c r="V42" i="12" s="1"/>
  <c r="D10" i="33" l="1"/>
  <c r="C5" i="1"/>
  <c r="B22" i="14"/>
  <c r="AA22" i="14" s="1"/>
  <c r="AA21" i="14"/>
  <c r="W42" i="12"/>
  <c r="B14" i="4"/>
  <c r="B9" i="38"/>
  <c r="B61" i="40"/>
  <c r="A62" i="40"/>
  <c r="B59" i="39"/>
  <c r="A60" i="39"/>
  <c r="O20" i="12"/>
  <c r="X20" i="12" s="1"/>
  <c r="O27" i="12"/>
  <c r="X27" i="12" s="1"/>
  <c r="AC14" i="14"/>
  <c r="N14" i="14" s="1"/>
  <c r="D8" i="14"/>
  <c r="D9" i="14" s="1"/>
  <c r="C42" i="14"/>
  <c r="J22" i="14"/>
  <c r="J26" i="14"/>
  <c r="J28" i="14"/>
  <c r="J34" i="14"/>
  <c r="J36" i="14"/>
  <c r="J21" i="14"/>
  <c r="J27" i="14"/>
  <c r="J35" i="14"/>
  <c r="J20" i="14"/>
  <c r="F42" i="14"/>
  <c r="J31" i="14"/>
  <c r="J37" i="14"/>
  <c r="J24" i="14"/>
  <c r="J30" i="14"/>
  <c r="J32" i="14"/>
  <c r="J38" i="14"/>
  <c r="J23" i="14"/>
  <c r="J25" i="14"/>
  <c r="J29" i="14"/>
  <c r="J33" i="14"/>
  <c r="J39" i="14"/>
  <c r="B23" i="14"/>
  <c r="AA23" i="14" s="1"/>
  <c r="E42" i="14"/>
  <c r="B15" i="4" l="1"/>
  <c r="M39" i="3" s="1"/>
  <c r="F10" i="33"/>
  <c r="D5" i="1"/>
  <c r="H10" i="33"/>
  <c r="F5" i="1"/>
  <c r="C12" i="1" s="1"/>
  <c r="C10" i="33"/>
  <c r="B5" i="1"/>
  <c r="B62" i="40"/>
  <c r="B64" i="40" s="1"/>
  <c r="D14" i="40" s="1"/>
  <c r="D17" i="40" s="1"/>
  <c r="D19" i="40" s="1"/>
  <c r="B8" i="38" s="1"/>
  <c r="M37" i="3"/>
  <c r="V37" i="3" s="1"/>
  <c r="M38" i="3"/>
  <c r="V38" i="3" s="1"/>
  <c r="M22" i="3"/>
  <c r="M20" i="3"/>
  <c r="M29" i="3"/>
  <c r="M28" i="3"/>
  <c r="M30" i="3"/>
  <c r="M32" i="3"/>
  <c r="M23" i="3"/>
  <c r="M33" i="3"/>
  <c r="M35" i="3"/>
  <c r="M21" i="3"/>
  <c r="M24" i="3"/>
  <c r="V24" i="3" s="1"/>
  <c r="M27" i="3"/>
  <c r="M36" i="3"/>
  <c r="M26" i="3"/>
  <c r="M31" i="3"/>
  <c r="M34" i="3"/>
  <c r="M25" i="3"/>
  <c r="A61" i="39"/>
  <c r="B60" i="39"/>
  <c r="B38" i="15"/>
  <c r="AC15" i="14"/>
  <c r="N15" i="14" s="1"/>
  <c r="E8" i="14"/>
  <c r="F8" i="14" s="1"/>
  <c r="C43" i="14"/>
  <c r="E43" i="14"/>
  <c r="D43" i="14"/>
  <c r="J42" i="14"/>
  <c r="F5" i="81" s="1"/>
  <c r="B24" i="14"/>
  <c r="AA24" i="14" s="1"/>
  <c r="V39" i="3" l="1"/>
  <c r="M39" i="22"/>
  <c r="V39" i="22" s="1"/>
  <c r="M24" i="22"/>
  <c r="V24" i="22" s="1"/>
  <c r="M38" i="22"/>
  <c r="V38" i="22" s="1"/>
  <c r="M37" i="22"/>
  <c r="V37" i="22" s="1"/>
  <c r="B12" i="1"/>
  <c r="D12" i="1"/>
  <c r="E112" i="37"/>
  <c r="F112" i="37" s="1"/>
  <c r="U112" i="37" s="1"/>
  <c r="E113" i="37"/>
  <c r="F113" i="37" s="1"/>
  <c r="T113" i="37" s="1"/>
  <c r="E121" i="37"/>
  <c r="F121" i="37" s="1"/>
  <c r="Q121" i="37" s="1"/>
  <c r="E115" i="37"/>
  <c r="F115" i="37" s="1"/>
  <c r="K115" i="37" s="1"/>
  <c r="E124" i="37"/>
  <c r="F124" i="37" s="1"/>
  <c r="G124" i="37" s="1"/>
  <c r="E118" i="37"/>
  <c r="F118" i="37" s="1"/>
  <c r="K118" i="37" s="1"/>
  <c r="M35" i="22"/>
  <c r="V35" i="22" s="1"/>
  <c r="V35" i="3"/>
  <c r="M29" i="22"/>
  <c r="V29" i="22" s="1"/>
  <c r="V29" i="3"/>
  <c r="M20" i="22"/>
  <c r="V20" i="3"/>
  <c r="M33" i="22"/>
  <c r="V33" i="22" s="1"/>
  <c r="V33" i="3"/>
  <c r="M32" i="22"/>
  <c r="V32" i="22" s="1"/>
  <c r="V32" i="3"/>
  <c r="M22" i="22"/>
  <c r="V22" i="22" s="1"/>
  <c r="V22" i="3"/>
  <c r="M34" i="22"/>
  <c r="V34" i="22" s="1"/>
  <c r="V34" i="3"/>
  <c r="M23" i="22"/>
  <c r="V23" i="22" s="1"/>
  <c r="V23" i="3"/>
  <c r="M30" i="22"/>
  <c r="V30" i="22" s="1"/>
  <c r="V30" i="3"/>
  <c r="M31" i="22"/>
  <c r="V31" i="22" s="1"/>
  <c r="V31" i="3"/>
  <c r="M36" i="22"/>
  <c r="V36" i="22" s="1"/>
  <c r="V36" i="3"/>
  <c r="M25" i="22"/>
  <c r="V25" i="22" s="1"/>
  <c r="V25" i="3"/>
  <c r="M28" i="22"/>
  <c r="V28" i="22" s="1"/>
  <c r="V28" i="3"/>
  <c r="M26" i="22"/>
  <c r="V26" i="22" s="1"/>
  <c r="V26" i="3"/>
  <c r="M27" i="22"/>
  <c r="V27" i="22" s="1"/>
  <c r="V27" i="3"/>
  <c r="M21" i="22"/>
  <c r="V21" i="22" s="1"/>
  <c r="V21" i="3"/>
  <c r="E116" i="37"/>
  <c r="F116" i="37" s="1"/>
  <c r="Y116" i="37" s="1"/>
  <c r="E117" i="37"/>
  <c r="F117" i="37" s="1"/>
  <c r="X117" i="37" s="1"/>
  <c r="E120" i="37"/>
  <c r="F120" i="37" s="1"/>
  <c r="N120" i="37" s="1"/>
  <c r="E125" i="37"/>
  <c r="F125" i="37" s="1"/>
  <c r="I125" i="37" s="1"/>
  <c r="E119" i="37"/>
  <c r="F119" i="37" s="1"/>
  <c r="K119" i="37" s="1"/>
  <c r="E122" i="37"/>
  <c r="F122" i="37" s="1"/>
  <c r="T122" i="37" s="1"/>
  <c r="E114" i="37"/>
  <c r="F114" i="37" s="1"/>
  <c r="U114" i="37" s="1"/>
  <c r="E123" i="37"/>
  <c r="F123" i="37" s="1"/>
  <c r="U123" i="37" s="1"/>
  <c r="E9" i="14"/>
  <c r="L115" i="37"/>
  <c r="X115" i="37"/>
  <c r="N115" i="37"/>
  <c r="Z115" i="37"/>
  <c r="O115" i="37"/>
  <c r="M115" i="37"/>
  <c r="I112" i="37"/>
  <c r="K112" i="37"/>
  <c r="B61" i="39"/>
  <c r="A62" i="39"/>
  <c r="AC16" i="14"/>
  <c r="N16" i="14" s="1"/>
  <c r="F5" i="11"/>
  <c r="F9" i="14"/>
  <c r="G8" i="14"/>
  <c r="B25" i="14"/>
  <c r="AA25" i="14" s="1"/>
  <c r="R124" i="37" l="1"/>
  <c r="V112" i="37"/>
  <c r="Q115" i="37"/>
  <c r="X124" i="37"/>
  <c r="W115" i="37"/>
  <c r="S115" i="37"/>
  <c r="J112" i="37"/>
  <c r="H119" i="37"/>
  <c r="G118" i="37"/>
  <c r="T112" i="37"/>
  <c r="P113" i="37"/>
  <c r="S112" i="37"/>
  <c r="O113" i="37"/>
  <c r="G112" i="37"/>
  <c r="J113" i="37"/>
  <c r="S113" i="37"/>
  <c r="H112" i="37"/>
  <c r="R112" i="37"/>
  <c r="Q112" i="37"/>
  <c r="V113" i="37"/>
  <c r="Q113" i="37"/>
  <c r="Y113" i="37"/>
  <c r="Y112" i="37"/>
  <c r="N112" i="37"/>
  <c r="M113" i="37"/>
  <c r="X113" i="37"/>
  <c r="M112" i="37"/>
  <c r="H113" i="37"/>
  <c r="P121" i="37"/>
  <c r="R113" i="37"/>
  <c r="O121" i="37"/>
  <c r="K121" i="37"/>
  <c r="M121" i="37"/>
  <c r="X112" i="37"/>
  <c r="P112" i="37"/>
  <c r="V115" i="37"/>
  <c r="W113" i="37"/>
  <c r="N113" i="37"/>
  <c r="Z121" i="37"/>
  <c r="V121" i="37"/>
  <c r="X121" i="37"/>
  <c r="L112" i="37"/>
  <c r="O112" i="37"/>
  <c r="J115" i="37"/>
  <c r="K113" i="37"/>
  <c r="J121" i="37"/>
  <c r="L121" i="37"/>
  <c r="W112" i="37"/>
  <c r="Z112" i="37"/>
  <c r="T115" i="37"/>
  <c r="U113" i="37"/>
  <c r="N121" i="37"/>
  <c r="I113" i="37"/>
  <c r="T121" i="37"/>
  <c r="Y121" i="37"/>
  <c r="L113" i="37"/>
  <c r="Z113" i="37"/>
  <c r="U121" i="37"/>
  <c r="S121" i="37"/>
  <c r="V118" i="37"/>
  <c r="P115" i="37"/>
  <c r="R115" i="37"/>
  <c r="W121" i="37"/>
  <c r="R121" i="37"/>
  <c r="P118" i="37"/>
  <c r="U118" i="37"/>
  <c r="W124" i="37"/>
  <c r="O118" i="37"/>
  <c r="I118" i="37"/>
  <c r="K124" i="37"/>
  <c r="Z118" i="37"/>
  <c r="V124" i="37"/>
  <c r="N118" i="37"/>
  <c r="Z124" i="37"/>
  <c r="J124" i="37"/>
  <c r="Y118" i="37"/>
  <c r="Q124" i="37"/>
  <c r="U124" i="37"/>
  <c r="M118" i="37"/>
  <c r="N124" i="37"/>
  <c r="I124" i="37"/>
  <c r="J118" i="37"/>
  <c r="T118" i="37"/>
  <c r="X118" i="37"/>
  <c r="P124" i="37"/>
  <c r="T124" i="37"/>
  <c r="R118" i="37"/>
  <c r="L124" i="37"/>
  <c r="Q118" i="37"/>
  <c r="L118" i="37"/>
  <c r="O124" i="37"/>
  <c r="H124" i="37"/>
  <c r="W120" i="37"/>
  <c r="H118" i="37"/>
  <c r="W118" i="37"/>
  <c r="Y124" i="37"/>
  <c r="S124" i="37"/>
  <c r="S118" i="37"/>
  <c r="M124" i="37"/>
  <c r="F12" i="1"/>
  <c r="G125" i="37"/>
  <c r="G131" i="37" s="1"/>
  <c r="Y125" i="37"/>
  <c r="Z125" i="37"/>
  <c r="K125" i="37"/>
  <c r="J125" i="37"/>
  <c r="W125" i="37"/>
  <c r="H125" i="37"/>
  <c r="Z119" i="37"/>
  <c r="U120" i="37"/>
  <c r="R120" i="37"/>
  <c r="O120" i="37"/>
  <c r="Y120" i="37"/>
  <c r="U117" i="37"/>
  <c r="M119" i="37"/>
  <c r="X120" i="37"/>
  <c r="Y115" i="37"/>
  <c r="U115" i="37"/>
  <c r="Y122" i="37"/>
  <c r="S117" i="37"/>
  <c r="V119" i="37"/>
  <c r="L120" i="37"/>
  <c r="V117" i="37"/>
  <c r="R117" i="37"/>
  <c r="Q117" i="37"/>
  <c r="J120" i="37"/>
  <c r="O117" i="37"/>
  <c r="N125" i="37"/>
  <c r="W117" i="37"/>
  <c r="Z117" i="37"/>
  <c r="Y117" i="37"/>
  <c r="M117" i="37"/>
  <c r="L117" i="37"/>
  <c r="S125" i="37"/>
  <c r="I120" i="37"/>
  <c r="Z114" i="37"/>
  <c r="T125" i="37"/>
  <c r="V120" i="37"/>
  <c r="I114" i="37"/>
  <c r="K20" i="22"/>
  <c r="V20" i="22"/>
  <c r="V42" i="22" s="1"/>
  <c r="M125" i="37"/>
  <c r="R125" i="37"/>
  <c r="S120" i="37"/>
  <c r="O125" i="37"/>
  <c r="Q120" i="37"/>
  <c r="X125" i="37"/>
  <c r="M120" i="37"/>
  <c r="P117" i="37"/>
  <c r="N119" i="37"/>
  <c r="L125" i="37"/>
  <c r="Q125" i="37"/>
  <c r="T120" i="37"/>
  <c r="K120" i="37"/>
  <c r="Q122" i="37"/>
  <c r="N117" i="37"/>
  <c r="J119" i="37"/>
  <c r="V125" i="37"/>
  <c r="P120" i="37"/>
  <c r="I119" i="37"/>
  <c r="U125" i="37"/>
  <c r="Z120" i="37"/>
  <c r="T117" i="37"/>
  <c r="P125" i="37"/>
  <c r="Q119" i="37"/>
  <c r="X116" i="37"/>
  <c r="P122" i="37"/>
  <c r="L116" i="37"/>
  <c r="W116" i="37"/>
  <c r="S116" i="37"/>
  <c r="K116" i="37"/>
  <c r="P116" i="37"/>
  <c r="V116" i="37"/>
  <c r="B62" i="39"/>
  <c r="B64" i="39" s="1"/>
  <c r="D14" i="39" s="1"/>
  <c r="D17" i="39" s="1"/>
  <c r="D19" i="39" s="1"/>
  <c r="R116" i="37"/>
  <c r="U116" i="37"/>
  <c r="N122" i="37"/>
  <c r="Q116" i="37"/>
  <c r="T116" i="37"/>
  <c r="M116" i="37"/>
  <c r="O116" i="37"/>
  <c r="M122" i="37"/>
  <c r="Z116" i="37"/>
  <c r="X122" i="37"/>
  <c r="N116" i="37"/>
  <c r="S122" i="37"/>
  <c r="R122" i="37"/>
  <c r="V42" i="3"/>
  <c r="T123" i="37"/>
  <c r="T119" i="37"/>
  <c r="Y119" i="37"/>
  <c r="U119" i="37"/>
  <c r="M123" i="37"/>
  <c r="M114" i="37"/>
  <c r="S114" i="37"/>
  <c r="T114" i="37"/>
  <c r="R123" i="37"/>
  <c r="S119" i="37"/>
  <c r="X119" i="37"/>
  <c r="O123" i="37"/>
  <c r="L123" i="37"/>
  <c r="L122" i="37"/>
  <c r="O122" i="37"/>
  <c r="L114" i="37"/>
  <c r="Q114" i="37"/>
  <c r="Y123" i="37"/>
  <c r="Y114" i="37"/>
  <c r="X123" i="37"/>
  <c r="X114" i="37"/>
  <c r="L119" i="37"/>
  <c r="Q123" i="37"/>
  <c r="W123" i="37"/>
  <c r="K122" i="37"/>
  <c r="V122" i="37"/>
  <c r="W114" i="37"/>
  <c r="V114" i="37"/>
  <c r="P114" i="37"/>
  <c r="N123" i="37"/>
  <c r="S123" i="37"/>
  <c r="R114" i="37"/>
  <c r="R119" i="37"/>
  <c r="P119" i="37"/>
  <c r="W119" i="37"/>
  <c r="P123" i="37"/>
  <c r="V123" i="37"/>
  <c r="Z122" i="37"/>
  <c r="U122" i="37"/>
  <c r="N114" i="37"/>
  <c r="J114" i="37"/>
  <c r="O114" i="37"/>
  <c r="O119" i="37"/>
  <c r="Z123" i="37"/>
  <c r="W122" i="37"/>
  <c r="K114" i="37"/>
  <c r="AC17" i="14"/>
  <c r="N17" i="14" s="1"/>
  <c r="B26" i="14"/>
  <c r="AA26" i="14" s="1"/>
  <c r="H8" i="14"/>
  <c r="G9" i="14"/>
  <c r="H131" i="37" l="1"/>
  <c r="Y131" i="37"/>
  <c r="J131" i="37"/>
  <c r="S131" i="37"/>
  <c r="M131" i="37"/>
  <c r="J5" i="75" s="1"/>
  <c r="N26" i="73" s="1"/>
  <c r="Z131" i="37"/>
  <c r="I131" i="37"/>
  <c r="V131" i="37"/>
  <c r="U131" i="37"/>
  <c r="R5" i="75" s="1"/>
  <c r="N34" i="73" s="1"/>
  <c r="W131" i="37"/>
  <c r="Q131" i="37"/>
  <c r="K131" i="37"/>
  <c r="X131" i="37"/>
  <c r="R131" i="37"/>
  <c r="T131" i="37"/>
  <c r="P131" i="37"/>
  <c r="N131" i="37"/>
  <c r="L131" i="37"/>
  <c r="O131" i="37"/>
  <c r="G5" i="75"/>
  <c r="N23" i="73" s="1"/>
  <c r="S5" i="75"/>
  <c r="N35" i="73" s="1"/>
  <c r="F5" i="75"/>
  <c r="N22" i="73" s="1"/>
  <c r="E5" i="75"/>
  <c r="N21" i="73" s="1"/>
  <c r="P5" i="75"/>
  <c r="N32" i="73" s="1"/>
  <c r="D5" i="75"/>
  <c r="N20" i="73" s="1"/>
  <c r="L5" i="75"/>
  <c r="N28" i="73" s="1"/>
  <c r="V5" i="75"/>
  <c r="N38" i="73" s="1"/>
  <c r="AC18" i="14"/>
  <c r="N18" i="14" s="1"/>
  <c r="B27" i="14"/>
  <c r="AA27" i="14" s="1"/>
  <c r="I8" i="14"/>
  <c r="J8" i="14" s="1"/>
  <c r="H9" i="14"/>
  <c r="W5" i="75" l="1"/>
  <c r="N39" i="73" s="1"/>
  <c r="I5" i="75"/>
  <c r="N25" i="73" s="1"/>
  <c r="O25" i="73" s="1"/>
  <c r="Q25" i="73" s="1"/>
  <c r="N5" i="75"/>
  <c r="N30" i="73" s="1"/>
  <c r="L30" i="73" s="1"/>
  <c r="T5" i="75"/>
  <c r="N36" i="73" s="1"/>
  <c r="O36" i="73" s="1"/>
  <c r="Q36" i="73" s="1"/>
  <c r="H5" i="75"/>
  <c r="N24" i="73" s="1"/>
  <c r="L24" i="73" s="1"/>
  <c r="O5" i="75"/>
  <c r="N31" i="73" s="1"/>
  <c r="L31" i="73" s="1"/>
  <c r="Q5" i="75"/>
  <c r="N33" i="73" s="1"/>
  <c r="O33" i="73" s="1"/>
  <c r="Q33" i="73" s="1"/>
  <c r="K5" i="75"/>
  <c r="N27" i="73" s="1"/>
  <c r="L27" i="73" s="1"/>
  <c r="U5" i="75"/>
  <c r="N37" i="73" s="1"/>
  <c r="L37" i="73" s="1"/>
  <c r="M5" i="75"/>
  <c r="N29" i="73" s="1"/>
  <c r="L29" i="73" s="1"/>
  <c r="L20" i="73"/>
  <c r="O20" i="73"/>
  <c r="Q20" i="73" s="1"/>
  <c r="L22" i="73"/>
  <c r="O22" i="73"/>
  <c r="Q22" i="73" s="1"/>
  <c r="L21" i="73"/>
  <c r="O21" i="73"/>
  <c r="Q21" i="73" s="1"/>
  <c r="L26" i="73"/>
  <c r="O26" i="73"/>
  <c r="Q26" i="73" s="1"/>
  <c r="L35" i="73"/>
  <c r="O35" i="73"/>
  <c r="Q35" i="73" s="1"/>
  <c r="O32" i="73"/>
  <c r="Q32" i="73" s="1"/>
  <c r="L32" i="73"/>
  <c r="L39" i="73"/>
  <c r="O39" i="73"/>
  <c r="Q39" i="73" s="1"/>
  <c r="O23" i="73"/>
  <c r="Q23" i="73" s="1"/>
  <c r="L23" i="73"/>
  <c r="L28" i="73"/>
  <c r="O28" i="73"/>
  <c r="Q28" i="73" s="1"/>
  <c r="L38" i="73"/>
  <c r="O38" i="73"/>
  <c r="Q38" i="73" s="1"/>
  <c r="L36" i="73"/>
  <c r="L34" i="73"/>
  <c r="O34" i="73"/>
  <c r="Q34" i="73" s="1"/>
  <c r="K8" i="14"/>
  <c r="L8" i="14" s="1"/>
  <c r="J9" i="14"/>
  <c r="AC19" i="14"/>
  <c r="N19" i="14" s="1"/>
  <c r="I9" i="14"/>
  <c r="B28" i="14"/>
  <c r="AA28" i="14" s="1"/>
  <c r="O24" i="73" l="1"/>
  <c r="Q24" i="73" s="1"/>
  <c r="O30" i="73"/>
  <c r="L25" i="73"/>
  <c r="L33" i="73"/>
  <c r="O31" i="73"/>
  <c r="Q31" i="73" s="1"/>
  <c r="O27" i="73"/>
  <c r="Q27" i="73" s="1"/>
  <c r="O37" i="73"/>
  <c r="Q37" i="73" s="1"/>
  <c r="O29" i="73"/>
  <c r="Q29" i="73" s="1"/>
  <c r="N43" i="73"/>
  <c r="N44" i="73" s="1"/>
  <c r="L9" i="14"/>
  <c r="M8" i="14"/>
  <c r="N8" i="14" s="1"/>
  <c r="Q30" i="73"/>
  <c r="AC20" i="14"/>
  <c r="K9" i="14"/>
  <c r="B29" i="14"/>
  <c r="AA29" i="14" s="1"/>
  <c r="L43" i="73" l="1"/>
  <c r="L44" i="73" s="1"/>
  <c r="O43" i="73"/>
  <c r="Q43" i="73"/>
  <c r="N20" i="14"/>
  <c r="D14" i="13"/>
  <c r="O8" i="14"/>
  <c r="P8" i="14" s="1"/>
  <c r="Q8" i="14" s="1"/>
  <c r="N9" i="14"/>
  <c r="O9" i="14"/>
  <c r="M9" i="14"/>
  <c r="I20" i="14"/>
  <c r="U20" i="14" s="1"/>
  <c r="G20" i="14"/>
  <c r="S20" i="14" s="1"/>
  <c r="H20" i="14"/>
  <c r="T20" i="14" s="1"/>
  <c r="AC21" i="14"/>
  <c r="B30" i="14"/>
  <c r="AA30" i="14" s="1"/>
  <c r="O44" i="73" l="1"/>
  <c r="B8" i="71"/>
  <c r="B9" i="71"/>
  <c r="B23" i="71" s="1"/>
  <c r="N21" i="14"/>
  <c r="E14" i="13"/>
  <c r="D15" i="13"/>
  <c r="D16" i="13"/>
  <c r="G21" i="14"/>
  <c r="S21" i="14" s="1"/>
  <c r="H21" i="14"/>
  <c r="T21" i="14" s="1"/>
  <c r="AC22" i="14"/>
  <c r="I21" i="14"/>
  <c r="U21" i="14" s="1"/>
  <c r="Q20" i="14"/>
  <c r="Y20" i="14" s="1"/>
  <c r="B31" i="14"/>
  <c r="AA31" i="14" s="1"/>
  <c r="E8" i="71" l="1"/>
  <c r="G8" i="71" s="1"/>
  <c r="E23" i="71"/>
  <c r="G23" i="71" s="1"/>
  <c r="B22" i="71"/>
  <c r="E9" i="71"/>
  <c r="N22" i="14"/>
  <c r="F14" i="13"/>
  <c r="E16" i="13"/>
  <c r="E15" i="13"/>
  <c r="AC23" i="14"/>
  <c r="H22" i="14"/>
  <c r="T22" i="14" s="1"/>
  <c r="G22" i="14"/>
  <c r="S22" i="14" s="1"/>
  <c r="I22" i="14"/>
  <c r="U22" i="14" s="1"/>
  <c r="Q21" i="14"/>
  <c r="Y21" i="14" s="1"/>
  <c r="B32" i="14"/>
  <c r="AA32" i="14" s="1"/>
  <c r="P9" i="14"/>
  <c r="E22" i="71" l="1"/>
  <c r="G22" i="71" s="1"/>
  <c r="G9" i="71"/>
  <c r="N23" i="14"/>
  <c r="G14" i="13"/>
  <c r="F16" i="13"/>
  <c r="F15" i="13"/>
  <c r="G23" i="14"/>
  <c r="S23" i="14" s="1"/>
  <c r="I23" i="14"/>
  <c r="U23" i="14" s="1"/>
  <c r="H23" i="14"/>
  <c r="T23" i="14" s="1"/>
  <c r="AC24" i="14"/>
  <c r="Q22" i="14"/>
  <c r="Y22" i="14" s="1"/>
  <c r="R8" i="14"/>
  <c r="S8" i="14" s="1"/>
  <c r="Q9" i="14"/>
  <c r="B33" i="14"/>
  <c r="AA33" i="14" s="1"/>
  <c r="T8" i="14" l="1"/>
  <c r="S9" i="14"/>
  <c r="N24" i="14"/>
  <c r="H14" i="13"/>
  <c r="G16" i="13"/>
  <c r="G15" i="13"/>
  <c r="Q23" i="14"/>
  <c r="Y23" i="14" s="1"/>
  <c r="H24" i="14"/>
  <c r="T24" i="14" s="1"/>
  <c r="AC25" i="14"/>
  <c r="I24" i="14"/>
  <c r="U24" i="14" s="1"/>
  <c r="G24" i="14"/>
  <c r="S24" i="14" s="1"/>
  <c r="B34" i="14"/>
  <c r="AA34" i="14" s="1"/>
  <c r="R9" i="14"/>
  <c r="T9" i="14" l="1"/>
  <c r="U8" i="14"/>
  <c r="H16" i="13"/>
  <c r="H15" i="13"/>
  <c r="N25" i="14"/>
  <c r="I14" i="13"/>
  <c r="AC26" i="14"/>
  <c r="H25" i="14"/>
  <c r="T25" i="14" s="1"/>
  <c r="G25" i="14"/>
  <c r="S25" i="14" s="1"/>
  <c r="I25" i="14"/>
  <c r="U25" i="14" s="1"/>
  <c r="Q24" i="14"/>
  <c r="Y24" i="14" s="1"/>
  <c r="B35" i="14"/>
  <c r="AA35" i="14" s="1"/>
  <c r="U9" i="14" l="1"/>
  <c r="V8" i="14"/>
  <c r="I15" i="13"/>
  <c r="I16" i="13"/>
  <c r="N26" i="14"/>
  <c r="J14" i="13"/>
  <c r="H26" i="14"/>
  <c r="T26" i="14" s="1"/>
  <c r="AC27" i="14"/>
  <c r="G26" i="14"/>
  <c r="S26" i="14" s="1"/>
  <c r="I26" i="14"/>
  <c r="U26" i="14" s="1"/>
  <c r="Q25" i="14"/>
  <c r="Y25" i="14" s="1"/>
  <c r="B36" i="14"/>
  <c r="AA36" i="14" s="1"/>
  <c r="V9" i="14" l="1"/>
  <c r="W8" i="14"/>
  <c r="N27" i="14"/>
  <c r="K14" i="13"/>
  <c r="J15" i="13"/>
  <c r="J16" i="13"/>
  <c r="AC28" i="14"/>
  <c r="H27" i="14"/>
  <c r="T27" i="14" s="1"/>
  <c r="G27" i="14"/>
  <c r="S27" i="14" s="1"/>
  <c r="I27" i="14"/>
  <c r="U27" i="14" s="1"/>
  <c r="Q26" i="14"/>
  <c r="Y26" i="14" s="1"/>
  <c r="B37" i="14"/>
  <c r="AA37" i="14" s="1"/>
  <c r="X8" i="14" l="1"/>
  <c r="W9" i="14"/>
  <c r="N28" i="14"/>
  <c r="L14" i="13"/>
  <c r="K15" i="13"/>
  <c r="K16" i="13"/>
  <c r="Q27" i="14"/>
  <c r="Y27" i="14" s="1"/>
  <c r="AC29" i="14"/>
  <c r="I28" i="14"/>
  <c r="U28" i="14" s="1"/>
  <c r="G28" i="14"/>
  <c r="S28" i="14" s="1"/>
  <c r="H28" i="14"/>
  <c r="T28" i="14" s="1"/>
  <c r="B38" i="14"/>
  <c r="AA38" i="14" s="1"/>
  <c r="Y8" i="14" l="1"/>
  <c r="X9" i="14"/>
  <c r="N29" i="14"/>
  <c r="M14" i="13"/>
  <c r="L15" i="13"/>
  <c r="L16" i="13"/>
  <c r="G29" i="14"/>
  <c r="S29" i="14" s="1"/>
  <c r="AC30" i="14"/>
  <c r="I29" i="14"/>
  <c r="U29" i="14" s="1"/>
  <c r="H29" i="14"/>
  <c r="T29" i="14" s="1"/>
  <c r="Q28" i="14"/>
  <c r="Y28" i="14" s="1"/>
  <c r="B39" i="14"/>
  <c r="AA39" i="14" s="1"/>
  <c r="Y9" i="14" l="1"/>
  <c r="Z8" i="14"/>
  <c r="Z9" i="14" s="1"/>
  <c r="N30" i="14"/>
  <c r="N14" i="13"/>
  <c r="M16" i="13"/>
  <c r="M15" i="13"/>
  <c r="G30" i="14"/>
  <c r="S30" i="14" s="1"/>
  <c r="AC31" i="14"/>
  <c r="I30" i="14"/>
  <c r="U30" i="14" s="1"/>
  <c r="H30" i="14"/>
  <c r="T30" i="14" s="1"/>
  <c r="Q29" i="14"/>
  <c r="Y29" i="14" s="1"/>
  <c r="N31" i="14" l="1"/>
  <c r="O14" i="13"/>
  <c r="N16" i="13"/>
  <c r="N15" i="13"/>
  <c r="Q30" i="14"/>
  <c r="Y30" i="14" s="1"/>
  <c r="AC32" i="14"/>
  <c r="H31" i="14"/>
  <c r="T31" i="14" s="1"/>
  <c r="G31" i="14"/>
  <c r="S31" i="14" s="1"/>
  <c r="I31" i="14"/>
  <c r="U31" i="14" s="1"/>
  <c r="N32" i="14" l="1"/>
  <c r="P14" i="13"/>
  <c r="O15" i="13"/>
  <c r="O16" i="13"/>
  <c r="Q31" i="14"/>
  <c r="Y31" i="14" s="1"/>
  <c r="AC33" i="14"/>
  <c r="I32" i="14"/>
  <c r="U32" i="14" s="1"/>
  <c r="H32" i="14"/>
  <c r="T32" i="14" s="1"/>
  <c r="G32" i="14"/>
  <c r="S32" i="14" s="1"/>
  <c r="N33" i="14" l="1"/>
  <c r="Q14" i="13"/>
  <c r="P15" i="13"/>
  <c r="P16" i="13"/>
  <c r="H33" i="14"/>
  <c r="T33" i="14" s="1"/>
  <c r="G33" i="14"/>
  <c r="S33" i="14" s="1"/>
  <c r="I33" i="14"/>
  <c r="U33" i="14" s="1"/>
  <c r="AC34" i="14"/>
  <c r="Q32" i="14"/>
  <c r="Y32" i="14" s="1"/>
  <c r="N34" i="14" l="1"/>
  <c r="R14" i="13"/>
  <c r="Q16" i="13"/>
  <c r="Q15" i="13"/>
  <c r="Q33" i="14"/>
  <c r="Y33" i="14" s="1"/>
  <c r="H34" i="14"/>
  <c r="T34" i="14" s="1"/>
  <c r="G34" i="14"/>
  <c r="S34" i="14" s="1"/>
  <c r="I34" i="14"/>
  <c r="U34" i="14" s="1"/>
  <c r="AC35" i="14"/>
  <c r="N35" i="14" l="1"/>
  <c r="S14" i="13"/>
  <c r="R15" i="13"/>
  <c r="R16" i="13"/>
  <c r="H35" i="14"/>
  <c r="T35" i="14" s="1"/>
  <c r="G35" i="14"/>
  <c r="S35" i="14" s="1"/>
  <c r="I35" i="14"/>
  <c r="U35" i="14" s="1"/>
  <c r="AC36" i="14"/>
  <c r="Q34" i="14"/>
  <c r="Y34" i="14" s="1"/>
  <c r="N36" i="14" l="1"/>
  <c r="T14" i="13"/>
  <c r="S16" i="13"/>
  <c r="S15" i="13"/>
  <c r="H36" i="14"/>
  <c r="T36" i="14" s="1"/>
  <c r="AC37" i="14"/>
  <c r="G36" i="14"/>
  <c r="S36" i="14" s="1"/>
  <c r="I36" i="14"/>
  <c r="U36" i="14" s="1"/>
  <c r="Q35" i="14"/>
  <c r="Y35" i="14" s="1"/>
  <c r="AB39" i="12"/>
  <c r="AB38" i="12"/>
  <c r="AB37" i="12"/>
  <c r="AB36" i="12"/>
  <c r="AB35" i="12"/>
  <c r="AB34" i="12"/>
  <c r="AB33" i="12"/>
  <c r="AB32" i="12"/>
  <c r="AB31" i="12"/>
  <c r="AB30" i="12"/>
  <c r="AB29" i="12"/>
  <c r="AB28" i="12"/>
  <c r="AB27" i="12"/>
  <c r="AB26" i="12"/>
  <c r="AB25" i="12"/>
  <c r="AB24" i="12"/>
  <c r="AB23" i="12"/>
  <c r="AB22" i="12"/>
  <c r="AB21" i="12"/>
  <c r="B21" i="12"/>
  <c r="B22" i="12" s="1"/>
  <c r="AB20" i="12"/>
  <c r="N42" i="12"/>
  <c r="D42" i="12"/>
  <c r="D9" i="33" s="1"/>
  <c r="AB19" i="12"/>
  <c r="AB18" i="12"/>
  <c r="AB17" i="12"/>
  <c r="AB16" i="12"/>
  <c r="AB15" i="12"/>
  <c r="AC13" i="12"/>
  <c r="AC14" i="12" s="1"/>
  <c r="AC15" i="12" s="1"/>
  <c r="B9" i="12"/>
  <c r="C8" i="12"/>
  <c r="D8" i="12" s="1"/>
  <c r="C4" i="1" l="1"/>
  <c r="AC16" i="12"/>
  <c r="AC17" i="12" s="1"/>
  <c r="AC18" i="12" s="1"/>
  <c r="AC19" i="12" s="1"/>
  <c r="AC20" i="12" s="1"/>
  <c r="AC21" i="12" s="1"/>
  <c r="L21" i="12" s="1"/>
  <c r="N37" i="14"/>
  <c r="U14" i="13"/>
  <c r="T16" i="13"/>
  <c r="T15" i="13"/>
  <c r="L20" i="12"/>
  <c r="K20" i="12"/>
  <c r="Q36" i="14"/>
  <c r="Y36" i="14" s="1"/>
  <c r="AC38" i="14"/>
  <c r="I37" i="14"/>
  <c r="U37" i="14" s="1"/>
  <c r="G37" i="14"/>
  <c r="S37" i="14" s="1"/>
  <c r="H37" i="14"/>
  <c r="T37" i="14" s="1"/>
  <c r="C42" i="12"/>
  <c r="C9" i="33" s="1"/>
  <c r="G20" i="12"/>
  <c r="R20" i="12" s="1"/>
  <c r="J22" i="12"/>
  <c r="J26" i="12"/>
  <c r="J28" i="12"/>
  <c r="J34" i="12"/>
  <c r="J21" i="12"/>
  <c r="J27" i="12"/>
  <c r="J35" i="12"/>
  <c r="J20" i="12"/>
  <c r="F42" i="12"/>
  <c r="J36" i="12"/>
  <c r="J31" i="12"/>
  <c r="J37" i="12"/>
  <c r="J24" i="12"/>
  <c r="J30" i="12"/>
  <c r="J32" i="12"/>
  <c r="J38" i="12"/>
  <c r="J23" i="12"/>
  <c r="J25" i="12"/>
  <c r="J29" i="12"/>
  <c r="J33" i="12"/>
  <c r="J39" i="12"/>
  <c r="I20" i="12"/>
  <c r="T20" i="12" s="1"/>
  <c r="E8" i="12"/>
  <c r="D9" i="12"/>
  <c r="E42" i="12"/>
  <c r="F9" i="33" s="1"/>
  <c r="C9" i="12"/>
  <c r="H20" i="12"/>
  <c r="S20" i="12" s="1"/>
  <c r="B23" i="12"/>
  <c r="F4" i="1" l="1"/>
  <c r="H9" i="33"/>
  <c r="C11" i="1"/>
  <c r="D4" i="1"/>
  <c r="D11" i="1" s="1"/>
  <c r="B4" i="1"/>
  <c r="B11" i="1" s="1"/>
  <c r="J42" i="12"/>
  <c r="F4" i="81" s="1"/>
  <c r="H21" i="12"/>
  <c r="S21" i="12" s="1"/>
  <c r="AC22" i="12"/>
  <c r="I22" i="12" s="1"/>
  <c r="T22" i="12" s="1"/>
  <c r="I21" i="12"/>
  <c r="T21" i="12" s="1"/>
  <c r="G21" i="12"/>
  <c r="R21" i="12" s="1"/>
  <c r="N38" i="14"/>
  <c r="V14" i="13"/>
  <c r="U15" i="13"/>
  <c r="U16" i="13"/>
  <c r="G38" i="14"/>
  <c r="S38" i="14" s="1"/>
  <c r="AC39" i="14"/>
  <c r="I38" i="14"/>
  <c r="U38" i="14" s="1"/>
  <c r="H38" i="14"/>
  <c r="T38" i="14" s="1"/>
  <c r="Q37" i="14"/>
  <c r="Y37" i="14" s="1"/>
  <c r="P20" i="12"/>
  <c r="Y20" i="12" s="1"/>
  <c r="E43" i="12"/>
  <c r="F8" i="12"/>
  <c r="E9" i="12"/>
  <c r="B24" i="12"/>
  <c r="D43" i="12"/>
  <c r="C43" i="12"/>
  <c r="Z20" i="12" l="1"/>
  <c r="P21" i="12"/>
  <c r="Y21" i="12" s="1"/>
  <c r="F11" i="1"/>
  <c r="H22" i="12"/>
  <c r="S22" i="12" s="1"/>
  <c r="L22" i="12"/>
  <c r="AC23" i="12"/>
  <c r="L23" i="12" s="1"/>
  <c r="G22" i="12"/>
  <c r="R22" i="12" s="1"/>
  <c r="N39" i="14"/>
  <c r="W14" i="13"/>
  <c r="V15" i="13"/>
  <c r="V16" i="13"/>
  <c r="H39" i="14"/>
  <c r="T39" i="14" s="1"/>
  <c r="T42" i="14" s="1"/>
  <c r="G39" i="14"/>
  <c r="S39" i="14" s="1"/>
  <c r="S42" i="14" s="1"/>
  <c r="I39" i="14"/>
  <c r="U39" i="14" s="1"/>
  <c r="U42" i="14" s="1"/>
  <c r="Q38" i="14"/>
  <c r="Y38" i="14" s="1"/>
  <c r="F4" i="11"/>
  <c r="I23" i="12"/>
  <c r="T23" i="12" s="1"/>
  <c r="H23" i="12"/>
  <c r="S23" i="12" s="1"/>
  <c r="G8" i="12"/>
  <c r="F9" i="12"/>
  <c r="Q20" i="12"/>
  <c r="B25" i="12"/>
  <c r="G23" i="12" l="1"/>
  <c r="R23" i="12" s="1"/>
  <c r="AC24" i="12"/>
  <c r="L24" i="12" s="1"/>
  <c r="P22" i="12"/>
  <c r="Y22" i="12" s="1"/>
  <c r="U43" i="14"/>
  <c r="D5" i="81"/>
  <c r="D12" i="81" s="1"/>
  <c r="S43" i="14"/>
  <c r="B5" i="81"/>
  <c r="B12" i="81" s="1"/>
  <c r="T43" i="14"/>
  <c r="C5" i="81"/>
  <c r="C12" i="81" s="1"/>
  <c r="W15" i="13"/>
  <c r="W16" i="13"/>
  <c r="H42" i="14"/>
  <c r="C5" i="11" s="1"/>
  <c r="I42" i="14"/>
  <c r="Q39" i="14"/>
  <c r="Y39" i="14" s="1"/>
  <c r="Y42" i="14" s="1"/>
  <c r="Y43" i="14" s="1"/>
  <c r="G42" i="14"/>
  <c r="B26" i="12"/>
  <c r="H8" i="12"/>
  <c r="G9" i="12"/>
  <c r="P23" i="12"/>
  <c r="Y23" i="12" s="1"/>
  <c r="AC25" i="12"/>
  <c r="L25" i="12" s="1"/>
  <c r="I24" i="12"/>
  <c r="T24" i="12" s="1"/>
  <c r="G24" i="12"/>
  <c r="R24" i="12" s="1"/>
  <c r="H24" i="12"/>
  <c r="S24" i="12" s="1"/>
  <c r="F12" i="81" l="1"/>
  <c r="H43" i="14"/>
  <c r="C12" i="11"/>
  <c r="D10" i="27"/>
  <c r="D17" i="13"/>
  <c r="B36" i="15" s="1"/>
  <c r="G43" i="14"/>
  <c r="B5" i="11"/>
  <c r="I43" i="14"/>
  <c r="D5" i="11"/>
  <c r="Q42" i="14"/>
  <c r="Q43" i="14" s="1"/>
  <c r="P24" i="12"/>
  <c r="Y24" i="12" s="1"/>
  <c r="AC26" i="12"/>
  <c r="L26" i="12" s="1"/>
  <c r="I25" i="12"/>
  <c r="T25" i="12" s="1"/>
  <c r="H25" i="12"/>
  <c r="S25" i="12" s="1"/>
  <c r="G25" i="12"/>
  <c r="R25" i="12" s="1"/>
  <c r="I8" i="12"/>
  <c r="H9" i="12"/>
  <c r="B27" i="12"/>
  <c r="D24" i="27" l="1"/>
  <c r="L29" i="14"/>
  <c r="M29" i="14" s="1"/>
  <c r="L17" i="14"/>
  <c r="L28" i="14"/>
  <c r="M28" i="14" s="1"/>
  <c r="L16" i="14"/>
  <c r="L39" i="14"/>
  <c r="M39" i="14" s="1"/>
  <c r="L27" i="14"/>
  <c r="M27" i="14" s="1"/>
  <c r="L15" i="14"/>
  <c r="L12" i="14"/>
  <c r="L31" i="14"/>
  <c r="M31" i="14" s="1"/>
  <c r="L38" i="14"/>
  <c r="M38" i="14" s="1"/>
  <c r="L26" i="14"/>
  <c r="M26" i="14" s="1"/>
  <c r="L14" i="14"/>
  <c r="L24" i="14"/>
  <c r="M24" i="14" s="1"/>
  <c r="L37" i="14"/>
  <c r="M37" i="14" s="1"/>
  <c r="L25" i="14"/>
  <c r="M25" i="14" s="1"/>
  <c r="L13" i="14"/>
  <c r="L36" i="14"/>
  <c r="M36" i="14" s="1"/>
  <c r="L30" i="14"/>
  <c r="M30" i="14" s="1"/>
  <c r="L35" i="14"/>
  <c r="M35" i="14" s="1"/>
  <c r="L23" i="14"/>
  <c r="M23" i="14" s="1"/>
  <c r="L34" i="14"/>
  <c r="M34" i="14" s="1"/>
  <c r="L22" i="14"/>
  <c r="M22" i="14" s="1"/>
  <c r="L33" i="14"/>
  <c r="M33" i="14" s="1"/>
  <c r="L21" i="14"/>
  <c r="M21" i="14" s="1"/>
  <c r="L19" i="14"/>
  <c r="L32" i="14"/>
  <c r="M32" i="14" s="1"/>
  <c r="L20" i="14"/>
  <c r="M20" i="14" s="1"/>
  <c r="L18" i="14"/>
  <c r="D12" i="11"/>
  <c r="F10" i="27"/>
  <c r="B12" i="11"/>
  <c r="C10" i="27"/>
  <c r="J8" i="12"/>
  <c r="K8" i="12" s="1"/>
  <c r="I9" i="12"/>
  <c r="B28" i="12"/>
  <c r="P25" i="12"/>
  <c r="Y25" i="12" s="1"/>
  <c r="AC27" i="12"/>
  <c r="L27" i="12" s="1"/>
  <c r="H26" i="12"/>
  <c r="S26" i="12" s="1"/>
  <c r="I26" i="12"/>
  <c r="T26" i="12" s="1"/>
  <c r="G26" i="12"/>
  <c r="R26" i="12" s="1"/>
  <c r="F24" i="27" l="1"/>
  <c r="C24" i="27"/>
  <c r="M42" i="14"/>
  <c r="B10" i="33" s="1"/>
  <c r="P26" i="12"/>
  <c r="Y26" i="12" s="1"/>
  <c r="K9" i="12"/>
  <c r="L8" i="12"/>
  <c r="B29" i="12"/>
  <c r="J9" i="12"/>
  <c r="AC28" i="12"/>
  <c r="L28" i="12" s="1"/>
  <c r="I27" i="12"/>
  <c r="T27" i="12" s="1"/>
  <c r="G27" i="12"/>
  <c r="R27" i="12" s="1"/>
  <c r="H27" i="12"/>
  <c r="S27" i="12" s="1"/>
  <c r="M43" i="14" l="1"/>
  <c r="G12" i="1" s="1"/>
  <c r="P27" i="12"/>
  <c r="Y27" i="12" s="1"/>
  <c r="L9" i="12"/>
  <c r="M8" i="12"/>
  <c r="M9" i="12" s="1"/>
  <c r="AC29" i="12"/>
  <c r="L29" i="12" s="1"/>
  <c r="H28" i="12"/>
  <c r="S28" i="12" s="1"/>
  <c r="G28" i="12"/>
  <c r="R28" i="12" s="1"/>
  <c r="I28" i="12"/>
  <c r="T28" i="12" s="1"/>
  <c r="N8" i="12"/>
  <c r="B30" i="12"/>
  <c r="E10" i="33" l="1"/>
  <c r="P28" i="12"/>
  <c r="Y28" i="12" s="1"/>
  <c r="AC30" i="12"/>
  <c r="I29" i="12"/>
  <c r="T29" i="12" s="1"/>
  <c r="G29" i="12"/>
  <c r="R29" i="12" s="1"/>
  <c r="H29" i="12"/>
  <c r="S29" i="12" s="1"/>
  <c r="O8" i="12"/>
  <c r="N9" i="12"/>
  <c r="B31" i="12"/>
  <c r="G10" i="33" l="1"/>
  <c r="K30" i="12"/>
  <c r="L30" i="12"/>
  <c r="AC31" i="12"/>
  <c r="L31" i="12" s="1"/>
  <c r="I30" i="12"/>
  <c r="T30" i="12" s="1"/>
  <c r="H30" i="12"/>
  <c r="S30" i="12" s="1"/>
  <c r="G30" i="12"/>
  <c r="R30" i="12" s="1"/>
  <c r="B32" i="12"/>
  <c r="P29" i="12"/>
  <c r="Y29" i="12" s="1"/>
  <c r="P8" i="12"/>
  <c r="O9" i="12"/>
  <c r="B33" i="12" l="1"/>
  <c r="Q8" i="12"/>
  <c r="R8" i="12" s="1"/>
  <c r="P9" i="12"/>
  <c r="P30" i="12"/>
  <c r="Y30" i="12" s="1"/>
  <c r="AC32" i="12"/>
  <c r="G31" i="12"/>
  <c r="R31" i="12" s="1"/>
  <c r="I31" i="12"/>
  <c r="T31" i="12" s="1"/>
  <c r="H31" i="12"/>
  <c r="S31" i="12" s="1"/>
  <c r="R9" i="12" l="1"/>
  <c r="S8" i="12"/>
  <c r="K32" i="12"/>
  <c r="L32" i="12"/>
  <c r="Q9" i="12"/>
  <c r="B34" i="12"/>
  <c r="P31" i="12"/>
  <c r="Y31" i="12" s="1"/>
  <c r="AC33" i="12"/>
  <c r="L33" i="12" s="1"/>
  <c r="I32" i="12"/>
  <c r="T32" i="12" s="1"/>
  <c r="G32" i="12"/>
  <c r="R32" i="12" s="1"/>
  <c r="H32" i="12"/>
  <c r="S32" i="12" s="1"/>
  <c r="T8" i="12" l="1"/>
  <c r="S9" i="12"/>
  <c r="B35" i="12"/>
  <c r="P32" i="12"/>
  <c r="Y32" i="12" s="1"/>
  <c r="AC34" i="12"/>
  <c r="L34" i="12" s="1"/>
  <c r="I33" i="12"/>
  <c r="T33" i="12" s="1"/>
  <c r="G33" i="12"/>
  <c r="R33" i="12" s="1"/>
  <c r="H33" i="12"/>
  <c r="S33" i="12" s="1"/>
  <c r="U8" i="12" l="1"/>
  <c r="T9" i="12"/>
  <c r="B36" i="12"/>
  <c r="AC35" i="12"/>
  <c r="L35" i="12" s="1"/>
  <c r="G34" i="12"/>
  <c r="R34" i="12" s="1"/>
  <c r="H34" i="12"/>
  <c r="S34" i="12" s="1"/>
  <c r="I34" i="12"/>
  <c r="T34" i="12" s="1"/>
  <c r="P33" i="12"/>
  <c r="Y33" i="12" s="1"/>
  <c r="U9" i="12" l="1"/>
  <c r="V8" i="12"/>
  <c r="H35" i="12"/>
  <c r="S35" i="12" s="1"/>
  <c r="AC36" i="12"/>
  <c r="L36" i="12" s="1"/>
  <c r="G35" i="12"/>
  <c r="R35" i="12" s="1"/>
  <c r="I35" i="12"/>
  <c r="T35" i="12" s="1"/>
  <c r="B37" i="12"/>
  <c r="P34" i="12"/>
  <c r="Y34" i="12" s="1"/>
  <c r="W8" i="12" l="1"/>
  <c r="V9" i="12"/>
  <c r="P35" i="12"/>
  <c r="Y35" i="12" s="1"/>
  <c r="B38" i="12"/>
  <c r="I36" i="12"/>
  <c r="T36" i="12" s="1"/>
  <c r="AC37" i="12"/>
  <c r="L37" i="12" s="1"/>
  <c r="G36" i="12"/>
  <c r="R36" i="12" s="1"/>
  <c r="H36" i="12"/>
  <c r="S36" i="12" s="1"/>
  <c r="W9" i="12" l="1"/>
  <c r="X8" i="12"/>
  <c r="P36" i="12"/>
  <c r="Y36" i="12" s="1"/>
  <c r="B39" i="12"/>
  <c r="H37" i="12"/>
  <c r="S37" i="12" s="1"/>
  <c r="AC38" i="12"/>
  <c r="L38" i="12" s="1"/>
  <c r="I37" i="12"/>
  <c r="T37" i="12" s="1"/>
  <c r="G37" i="12"/>
  <c r="R37" i="12" s="1"/>
  <c r="Y8" i="12" l="1"/>
  <c r="X9" i="12"/>
  <c r="H38" i="12"/>
  <c r="S38" i="12" s="1"/>
  <c r="AC39" i="12"/>
  <c r="L39" i="12" s="1"/>
  <c r="L42" i="12" s="1"/>
  <c r="I38" i="12"/>
  <c r="T38" i="12" s="1"/>
  <c r="G38" i="12"/>
  <c r="R38" i="12" s="1"/>
  <c r="P37" i="12"/>
  <c r="Y37" i="12" s="1"/>
  <c r="Y9" i="12" l="1"/>
  <c r="Z8" i="12"/>
  <c r="Z9" i="12" s="1"/>
  <c r="P38" i="12"/>
  <c r="Y38" i="12" s="1"/>
  <c r="I39" i="12"/>
  <c r="T39" i="12" s="1"/>
  <c r="T42" i="12" s="1"/>
  <c r="H39" i="12"/>
  <c r="S39" i="12" s="1"/>
  <c r="S42" i="12" s="1"/>
  <c r="G39" i="12"/>
  <c r="R39" i="12" s="1"/>
  <c r="R42" i="12" s="1"/>
  <c r="R43" i="12" l="1"/>
  <c r="B4" i="81"/>
  <c r="B11" i="81" s="1"/>
  <c r="C4" i="81"/>
  <c r="C11" i="81" s="1"/>
  <c r="S43" i="12"/>
  <c r="D4" i="81"/>
  <c r="D11" i="81" s="1"/>
  <c r="T43" i="12"/>
  <c r="P39" i="12"/>
  <c r="G42" i="12"/>
  <c r="G43" i="12" s="1"/>
  <c r="H42" i="12"/>
  <c r="I42" i="12"/>
  <c r="F11" i="81" l="1"/>
  <c r="P42" i="12"/>
  <c r="P43" i="12" s="1"/>
  <c r="Y39" i="12"/>
  <c r="Y42" i="12" s="1"/>
  <c r="Y43" i="12" s="1"/>
  <c r="H43" i="12"/>
  <c r="C4" i="11"/>
  <c r="B4" i="11"/>
  <c r="I43" i="12"/>
  <c r="D4" i="11"/>
  <c r="B11" i="11" l="1"/>
  <c r="C9" i="27"/>
  <c r="C23" i="27" s="1"/>
  <c r="C11" i="11"/>
  <c r="D9" i="27"/>
  <c r="D11" i="11"/>
  <c r="F9" i="27"/>
  <c r="F23" i="27" l="1"/>
  <c r="D23" i="27"/>
  <c r="F11" i="11"/>
  <c r="B9" i="3"/>
  <c r="C8" i="3"/>
  <c r="C9" i="3" s="1"/>
  <c r="B21" i="3"/>
  <c r="B22" i="3" s="1"/>
  <c r="B23" i="3" s="1"/>
  <c r="B24" i="3" s="1"/>
  <c r="N39" i="3"/>
  <c r="W39" i="3" s="1"/>
  <c r="N38" i="3"/>
  <c r="W38" i="3" s="1"/>
  <c r="N37" i="3"/>
  <c r="W37" i="3" s="1"/>
  <c r="N36" i="3"/>
  <c r="W36" i="3" s="1"/>
  <c r="N35" i="3"/>
  <c r="W35" i="3" s="1"/>
  <c r="N34" i="3"/>
  <c r="W34" i="3" s="1"/>
  <c r="N33" i="3"/>
  <c r="W33" i="3" s="1"/>
  <c r="N32" i="3"/>
  <c r="W32" i="3" s="1"/>
  <c r="N31" i="3"/>
  <c r="W31" i="3" s="1"/>
  <c r="N30" i="3"/>
  <c r="W30" i="3" s="1"/>
  <c r="N29" i="3"/>
  <c r="W29" i="3" s="1"/>
  <c r="N28" i="3"/>
  <c r="W28" i="3" s="1"/>
  <c r="N27" i="3"/>
  <c r="W27" i="3" s="1"/>
  <c r="N26" i="3"/>
  <c r="W26" i="3" s="1"/>
  <c r="N25" i="3"/>
  <c r="W25" i="3" s="1"/>
  <c r="N24" i="3"/>
  <c r="W24" i="3" s="1"/>
  <c r="N23" i="3"/>
  <c r="W23" i="3" s="1"/>
  <c r="N22" i="3"/>
  <c r="W22" i="3" s="1"/>
  <c r="N21" i="3"/>
  <c r="W21" i="3" s="1"/>
  <c r="AB39" i="3"/>
  <c r="AB38" i="3"/>
  <c r="AB37" i="3"/>
  <c r="AB36" i="3"/>
  <c r="AB35" i="3"/>
  <c r="AB34" i="3"/>
  <c r="AB33" i="3"/>
  <c r="AB32" i="3"/>
  <c r="AB31" i="3"/>
  <c r="AB30" i="3"/>
  <c r="AB29" i="3"/>
  <c r="AB28" i="3"/>
  <c r="AB27" i="3"/>
  <c r="AB26" i="3"/>
  <c r="AB25" i="3"/>
  <c r="AB24" i="3"/>
  <c r="AB23" i="3"/>
  <c r="AB22" i="3"/>
  <c r="AB21" i="3"/>
  <c r="AB20" i="3"/>
  <c r="AB19" i="3"/>
  <c r="AB18" i="3"/>
  <c r="AB17" i="3"/>
  <c r="AB16" i="3"/>
  <c r="AB15" i="3"/>
  <c r="AC13" i="3"/>
  <c r="W42" i="3" l="1"/>
  <c r="O27" i="3"/>
  <c r="X27" i="3" s="1"/>
  <c r="F12" i="11"/>
  <c r="O33" i="3"/>
  <c r="X33" i="3" s="1"/>
  <c r="O24" i="3"/>
  <c r="X24" i="3" s="1"/>
  <c r="O39" i="3"/>
  <c r="X39" i="3" s="1"/>
  <c r="D8" i="3"/>
  <c r="E8" i="3" s="1"/>
  <c r="F8" i="3" s="1"/>
  <c r="G8" i="3" s="1"/>
  <c r="H8" i="3" s="1"/>
  <c r="I8" i="3" s="1"/>
  <c r="J8" i="3" s="1"/>
  <c r="B25" i="3"/>
  <c r="B26" i="3" s="1"/>
  <c r="B27" i="3" s="1"/>
  <c r="B28" i="3" s="1"/>
  <c r="B29" i="3" s="1"/>
  <c r="B30" i="3" s="1"/>
  <c r="B31" i="3" s="1"/>
  <c r="B32" i="3" s="1"/>
  <c r="B33" i="3" s="1"/>
  <c r="B34" i="3" s="1"/>
  <c r="B35" i="3" s="1"/>
  <c r="B36" i="3" s="1"/>
  <c r="B37" i="3" s="1"/>
  <c r="B38" i="3" s="1"/>
  <c r="B39" i="3" s="1"/>
  <c r="N42" i="3"/>
  <c r="AC14" i="3"/>
  <c r="AC15" i="3" s="1"/>
  <c r="AC16" i="3" s="1"/>
  <c r="AC17" i="3" s="1"/>
  <c r="AC18" i="3" s="1"/>
  <c r="AC19" i="3" s="1"/>
  <c r="AC20" i="3" s="1"/>
  <c r="L20" i="3" s="1"/>
  <c r="K33" i="12" l="1"/>
  <c r="O33" i="12"/>
  <c r="X33" i="12" s="1"/>
  <c r="O25" i="12"/>
  <c r="X25" i="12" s="1"/>
  <c r="K25" i="12"/>
  <c r="K38" i="12"/>
  <c r="O38" i="12"/>
  <c r="X38" i="12" s="1"/>
  <c r="K21" i="12"/>
  <c r="O21" i="12"/>
  <c r="X21" i="12" s="1"/>
  <c r="M42" i="12"/>
  <c r="N43" i="12" s="1"/>
  <c r="O36" i="12"/>
  <c r="X36" i="12" s="1"/>
  <c r="K36" i="12"/>
  <c r="O28" i="12"/>
  <c r="X28" i="12" s="1"/>
  <c r="K28" i="12"/>
  <c r="O26" i="12"/>
  <c r="X26" i="12" s="1"/>
  <c r="K26" i="12"/>
  <c r="O35" i="12"/>
  <c r="X35" i="12" s="1"/>
  <c r="K35" i="12"/>
  <c r="O39" i="12"/>
  <c r="X39" i="12" s="1"/>
  <c r="K39" i="12"/>
  <c r="K23" i="12"/>
  <c r="O23" i="12"/>
  <c r="X23" i="12" s="1"/>
  <c r="O22" i="12"/>
  <c r="X22" i="12" s="1"/>
  <c r="K22" i="12"/>
  <c r="O30" i="12"/>
  <c r="X30" i="12" s="1"/>
  <c r="O32" i="12"/>
  <c r="X32" i="12" s="1"/>
  <c r="K29" i="12"/>
  <c r="O29" i="12"/>
  <c r="X29" i="12" s="1"/>
  <c r="K31" i="12"/>
  <c r="O31" i="12"/>
  <c r="X31" i="12" s="1"/>
  <c r="K37" i="12"/>
  <c r="O37" i="12"/>
  <c r="X37" i="12" s="1"/>
  <c r="K34" i="12"/>
  <c r="O34" i="12"/>
  <c r="X34" i="12" s="1"/>
  <c r="K27" i="12"/>
  <c r="K24" i="12"/>
  <c r="O24" i="12"/>
  <c r="X24" i="12" s="1"/>
  <c r="O23" i="3"/>
  <c r="X23" i="3" s="1"/>
  <c r="O22" i="3"/>
  <c r="X22" i="3" s="1"/>
  <c r="O38" i="3"/>
  <c r="X38" i="3" s="1"/>
  <c r="O20" i="3"/>
  <c r="X20" i="3" s="1"/>
  <c r="K20" i="3"/>
  <c r="O37" i="3"/>
  <c r="X37" i="3" s="1"/>
  <c r="O31" i="3"/>
  <c r="X31" i="3" s="1"/>
  <c r="O25" i="3"/>
  <c r="X25" i="3" s="1"/>
  <c r="O30" i="3"/>
  <c r="X30" i="3" s="1"/>
  <c r="K8" i="3"/>
  <c r="K9" i="3" s="1"/>
  <c r="O36" i="3"/>
  <c r="X36" i="3" s="1"/>
  <c r="O29" i="3"/>
  <c r="X29" i="3" s="1"/>
  <c r="O34" i="3"/>
  <c r="X34" i="3" s="1"/>
  <c r="O21" i="3"/>
  <c r="X21" i="3" s="1"/>
  <c r="O28" i="3"/>
  <c r="X28" i="3" s="1"/>
  <c r="O32" i="3"/>
  <c r="X32" i="3" s="1"/>
  <c r="O26" i="3"/>
  <c r="X26" i="3" s="1"/>
  <c r="O35" i="3"/>
  <c r="X35" i="3" s="1"/>
  <c r="M42" i="3"/>
  <c r="D9" i="3"/>
  <c r="J9" i="3"/>
  <c r="F9" i="3"/>
  <c r="E9" i="3"/>
  <c r="H9" i="3"/>
  <c r="G9" i="3"/>
  <c r="I9" i="3"/>
  <c r="AC21" i="3"/>
  <c r="L21" i="3" s="1"/>
  <c r="X42" i="12" l="1"/>
  <c r="X42" i="3"/>
  <c r="O42" i="12"/>
  <c r="Q37" i="12"/>
  <c r="Z37" i="12" s="1"/>
  <c r="K42" i="12"/>
  <c r="B9" i="33" s="1"/>
  <c r="Q24" i="12"/>
  <c r="Z24" i="12" s="1"/>
  <c r="Q31" i="12"/>
  <c r="Z31" i="12" s="1"/>
  <c r="Q22" i="12"/>
  <c r="Z22" i="12" s="1"/>
  <c r="Q26" i="12"/>
  <c r="Z26" i="12" s="1"/>
  <c r="Q38" i="12"/>
  <c r="Z38" i="12" s="1"/>
  <c r="Q23" i="12"/>
  <c r="Z23" i="12" s="1"/>
  <c r="Q28" i="12"/>
  <c r="Z28" i="12" s="1"/>
  <c r="Q25" i="12"/>
  <c r="Z25" i="12" s="1"/>
  <c r="Q30" i="12"/>
  <c r="Z30" i="12" s="1"/>
  <c r="Q29" i="12"/>
  <c r="Z29" i="12" s="1"/>
  <c r="Q34" i="12"/>
  <c r="Z34" i="12" s="1"/>
  <c r="Q32" i="12"/>
  <c r="Z32" i="12" s="1"/>
  <c r="Q35" i="12"/>
  <c r="Z35" i="12" s="1"/>
  <c r="Q27" i="12"/>
  <c r="Z27" i="12" s="1"/>
  <c r="Q39" i="12"/>
  <c r="Z39" i="12" s="1"/>
  <c r="Q36" i="12"/>
  <c r="Z36" i="12" s="1"/>
  <c r="Q33" i="12"/>
  <c r="Z33" i="12" s="1"/>
  <c r="Q21" i="12"/>
  <c r="Z21" i="12" s="1"/>
  <c r="L8" i="3"/>
  <c r="L9" i="3" s="1"/>
  <c r="K21" i="3"/>
  <c r="AC22" i="3"/>
  <c r="X43" i="12" l="1"/>
  <c r="G11" i="81" s="1"/>
  <c r="G4" i="81"/>
  <c r="G3" i="81"/>
  <c r="Z42" i="12"/>
  <c r="O43" i="12"/>
  <c r="G11" i="11" s="1"/>
  <c r="G4" i="11"/>
  <c r="B9" i="27" s="1"/>
  <c r="B23" i="27" s="1"/>
  <c r="L43" i="12"/>
  <c r="G11" i="1" s="1"/>
  <c r="Q42" i="12"/>
  <c r="L22" i="3"/>
  <c r="K22" i="3"/>
  <c r="M8" i="3"/>
  <c r="AC23" i="3"/>
  <c r="E9" i="33" l="1"/>
  <c r="G9" i="33" s="1"/>
  <c r="E9" i="27"/>
  <c r="G9" i="27" s="1"/>
  <c r="L23" i="3"/>
  <c r="K23" i="3"/>
  <c r="N8" i="3"/>
  <c r="M9" i="3"/>
  <c r="AC24" i="3"/>
  <c r="L24" i="3" l="1"/>
  <c r="K24" i="3"/>
  <c r="O8" i="3"/>
  <c r="N9" i="3"/>
  <c r="AC25" i="3"/>
  <c r="E23" i="27" l="1"/>
  <c r="L25" i="3"/>
  <c r="K25" i="3"/>
  <c r="P8" i="3"/>
  <c r="O9" i="3"/>
  <c r="AC26" i="3"/>
  <c r="G23" i="27" l="1"/>
  <c r="L26" i="3"/>
  <c r="K26" i="3"/>
  <c r="Q8" i="3"/>
  <c r="P9" i="3"/>
  <c r="AC27" i="3"/>
  <c r="K27" i="3" l="1"/>
  <c r="L27" i="3"/>
  <c r="Q9" i="3"/>
  <c r="AC28" i="3"/>
  <c r="L28" i="3" l="1"/>
  <c r="K28" i="3"/>
  <c r="AC29" i="3"/>
  <c r="L29" i="3" l="1"/>
  <c r="K29" i="3"/>
  <c r="AC30" i="3"/>
  <c r="L30" i="3" l="1"/>
  <c r="K30" i="3"/>
  <c r="AC31" i="3"/>
  <c r="L31" i="3" l="1"/>
  <c r="K31" i="3"/>
  <c r="AC32" i="3"/>
  <c r="L32" i="3" l="1"/>
  <c r="K32" i="3"/>
  <c r="AC33" i="3"/>
  <c r="L33" i="3" l="1"/>
  <c r="K33" i="3"/>
  <c r="AC34" i="3"/>
  <c r="L34" i="3" l="1"/>
  <c r="K34" i="3"/>
  <c r="AC35" i="3"/>
  <c r="L35" i="3" l="1"/>
  <c r="K35" i="3"/>
  <c r="AC36" i="3"/>
  <c r="L36" i="3" l="1"/>
  <c r="K36" i="3"/>
  <c r="AC37" i="3"/>
  <c r="L37" i="3" l="1"/>
  <c r="K37" i="3"/>
  <c r="AC38" i="3"/>
  <c r="L38" i="3" l="1"/>
  <c r="K38" i="3"/>
  <c r="AC39" i="3"/>
  <c r="K39" i="3" l="1"/>
  <c r="K42" i="3" s="1"/>
  <c r="L39" i="3"/>
  <c r="L42" i="3" s="1"/>
  <c r="B8" i="33" s="1"/>
  <c r="B11" i="33" s="1"/>
  <c r="H39" i="3" l="1"/>
  <c r="S39" i="3" s="1"/>
  <c r="H38" i="3"/>
  <c r="S38" i="3" s="1"/>
  <c r="H37" i="3"/>
  <c r="S37" i="3" s="1"/>
  <c r="H36" i="3"/>
  <c r="S36" i="3" s="1"/>
  <c r="H35" i="3"/>
  <c r="S35" i="3" s="1"/>
  <c r="H34" i="3"/>
  <c r="S34" i="3" s="1"/>
  <c r="H33" i="3"/>
  <c r="S33" i="3" s="1"/>
  <c r="H32" i="3"/>
  <c r="S32" i="3" s="1"/>
  <c r="H31" i="3"/>
  <c r="S31" i="3" s="1"/>
  <c r="H30" i="3"/>
  <c r="S30" i="3" s="1"/>
  <c r="H29" i="3"/>
  <c r="S29" i="3" s="1"/>
  <c r="H28" i="3"/>
  <c r="S28" i="3" s="1"/>
  <c r="H27" i="3"/>
  <c r="S27" i="3" s="1"/>
  <c r="H26" i="3"/>
  <c r="S26" i="3" s="1"/>
  <c r="H25" i="3"/>
  <c r="S25" i="3" s="1"/>
  <c r="H24" i="3"/>
  <c r="S24" i="3" s="1"/>
  <c r="H23" i="3"/>
  <c r="S23" i="3" s="1"/>
  <c r="H22" i="3"/>
  <c r="S22" i="3" s="1"/>
  <c r="H21" i="3"/>
  <c r="S21" i="3" s="1"/>
  <c r="I39" i="3"/>
  <c r="T39" i="3" s="1"/>
  <c r="I38" i="3"/>
  <c r="T38" i="3" s="1"/>
  <c r="I37" i="3"/>
  <c r="T37" i="3" s="1"/>
  <c r="I36" i="3"/>
  <c r="T36" i="3" s="1"/>
  <c r="I35" i="3"/>
  <c r="T35" i="3" s="1"/>
  <c r="I34" i="3"/>
  <c r="T34" i="3" s="1"/>
  <c r="I33" i="3"/>
  <c r="T33" i="3" s="1"/>
  <c r="I32" i="3"/>
  <c r="T32" i="3" s="1"/>
  <c r="I31" i="3"/>
  <c r="T31" i="3" s="1"/>
  <c r="I30" i="3"/>
  <c r="T30" i="3" s="1"/>
  <c r="I29" i="3"/>
  <c r="T29" i="3" s="1"/>
  <c r="I28" i="3"/>
  <c r="T28" i="3" s="1"/>
  <c r="I27" i="3"/>
  <c r="T27" i="3" s="1"/>
  <c r="I26" i="3"/>
  <c r="T26" i="3" s="1"/>
  <c r="I25" i="3"/>
  <c r="T25" i="3" s="1"/>
  <c r="I24" i="3"/>
  <c r="T24" i="3" s="1"/>
  <c r="I23" i="3"/>
  <c r="T23" i="3" s="1"/>
  <c r="I22" i="3"/>
  <c r="T22" i="3" s="1"/>
  <c r="I21" i="3"/>
  <c r="T21" i="3" s="1"/>
  <c r="J20" i="3" l="1"/>
  <c r="J31" i="3"/>
  <c r="J32" i="3"/>
  <c r="J29" i="3"/>
  <c r="J21" i="3"/>
  <c r="J33" i="3"/>
  <c r="J22" i="3"/>
  <c r="J34" i="3"/>
  <c r="J23" i="3"/>
  <c r="J35" i="3"/>
  <c r="J24" i="3"/>
  <c r="J36" i="3"/>
  <c r="J30" i="3"/>
  <c r="J25" i="3"/>
  <c r="J37" i="3"/>
  <c r="J26" i="3"/>
  <c r="J38" i="3"/>
  <c r="J27" i="3"/>
  <c r="J39" i="3"/>
  <c r="J28" i="3"/>
  <c r="C42" i="3"/>
  <c r="C8" i="33" s="1"/>
  <c r="F42" i="3"/>
  <c r="I20" i="3"/>
  <c r="T20" i="3" s="1"/>
  <c r="T42" i="3" s="1"/>
  <c r="E42" i="3"/>
  <c r="F8" i="33" s="1"/>
  <c r="H20" i="3"/>
  <c r="S20" i="3" s="1"/>
  <c r="S42" i="3" s="1"/>
  <c r="D42" i="3"/>
  <c r="D8" i="33" s="1"/>
  <c r="G20" i="3"/>
  <c r="R20" i="3" s="1"/>
  <c r="G32" i="3"/>
  <c r="G21" i="3"/>
  <c r="G33" i="3"/>
  <c r="G29" i="3"/>
  <c r="G22" i="3"/>
  <c r="G34" i="3"/>
  <c r="G23" i="3"/>
  <c r="G35" i="3"/>
  <c r="G24" i="3"/>
  <c r="G36" i="3"/>
  <c r="G30" i="3"/>
  <c r="G25" i="3"/>
  <c r="G37" i="3"/>
  <c r="G26" i="3"/>
  <c r="G38" i="3"/>
  <c r="G31" i="3"/>
  <c r="G27" i="3"/>
  <c r="G39" i="3"/>
  <c r="G28" i="3"/>
  <c r="P22" i="3" l="1"/>
  <c r="Y22" i="3" s="1"/>
  <c r="R22" i="3"/>
  <c r="P25" i="3"/>
  <c r="Y25" i="3" s="1"/>
  <c r="R25" i="3"/>
  <c r="P29" i="3"/>
  <c r="Y29" i="3" s="1"/>
  <c r="R29" i="3"/>
  <c r="P27" i="3"/>
  <c r="Y27" i="3" s="1"/>
  <c r="R27" i="3"/>
  <c r="P37" i="3"/>
  <c r="Y37" i="3" s="1"/>
  <c r="R37" i="3"/>
  <c r="P30" i="3"/>
  <c r="Y30" i="3" s="1"/>
  <c r="R30" i="3"/>
  <c r="P33" i="3"/>
  <c r="Y33" i="3" s="1"/>
  <c r="R33" i="3"/>
  <c r="P36" i="3"/>
  <c r="Y36" i="3" s="1"/>
  <c r="R36" i="3"/>
  <c r="P28" i="3"/>
  <c r="Y28" i="3" s="1"/>
  <c r="R28" i="3"/>
  <c r="H8" i="33"/>
  <c r="X43" i="3"/>
  <c r="G10" i="81" s="1"/>
  <c r="P39" i="3"/>
  <c r="Y39" i="3" s="1"/>
  <c r="R39" i="3"/>
  <c r="P21" i="3"/>
  <c r="Y21" i="3" s="1"/>
  <c r="R21" i="3"/>
  <c r="P24" i="3"/>
  <c r="Y24" i="3" s="1"/>
  <c r="R24" i="3"/>
  <c r="P32" i="3"/>
  <c r="Y32" i="3" s="1"/>
  <c r="R32" i="3"/>
  <c r="P31" i="3"/>
  <c r="Y31" i="3" s="1"/>
  <c r="R31" i="3"/>
  <c r="P35" i="3"/>
  <c r="Y35" i="3" s="1"/>
  <c r="R35" i="3"/>
  <c r="P38" i="3"/>
  <c r="Y38" i="3" s="1"/>
  <c r="R38" i="3"/>
  <c r="P23" i="3"/>
  <c r="Y23" i="3" s="1"/>
  <c r="R23" i="3"/>
  <c r="P26" i="3"/>
  <c r="Y26" i="3" s="1"/>
  <c r="R26" i="3"/>
  <c r="P34" i="3"/>
  <c r="Y34" i="3" s="1"/>
  <c r="R34" i="3"/>
  <c r="S43" i="3"/>
  <c r="C3" i="81"/>
  <c r="T43" i="3"/>
  <c r="D3" i="81"/>
  <c r="C3" i="1"/>
  <c r="D3" i="1"/>
  <c r="F3" i="1"/>
  <c r="B3" i="1"/>
  <c r="P20" i="3"/>
  <c r="Y20" i="3" s="1"/>
  <c r="L43" i="3"/>
  <c r="G10" i="1" s="1"/>
  <c r="N43" i="3"/>
  <c r="C43" i="3"/>
  <c r="D43" i="3"/>
  <c r="E43" i="3"/>
  <c r="H42" i="3"/>
  <c r="I42" i="3"/>
  <c r="G42" i="3"/>
  <c r="J42" i="3"/>
  <c r="C10" i="1" l="1"/>
  <c r="D10" i="1"/>
  <c r="R42" i="3"/>
  <c r="B10" i="1"/>
  <c r="R43" i="3"/>
  <c r="B3" i="81"/>
  <c r="F3" i="81"/>
  <c r="D10" i="81" s="1"/>
  <c r="AG40" i="80"/>
  <c r="E10" i="81" s="1"/>
  <c r="AF40" i="80"/>
  <c r="E10" i="11" s="1"/>
  <c r="AE40" i="80"/>
  <c r="E10" i="1" s="1"/>
  <c r="Y42" i="3"/>
  <c r="Y43" i="3" s="1"/>
  <c r="Z20" i="3"/>
  <c r="E8" i="33"/>
  <c r="P42" i="3"/>
  <c r="P43" i="3" s="1"/>
  <c r="F3" i="11"/>
  <c r="I43" i="3"/>
  <c r="D3" i="11"/>
  <c r="F8" i="27" s="1"/>
  <c r="B3" i="11"/>
  <c r="G43" i="3"/>
  <c r="H43" i="3"/>
  <c r="C3" i="11"/>
  <c r="D8" i="27" s="1"/>
  <c r="Q21" i="3"/>
  <c r="Z21" i="3" s="1"/>
  <c r="Q26" i="3"/>
  <c r="Z26" i="3" s="1"/>
  <c r="Q33" i="3"/>
  <c r="Z33" i="3" s="1"/>
  <c r="Q37" i="3"/>
  <c r="Z37" i="3" s="1"/>
  <c r="Q25" i="3"/>
  <c r="Z25" i="3" s="1"/>
  <c r="Q38" i="3"/>
  <c r="Z38" i="3" s="1"/>
  <c r="Q30" i="3"/>
  <c r="Z30" i="3" s="1"/>
  <c r="Q35" i="3"/>
  <c r="Z35" i="3" s="1"/>
  <c r="Q34" i="3"/>
  <c r="Z34" i="3" s="1"/>
  <c r="Q20" i="3"/>
  <c r="Q24" i="3"/>
  <c r="Z24" i="3" s="1"/>
  <c r="Q32" i="3"/>
  <c r="Z32" i="3" s="1"/>
  <c r="Q29" i="3"/>
  <c r="Z29" i="3" s="1"/>
  <c r="Q39" i="3"/>
  <c r="Z39" i="3" s="1"/>
  <c r="Q22" i="3"/>
  <c r="Z22" i="3" s="1"/>
  <c r="Q23" i="3"/>
  <c r="Z23" i="3" s="1"/>
  <c r="Q28" i="3"/>
  <c r="Z28" i="3" s="1"/>
  <c r="O42" i="3"/>
  <c r="Q36" i="3"/>
  <c r="Z36" i="3" s="1"/>
  <c r="Q27" i="3"/>
  <c r="Z27" i="3" s="1"/>
  <c r="Q31" i="3"/>
  <c r="Z31" i="3" s="1"/>
  <c r="F10" i="1" l="1"/>
  <c r="C10" i="81"/>
  <c r="B10" i="81"/>
  <c r="Z42" i="3"/>
  <c r="D22" i="27"/>
  <c r="F22" i="27"/>
  <c r="G8" i="33"/>
  <c r="B10" i="11"/>
  <c r="C8" i="27"/>
  <c r="C22" i="27" s="1"/>
  <c r="D10" i="11"/>
  <c r="C10" i="11"/>
  <c r="O43" i="3"/>
  <c r="G3" i="11"/>
  <c r="B8" i="27" s="1"/>
  <c r="Q42" i="3"/>
  <c r="F10" i="81" l="1"/>
  <c r="G10" i="11"/>
  <c r="B22" i="27"/>
  <c r="F10" i="11"/>
  <c r="E8" i="27"/>
  <c r="G8" i="27" s="1"/>
  <c r="E22" i="27" l="1"/>
  <c r="G22" i="27" l="1"/>
  <c r="O31" i="14" l="1"/>
  <c r="W31" i="14" s="1"/>
  <c r="O19" i="14"/>
  <c r="O30" i="14"/>
  <c r="W30" i="14" s="1"/>
  <c r="O18" i="14"/>
  <c r="O29" i="14"/>
  <c r="W29" i="14" s="1"/>
  <c r="O17" i="14"/>
  <c r="O28" i="14"/>
  <c r="W28" i="14" s="1"/>
  <c r="O16" i="14"/>
  <c r="O39" i="14"/>
  <c r="W39" i="14" s="1"/>
  <c r="O27" i="14"/>
  <c r="W27" i="14" s="1"/>
  <c r="O15" i="14"/>
  <c r="O38" i="14"/>
  <c r="W38" i="14" s="1"/>
  <c r="O26" i="14"/>
  <c r="W26" i="14" s="1"/>
  <c r="O14" i="14"/>
  <c r="O37" i="14"/>
  <c r="W37" i="14" s="1"/>
  <c r="O25" i="14"/>
  <c r="W25" i="14" s="1"/>
  <c r="O13" i="14"/>
  <c r="O36" i="14"/>
  <c r="W36" i="14" s="1"/>
  <c r="O24" i="14"/>
  <c r="W24" i="14" s="1"/>
  <c r="O12" i="14"/>
  <c r="O35" i="14"/>
  <c r="W35" i="14" s="1"/>
  <c r="O23" i="14"/>
  <c r="W23" i="14" s="1"/>
  <c r="O34" i="14"/>
  <c r="W34" i="14" s="1"/>
  <c r="O22" i="14"/>
  <c r="W22" i="14" s="1"/>
  <c r="O33" i="14"/>
  <c r="W33" i="14" s="1"/>
  <c r="O21" i="14"/>
  <c r="W21" i="14" s="1"/>
  <c r="O32" i="14"/>
  <c r="W32" i="14" s="1"/>
  <c r="O20" i="14"/>
  <c r="W20" i="14" s="1"/>
  <c r="W42" i="14" l="1"/>
  <c r="P22" i="14"/>
  <c r="P28" i="14"/>
  <c r="P20" i="14"/>
  <c r="P34" i="14"/>
  <c r="P27" i="14"/>
  <c r="P24" i="14"/>
  <c r="P30" i="14"/>
  <c r="P39" i="14"/>
  <c r="P36" i="14"/>
  <c r="P21" i="14"/>
  <c r="P38" i="14"/>
  <c r="P23" i="14"/>
  <c r="P35" i="14"/>
  <c r="P29" i="14"/>
  <c r="P25" i="14"/>
  <c r="P32" i="14"/>
  <c r="P37" i="14"/>
  <c r="P33" i="14"/>
  <c r="P26" i="14"/>
  <c r="P31" i="14"/>
  <c r="N38" i="22" l="1"/>
  <c r="W38" i="22" s="1"/>
  <c r="X38" i="14"/>
  <c r="N31" i="22"/>
  <c r="W31" i="22" s="1"/>
  <c r="X31" i="14"/>
  <c r="N26" i="22"/>
  <c r="W26" i="22" s="1"/>
  <c r="X26" i="14"/>
  <c r="N34" i="22"/>
  <c r="O34" i="22" s="1"/>
  <c r="X34" i="22" s="1"/>
  <c r="X34" i="14"/>
  <c r="N39" i="22"/>
  <c r="X39" i="14"/>
  <c r="N33" i="22"/>
  <c r="X33" i="14"/>
  <c r="N25" i="22"/>
  <c r="W25" i="22" s="1"/>
  <c r="X25" i="14"/>
  <c r="N36" i="22"/>
  <c r="W36" i="22" s="1"/>
  <c r="X36" i="14"/>
  <c r="N24" i="22"/>
  <c r="X24" i="14"/>
  <c r="N28" i="22"/>
  <c r="X28" i="14"/>
  <c r="N21" i="22"/>
  <c r="X21" i="14"/>
  <c r="N30" i="22"/>
  <c r="X30" i="14"/>
  <c r="N37" i="22"/>
  <c r="O37" i="22" s="1"/>
  <c r="X37" i="22" s="1"/>
  <c r="X37" i="14"/>
  <c r="N27" i="22"/>
  <c r="W27" i="22" s="1"/>
  <c r="X27" i="14"/>
  <c r="N32" i="22"/>
  <c r="L32" i="22" s="1"/>
  <c r="X32" i="14"/>
  <c r="N20" i="22"/>
  <c r="X20" i="14"/>
  <c r="N29" i="22"/>
  <c r="X29" i="14"/>
  <c r="N35" i="22"/>
  <c r="X35" i="14"/>
  <c r="N22" i="22"/>
  <c r="L22" i="22" s="1"/>
  <c r="X22" i="14"/>
  <c r="N23" i="22"/>
  <c r="O23" i="22" s="1"/>
  <c r="X23" i="22" s="1"/>
  <c r="X23" i="14"/>
  <c r="L38" i="22"/>
  <c r="K33" i="22"/>
  <c r="K24" i="22"/>
  <c r="K23" i="22"/>
  <c r="K37" i="22"/>
  <c r="K27" i="22"/>
  <c r="O26" i="22"/>
  <c r="X26" i="22" s="1"/>
  <c r="K26" i="22"/>
  <c r="O38" i="22"/>
  <c r="X38" i="22" s="1"/>
  <c r="K38" i="22"/>
  <c r="K21" i="22"/>
  <c r="K34" i="22"/>
  <c r="M42" i="22"/>
  <c r="K36" i="22"/>
  <c r="O25" i="22"/>
  <c r="X25" i="22" s="1"/>
  <c r="K25" i="22"/>
  <c r="K29" i="22"/>
  <c r="K28" i="22"/>
  <c r="K32" i="22"/>
  <c r="K31" i="22"/>
  <c r="K39" i="22"/>
  <c r="K35" i="22"/>
  <c r="K30" i="22"/>
  <c r="K22" i="22"/>
  <c r="R32" i="14"/>
  <c r="Z32" i="14" s="1"/>
  <c r="R24" i="14"/>
  <c r="Z24" i="14" s="1"/>
  <c r="R38" i="14"/>
  <c r="Z38" i="14" s="1"/>
  <c r="R33" i="14"/>
  <c r="Z33" i="14" s="1"/>
  <c r="R25" i="14"/>
  <c r="Z25" i="14" s="1"/>
  <c r="R28" i="14"/>
  <c r="Z28" i="14" s="1"/>
  <c r="R37" i="14"/>
  <c r="Z37" i="14" s="1"/>
  <c r="R21" i="14"/>
  <c r="Z21" i="14" s="1"/>
  <c r="P42" i="14"/>
  <c r="R20" i="14"/>
  <c r="R29" i="14"/>
  <c r="Z29" i="14" s="1"/>
  <c r="R23" i="14"/>
  <c r="Z23" i="14" s="1"/>
  <c r="R27" i="14"/>
  <c r="Z27" i="14" s="1"/>
  <c r="R34" i="14"/>
  <c r="Z34" i="14" s="1"/>
  <c r="R36" i="14"/>
  <c r="Z36" i="14" s="1"/>
  <c r="R31" i="14"/>
  <c r="Z31" i="14" s="1"/>
  <c r="R39" i="14"/>
  <c r="Z39" i="14" s="1"/>
  <c r="R26" i="14"/>
  <c r="Z26" i="14" s="1"/>
  <c r="R35" i="14"/>
  <c r="Z35" i="14" s="1"/>
  <c r="R30" i="14"/>
  <c r="Z30" i="14" s="1"/>
  <c r="R22" i="14"/>
  <c r="Z22" i="14" s="1"/>
  <c r="L26" i="22" l="1"/>
  <c r="L31" i="22"/>
  <c r="O36" i="22"/>
  <c r="X36" i="22" s="1"/>
  <c r="O31" i="22"/>
  <c r="X31" i="22" s="1"/>
  <c r="L36" i="22"/>
  <c r="L25" i="22"/>
  <c r="L27" i="22"/>
  <c r="O27" i="22"/>
  <c r="X27" i="22" s="1"/>
  <c r="L35" i="22"/>
  <c r="W35" i="22"/>
  <c r="L30" i="22"/>
  <c r="W30" i="22"/>
  <c r="L33" i="22"/>
  <c r="W33" i="22"/>
  <c r="L21" i="22"/>
  <c r="W21" i="22"/>
  <c r="L39" i="22"/>
  <c r="W39" i="22"/>
  <c r="L20" i="22"/>
  <c r="W20" i="22"/>
  <c r="L28" i="22"/>
  <c r="W28" i="22"/>
  <c r="L34" i="22"/>
  <c r="W34" i="22"/>
  <c r="O32" i="22"/>
  <c r="X32" i="22" s="1"/>
  <c r="W32" i="22"/>
  <c r="L24" i="22"/>
  <c r="W24" i="22"/>
  <c r="L23" i="22"/>
  <c r="W23" i="22"/>
  <c r="O24" i="22"/>
  <c r="X24" i="22" s="1"/>
  <c r="L29" i="22"/>
  <c r="W29" i="22"/>
  <c r="O22" i="22"/>
  <c r="X22" i="22" s="1"/>
  <c r="W22" i="22"/>
  <c r="L37" i="22"/>
  <c r="W37" i="22"/>
  <c r="O39" i="22"/>
  <c r="X39" i="22" s="1"/>
  <c r="O21" i="22"/>
  <c r="X21" i="22" s="1"/>
  <c r="O28" i="22"/>
  <c r="X28" i="22" s="1"/>
  <c r="O29" i="22"/>
  <c r="X29" i="22" s="1"/>
  <c r="N42" i="22"/>
  <c r="N43" i="22" s="1"/>
  <c r="O30" i="22"/>
  <c r="X30" i="22" s="1"/>
  <c r="O35" i="22"/>
  <c r="O33" i="22"/>
  <c r="X33" i="22" s="1"/>
  <c r="O20" i="22"/>
  <c r="X42" i="14"/>
  <c r="Z20" i="14"/>
  <c r="Z42" i="14" s="1"/>
  <c r="K42" i="22"/>
  <c r="P43" i="14"/>
  <c r="G12" i="11" s="1"/>
  <c r="G5" i="11"/>
  <c r="B10" i="27" s="1"/>
  <c r="B24" i="27" s="1"/>
  <c r="Q31" i="22"/>
  <c r="Z31" i="22" s="1"/>
  <c r="Q25" i="22"/>
  <c r="Z25" i="22" s="1"/>
  <c r="Q37" i="22"/>
  <c r="Z37" i="22" s="1"/>
  <c r="Q36" i="22"/>
  <c r="Z36" i="22" s="1"/>
  <c r="Q38" i="22"/>
  <c r="Z38" i="22" s="1"/>
  <c r="Q23" i="22"/>
  <c r="Z23" i="22" s="1"/>
  <c r="Q26" i="22"/>
  <c r="Z26" i="22" s="1"/>
  <c r="Q34" i="22"/>
  <c r="Z34" i="22" s="1"/>
  <c r="R42" i="14"/>
  <c r="Q33" i="22" l="1"/>
  <c r="Z33" i="22" s="1"/>
  <c r="Q27" i="22"/>
  <c r="Z27" i="22" s="1"/>
  <c r="Q22" i="22"/>
  <c r="Z22" i="22" s="1"/>
  <c r="X43" i="14"/>
  <c r="G12" i="81" s="1"/>
  <c r="G5" i="81"/>
  <c r="Q21" i="22"/>
  <c r="Z21" i="22" s="1"/>
  <c r="L42" i="22"/>
  <c r="L43" i="22" s="1"/>
  <c r="G13" i="1" s="1"/>
  <c r="Q29" i="22"/>
  <c r="Z29" i="22" s="1"/>
  <c r="Q35" i="22"/>
  <c r="Z35" i="22" s="1"/>
  <c r="X35" i="22"/>
  <c r="Q28" i="22"/>
  <c r="Z28" i="22" s="1"/>
  <c r="W42" i="22"/>
  <c r="Q24" i="22"/>
  <c r="Z24" i="22" s="1"/>
  <c r="Q39" i="22"/>
  <c r="Z39" i="22" s="1"/>
  <c r="Q30" i="22"/>
  <c r="Z30" i="22" s="1"/>
  <c r="O42" i="22"/>
  <c r="X20" i="22"/>
  <c r="Q32" i="22"/>
  <c r="Z32" i="22" s="1"/>
  <c r="Q20" i="22"/>
  <c r="E10" i="27"/>
  <c r="G10" i="27" s="1"/>
  <c r="Q42" i="22" l="1"/>
  <c r="O43" i="22"/>
  <c r="G13" i="11" s="1"/>
  <c r="Z20" i="22"/>
  <c r="Z42" i="22" s="1"/>
  <c r="X42" i="22"/>
  <c r="G6" i="11"/>
  <c r="B11" i="27" s="1"/>
  <c r="B25" i="27" s="1"/>
  <c r="E11" i="33"/>
  <c r="X43" i="22" l="1"/>
  <c r="G13" i="81" s="1"/>
  <c r="G6" i="81"/>
  <c r="E11" i="27"/>
  <c r="G11" i="27" s="1"/>
  <c r="G11" i="33"/>
  <c r="E24" i="27"/>
  <c r="E25" i="27" l="1"/>
  <c r="G24" i="27"/>
  <c r="G25" i="27" l="1"/>
</calcChain>
</file>

<file path=xl/sharedStrings.xml><?xml version="1.0" encoding="utf-8"?>
<sst xmlns="http://schemas.openxmlformats.org/spreadsheetml/2006/main" count="2629" uniqueCount="780">
  <si>
    <t>Summary Tables</t>
  </si>
  <si>
    <t>Nominal$</t>
  </si>
  <si>
    <t>Case</t>
  </si>
  <si>
    <t>Energy Revenue</t>
  </si>
  <si>
    <t>Capacity Revenue</t>
  </si>
  <si>
    <t>Energy Market Impact</t>
  </si>
  <si>
    <t>MWh</t>
  </si>
  <si>
    <t>OSW</t>
  </si>
  <si>
    <t>Storage</t>
  </si>
  <si>
    <t>SOO Green</t>
  </si>
  <si>
    <t>All</t>
  </si>
  <si>
    <t>($/MWh)</t>
  </si>
  <si>
    <t>Total</t>
  </si>
  <si>
    <t>Cost (EST)</t>
  </si>
  <si>
    <t>$2022 Real</t>
  </si>
  <si>
    <t>Assumptions</t>
  </si>
  <si>
    <t>OSW:</t>
  </si>
  <si>
    <t>Aurora Output (Nominal)</t>
  </si>
  <si>
    <t>Aurora Output ($2022)</t>
  </si>
  <si>
    <t>Cost Data ($2022)</t>
  </si>
  <si>
    <t>Revenues and Costs ($2022)</t>
  </si>
  <si>
    <t>CapEx</t>
  </si>
  <si>
    <t>OpEx</t>
  </si>
  <si>
    <t>Costs</t>
  </si>
  <si>
    <t>Revenues</t>
  </si>
  <si>
    <t>Net Revenues</t>
  </si>
  <si>
    <t>Inflation</t>
  </si>
  <si>
    <t>Cum. Inflation</t>
  </si>
  <si>
    <t>Year</t>
  </si>
  <si>
    <t>($)</t>
  </si>
  <si>
    <t>2030 - 2049 Totals</t>
  </si>
  <si>
    <t>2030 - 2049 $/MWh</t>
  </si>
  <si>
    <t>Operating Expense Assumptions</t>
  </si>
  <si>
    <t>System_Size (kW)</t>
  </si>
  <si>
    <t>System_Age</t>
  </si>
  <si>
    <t>($2022)</t>
  </si>
  <si>
    <t>Scale Factor</t>
  </si>
  <si>
    <t>CapEx ($/kW)</t>
  </si>
  <si>
    <t>CapEx ($)</t>
  </si>
  <si>
    <t>Life of project</t>
  </si>
  <si>
    <t>LCOE</t>
  </si>
  <si>
    <t>OSW Annual Detail</t>
  </si>
  <si>
    <t>Operating</t>
  </si>
  <si>
    <t>Total Costs ($2022)</t>
  </si>
  <si>
    <t>Total OpEx</t>
  </si>
  <si>
    <t>Total CapEx</t>
  </si>
  <si>
    <t>Source:</t>
  </si>
  <si>
    <t>Storage Annual Detail</t>
  </si>
  <si>
    <t>Soo Green Annual Detail</t>
  </si>
  <si>
    <t>Battery Backup:</t>
  </si>
  <si>
    <t>LCOE Comparisons</t>
  </si>
  <si>
    <t>LCOE of Utility-Scale PV</t>
  </si>
  <si>
    <t>Wind LCOE Over Time</t>
  </si>
  <si>
    <t>LCOE PV Ratios</t>
  </si>
  <si>
    <t>LCOE Wind Ratios</t>
  </si>
  <si>
    <t>PJM</t>
  </si>
  <si>
    <t>MISO</t>
  </si>
  <si>
    <t>NYISO</t>
  </si>
  <si>
    <t>Items</t>
  </si>
  <si>
    <t>Units</t>
  </si>
  <si>
    <t>CPNY</t>
  </si>
  <si>
    <t>Soo Green</t>
  </si>
  <si>
    <t>Soo Green Proxy</t>
  </si>
  <si>
    <t>(CPNY Strike Price scaled by Wind and PV LCOEs)</t>
  </si>
  <si>
    <t>Cost Data (Nominal)</t>
  </si>
  <si>
    <t>Nominal Costs:</t>
  </si>
  <si>
    <t>2017 - 2022</t>
  </si>
  <si>
    <t>Weighting</t>
  </si>
  <si>
    <t>Wgtd. Avg.</t>
  </si>
  <si>
    <t>Fixed</t>
  </si>
  <si>
    <t>Notes:</t>
  </si>
  <si>
    <t>Scaled up CapEx costs, to strip out learning.</t>
  </si>
  <si>
    <t>$2022</t>
  </si>
  <si>
    <t>Soo Green MWh</t>
  </si>
  <si>
    <t>CapEx Battery - 4 Hours_MISO - Costs in $2022.</t>
  </si>
  <si>
    <t>(adjusted by MISO 4 hour battery costs)</t>
  </si>
  <si>
    <t>$/MWh (Nominal)</t>
  </si>
  <si>
    <t>$/MWh ($2022)</t>
  </si>
  <si>
    <t>CPNY Strike Price</t>
  </si>
  <si>
    <t>Capital Charge Rate (%)</t>
  </si>
  <si>
    <t>Battery</t>
  </si>
  <si>
    <t>https://www.solar.com/learn/federal-solar-tax-credit-steps-down/</t>
  </si>
  <si>
    <t>CCR (%)</t>
  </si>
  <si>
    <t>$2022 Costs:</t>
  </si>
  <si>
    <t>Battery - 4 Hours_MISO (650 MW - Soo Green)</t>
  </si>
  <si>
    <t>Share of 1030</t>
  </si>
  <si>
    <t>CPNY LCOE</t>
  </si>
  <si>
    <t>Cost Data ($2022/MWh)</t>
  </si>
  <si>
    <t>Cost Data ($/MWh Nominal)</t>
  </si>
  <si>
    <t>Nominal</t>
  </si>
  <si>
    <t>Inflation Scaler</t>
  </si>
  <si>
    <t>%</t>
  </si>
  <si>
    <t>CapEx Battery - 4 Hours_MISO - Nominal</t>
  </si>
  <si>
    <t>CapEx $ (Nominal) divided by total Soo Green MWh</t>
  </si>
  <si>
    <t>CapEx $ ($2022) divided by total Soo Green MWh</t>
  </si>
  <si>
    <t>CPNY Strike Price Rescaled</t>
  </si>
  <si>
    <t>All Annual Detail</t>
  </si>
  <si>
    <t>LateNov</t>
  </si>
  <si>
    <t>Source</t>
  </si>
  <si>
    <t>Cost</t>
  </si>
  <si>
    <t>Energy Output</t>
  </si>
  <si>
    <t>Total Benefits</t>
  </si>
  <si>
    <t>Net Market Revenues</t>
  </si>
  <si>
    <t>Project Summary ($2022)</t>
  </si>
  <si>
    <t>Years</t>
  </si>
  <si>
    <t>$1,000 Nominal</t>
  </si>
  <si>
    <t>GWh</t>
  </si>
  <si>
    <t>CPNY x 1.15 (due to inflation)</t>
  </si>
  <si>
    <t>Project Summary ($1,000 2022) - Annualized</t>
  </si>
  <si>
    <t>Million</t>
  </si>
  <si>
    <t>Table 7</t>
  </si>
  <si>
    <t>Table 2</t>
  </si>
  <si>
    <t>Soo Green Costs</t>
  </si>
  <si>
    <t>Check</t>
  </si>
  <si>
    <t>Total CapEx (recalc)</t>
  </si>
  <si>
    <t>Ratio</t>
  </si>
  <si>
    <t>MW</t>
  </si>
  <si>
    <t>For use in the Benefits model:</t>
  </si>
  <si>
    <t>Battery - 10 Hours_PJM</t>
  </si>
  <si>
    <t>Battery - 10 Hours_MISO</t>
  </si>
  <si>
    <t>Battery - 4 Hours_PJM</t>
  </si>
  <si>
    <t>Battery - 4 Hours_MISO</t>
  </si>
  <si>
    <t>CapEx ($2022)</t>
  </si>
  <si>
    <t>CapEx Costs ($2022/kW)</t>
  </si>
  <si>
    <t>Each row represents the CapEx for one vintage, spread over the available periods</t>
  </si>
  <si>
    <t>Utility-Scale Battery Storage - 4Hr</t>
  </si>
  <si>
    <t>Utility-Scale Battery Storage - 10Hr</t>
  </si>
  <si>
    <t>Location Scale (%)</t>
  </si>
  <si>
    <t>CapEx ($2022/kW)</t>
  </si>
  <si>
    <t>Overnight Capital Cost ($/kW)</t>
  </si>
  <si>
    <t>Incremental MW</t>
  </si>
  <si>
    <t>Capital Expense</t>
  </si>
  <si>
    <t>Total Annual Operating Expense ($2022)</t>
  </si>
  <si>
    <t>Build Year</t>
  </si>
  <si>
    <t>Annual MW</t>
  </si>
  <si>
    <t>Annual Operating Expense ($2022/kW-yr)</t>
  </si>
  <si>
    <t>Fixed Operation and Maintenance Expenses ($/kW-yr)</t>
  </si>
  <si>
    <t>10-Hour ComEd System_Size (MW)</t>
  </si>
  <si>
    <t>10-Hour MISO System_Size (MW)</t>
  </si>
  <si>
    <t>4-Hour ComEd System_Size (MW)</t>
  </si>
  <si>
    <t>4-Hour MISO System_Size (MW)</t>
  </si>
  <si>
    <t>Annual Project MW</t>
  </si>
  <si>
    <t>Operating Expense Calculations</t>
  </si>
  <si>
    <t>Year of Plant Operation</t>
  </si>
  <si>
    <t>Calendar</t>
  </si>
  <si>
    <t>Residential Battery Storage - 5 kW - 20 kWh</t>
  </si>
  <si>
    <t>Commercial Battery Storage 4Hr</t>
  </si>
  <si>
    <t>Battery - Res 4 Hours_PJM</t>
  </si>
  <si>
    <t>Battery - Res 4 Hours_MISO</t>
  </si>
  <si>
    <t>Battery - Com 4 Hours_PJM</t>
  </si>
  <si>
    <t>Battery - Com 4 Hours_MISO</t>
  </si>
  <si>
    <t>Expense Scale</t>
  </si>
  <si>
    <t>Start Date of Plant Operation</t>
  </si>
  <si>
    <t>kw per MW</t>
  </si>
  <si>
    <t>Notes</t>
  </si>
  <si>
    <t>Value</t>
  </si>
  <si>
    <t>DepFctr</t>
  </si>
  <si>
    <t>RCCR</t>
  </si>
  <si>
    <t>Real CCR</t>
  </si>
  <si>
    <t>RWACC</t>
  </si>
  <si>
    <t>Real WACC (A/T)</t>
  </si>
  <si>
    <t>NCCR</t>
  </si>
  <si>
    <t>Nominal CCR</t>
  </si>
  <si>
    <t>NWACC</t>
  </si>
  <si>
    <t>Nominal WACC  (A/T)</t>
  </si>
  <si>
    <t>EITR</t>
  </si>
  <si>
    <t>Effective Income Tax Rate</t>
  </si>
  <si>
    <t>PVDpr</t>
  </si>
  <si>
    <t>PV of Depreciation</t>
  </si>
  <si>
    <t>DBR</t>
  </si>
  <si>
    <t>Declining Bal Rate</t>
  </si>
  <si>
    <t>Inf</t>
  </si>
  <si>
    <t>ITCR</t>
  </si>
  <si>
    <t>ITC Rate</t>
  </si>
  <si>
    <t>TL</t>
  </si>
  <si>
    <t>Tax Life (MACRS)</t>
  </si>
  <si>
    <t>BL</t>
  </si>
  <si>
    <t>Book Life</t>
  </si>
  <si>
    <t>SITR</t>
  </si>
  <si>
    <t>State Income Tax Rate</t>
  </si>
  <si>
    <t>FITR</t>
  </si>
  <si>
    <t>Federal Income Tax Rate</t>
  </si>
  <si>
    <t>EqRet</t>
  </si>
  <si>
    <t>Equity return</t>
  </si>
  <si>
    <t>Int</t>
  </si>
  <si>
    <t>Interest</t>
  </si>
  <si>
    <t>DbtRt</t>
  </si>
  <si>
    <t>Debt %</t>
  </si>
  <si>
    <t>Utility-Scale</t>
  </si>
  <si>
    <t>Capital Charge Rates</t>
  </si>
  <si>
    <t>https://www.solar.com/learn/how-getting-a-home-battery-affects-your-federal-solar-incentive-tax-credit/</t>
  </si>
  <si>
    <t>https://windexchange.energy.gov/projects/tax-credits</t>
  </si>
  <si>
    <t>Battery - 4 Hours</t>
  </si>
  <si>
    <t>Battery - 10 Hours</t>
  </si>
  <si>
    <t>Conservative</t>
  </si>
  <si>
    <t>(%)</t>
  </si>
  <si>
    <t>Location-Scaling Factors</t>
  </si>
  <si>
    <t>Tech Innovation</t>
  </si>
  <si>
    <t>Project Type</t>
  </si>
  <si>
    <t>2023 NREL ATB</t>
  </si>
  <si>
    <t>Graph Data for Batteries</t>
  </si>
  <si>
    <t>Residential</t>
  </si>
  <si>
    <t>Commercial</t>
  </si>
  <si>
    <t>PJM %</t>
  </si>
  <si>
    <t>MISO %</t>
  </si>
  <si>
    <t>PJM Residential</t>
  </si>
  <si>
    <t>pp. 15-16 from Appendix E: Illinois Power Agency Policy Study: Aurora Production cost Modeling</t>
  </si>
  <si>
    <t>MISO Residential</t>
  </si>
  <si>
    <t>Illinois Power Agency Policy Study: Aurora Production cost Modeling</t>
  </si>
  <si>
    <t>PJM Commercial</t>
  </si>
  <si>
    <t>MISO Commercial</t>
  </si>
  <si>
    <t>Incremental</t>
  </si>
  <si>
    <t>ComEd</t>
  </si>
  <si>
    <t>N/A</t>
  </si>
  <si>
    <t>Grid Connection Cost ($/kW)</t>
  </si>
  <si>
    <t>Cole and Karmakar (2023)</t>
  </si>
  <si>
    <t>Variable Operating Expenses ($/MWh)</t>
  </si>
  <si>
    <t>Fixed Operating Expenses ($/kW-yr)</t>
  </si>
  <si>
    <t>Already captured in projections</t>
  </si>
  <si>
    <t>2021 to 2022 overnight capital cost adjustments (%)</t>
  </si>
  <si>
    <t>Assumes one cycle per day</t>
  </si>
  <si>
    <t>Net Capacity Factor (%)</t>
  </si>
  <si>
    <t>Escalation Index</t>
  </si>
  <si>
    <t>Dollar Year</t>
  </si>
  <si>
    <t>Citation</t>
  </si>
  <si>
    <t>Future Projections Costs:</t>
  </si>
  <si>
    <t>Spur Line Cost ($/kW)</t>
  </si>
  <si>
    <t>V. Ramasamy, D. Feldman, J. Desai, and R. Margolis. 2022. U.S. Solar Photovoltaic System and Energy Storage Cost Benchmark: Q1 2022. Golden, CO: National Renewable Energy Laboratory</t>
  </si>
  <si>
    <t xml:space="preserve">V. Ramasamy, D. Feldman, J. Desai, and R. Margolis. 2022. U.S. Solar Photovoltaic System and Energy Storage Cost Benchmark: Q1 2022. Golden, CO: National Renewable Energy Laboratory; and </t>
  </si>
  <si>
    <t>Available Capacity (GW)</t>
  </si>
  <si>
    <t>Current Costs:</t>
  </si>
  <si>
    <t>Data Sources for Default Inputs</t>
  </si>
  <si>
    <t>Moderate</t>
  </si>
  <si>
    <t>Advanced</t>
  </si>
  <si>
    <t>Utility-Scale Battery Storage - 8Hr</t>
  </si>
  <si>
    <t>Utility-Scale Battery Storage - 6Hr</t>
  </si>
  <si>
    <t>Utility-Scale Battery Storage - 2Hr</t>
  </si>
  <si>
    <t>Capacity Factor (%)</t>
  </si>
  <si>
    <t>Round-Trip Efficiency</t>
  </si>
  <si>
    <t>Variable Operation and Maintenance Expenses ($/MWh)</t>
  </si>
  <si>
    <t>Techno-Economic Cost and Performance Parameters</t>
  </si>
  <si>
    <t>For 15-year technical life (values in 2021$):</t>
  </si>
  <si>
    <t xml:space="preserve">All values are given in 2021 U.S. dollars, using the Consumer Price Index (BLS, 2022) for dollar year conversions. </t>
  </si>
  <si>
    <t>Future Projections</t>
  </si>
  <si>
    <t>Y</t>
  </si>
  <si>
    <t>Utility</t>
  </si>
  <si>
    <t>Lithium Ion - 10 Hr</t>
  </si>
  <si>
    <t>Lithium Ion - 8 Hr</t>
  </si>
  <si>
    <t>Lithium Ion - 6 Hr</t>
  </si>
  <si>
    <t>Lithium Ion - 4 Hr</t>
  </si>
  <si>
    <t>Lithium Ion - 2 Hr</t>
  </si>
  <si>
    <t>Maturity</t>
  </si>
  <si>
    <t>Scale</t>
  </si>
  <si>
    <t>Resource</t>
  </si>
  <si>
    <t>Tech</t>
  </si>
  <si>
    <t>Name</t>
  </si>
  <si>
    <t>Technology Classification</t>
  </si>
  <si>
    <t>Total System Cost ($/kW) = Battery Energy Cost ($/kWh) * Storage Duration (hr) + Battery Power Cost ($/kW)</t>
  </si>
  <si>
    <t>Battery Power Capital Cost ($/kW)</t>
  </si>
  <si>
    <t>Battery Energy Capital Cost ($/kWh)</t>
  </si>
  <si>
    <t>Capital Cost ($/kWh)</t>
  </si>
  <si>
    <t>Reference: Battery Storage cost values from W. Cole and A. Karmakar, “Cost Projections for Utility-scale Battery Storage: 2023 Update,” NREL/TP-6A40-85332. Golden, CO: National Renewable Energy Laboratory. https://www.nrel.gov/docs/fy23osti/85332.pdf. Note that values are converted to 2021$ for the ATB.</t>
  </si>
  <si>
    <r>
      <t xml:space="preserve">Representative Li-Ion Battery </t>
    </r>
    <r>
      <rPr>
        <b/>
        <sz val="10"/>
        <rFont val="Arial"/>
        <family val="2"/>
      </rPr>
      <t>Storage, 60 MW, 240 MWh</t>
    </r>
    <r>
      <rPr>
        <sz val="10"/>
        <rFont val="Arial"/>
        <family val="2"/>
      </rPr>
      <t xml:space="preserve"> storage (4 hours)</t>
    </r>
  </si>
  <si>
    <t>Utility Scale Battery Storage</t>
  </si>
  <si>
    <t>All values are given in 2021 U.S. dollars, see references at the bottom of this worksheet for dollar year conversions where source dollar years don't match 2021.</t>
  </si>
  <si>
    <t>Base Year:</t>
  </si>
  <si>
    <t>Technology</t>
  </si>
  <si>
    <t>X</t>
  </si>
  <si>
    <t>Input from other tab</t>
  </si>
  <si>
    <t>Calculated</t>
  </si>
  <si>
    <t>Inputs</t>
  </si>
  <si>
    <t>https://atb.nrel.gov/electricity/2023/utility-scale_battery_storage</t>
  </si>
  <si>
    <t>Utility-Scale Battery Storage</t>
  </si>
  <si>
    <t xml:space="preserve">Battery Storage cost values from C. Augustine and N. Blair, “Energy Storage Futures Study Storage Technology Modeling Input Data Report,” NREL/TP-5700-78694. Golden, CO: National Renewable Energy Laboratory. 2021 </t>
  </si>
  <si>
    <t>Commercial Battery Storage 8Hr</t>
  </si>
  <si>
    <t>Commercial Battery Storage 6Hr</t>
  </si>
  <si>
    <t>Commercial Battery Storage 2Hr</t>
  </si>
  <si>
    <t>Commercial Battery Storage 1Hr</t>
  </si>
  <si>
    <t>Total Installed Cost ($)</t>
  </si>
  <si>
    <t>For 30-year life (values in 2020$):</t>
  </si>
  <si>
    <t>All values are given in 2020 U.S. dollars, using the Consumer Price Index (BLS, 2021) for dollar year conversions.</t>
  </si>
  <si>
    <t>Lithium Ion - 1 Hr</t>
  </si>
  <si>
    <t>Total System Cost ($) = Battery Storage Capacity (kWh) *  Battery Energy Cost ($/kWh) + Battery Power Capacity (kW) * Battery Power Cost ($/kW) + Battery Power Constant ($)</t>
  </si>
  <si>
    <t>Battery Capital Cost Constant ($)</t>
  </si>
  <si>
    <t xml:space="preserve">Reference: Battery Storage cost values from C. Augustine and N. Blair, “Energy Storage Futures Study Storage Technology Modeling Input Data Report,” NREL/TP-5700-78694. Golden, CO: National Renewable Energy Laboratory. https://www.nrel.gov/docs/fy21osti/78694.pdf.
</t>
  </si>
  <si>
    <r>
      <t xml:space="preserve">Representative Li-Ion Battery </t>
    </r>
    <r>
      <rPr>
        <b/>
        <sz val="10"/>
        <rFont val="Arial"/>
        <family val="2"/>
      </rPr>
      <t>Storage, AC-coupled 600 kW, 2400 kWh</t>
    </r>
    <r>
      <rPr>
        <sz val="10"/>
        <rFont val="Arial"/>
        <family val="2"/>
      </rPr>
      <t xml:space="preserve"> storage (4 hours)</t>
    </r>
  </si>
  <si>
    <t xml:space="preserve"> Commercial Battery Storage</t>
  </si>
  <si>
    <t>https://atb.nrel.gov/electricity/2023/commercial_battery_storage</t>
  </si>
  <si>
    <t>Commercial Battery Storage</t>
  </si>
  <si>
    <t>Residential Battery Storage - 5 kW - 12.5 kWh</t>
  </si>
  <si>
    <t>For  30-year life (values in 2020$):</t>
  </si>
  <si>
    <t>Lithium Ion - 5 kW - 20 kWh</t>
  </si>
  <si>
    <t>Lithium Ion - 5 kW - 12.5 kWh</t>
  </si>
  <si>
    <r>
      <t xml:space="preserve">Representative Li-Ion Battery </t>
    </r>
    <r>
      <rPr>
        <b/>
        <sz val="10"/>
        <rFont val="Arial"/>
        <family val="2"/>
      </rPr>
      <t>Storage, AC-coupled 5 kW, 20 kWh</t>
    </r>
    <r>
      <rPr>
        <sz val="10"/>
        <rFont val="Arial"/>
        <family val="2"/>
      </rPr>
      <t xml:space="preserve"> storage (4 hours)</t>
    </r>
  </si>
  <si>
    <t xml:space="preserve"> Residential Battery Storage</t>
  </si>
  <si>
    <t>https://atb.nrel.gov/electricity/2023/residential_battery_storage</t>
  </si>
  <si>
    <t>Residential Battery Storage</t>
  </si>
  <si>
    <t>Scaler from $2021 to $2022</t>
  </si>
  <si>
    <t>GDPDEF</t>
  </si>
  <si>
    <t>observation_date</t>
  </si>
  <si>
    <t>Frequency: Quarterly</t>
  </si>
  <si>
    <t>Gross Domestic Product: Implicit Price Deflator, Index 2017=100, Quarterly, Seasonally Adjusted</t>
  </si>
  <si>
    <t>Federal Reserve Bank of St. Louis</t>
  </si>
  <si>
    <t>Economic Research Division</t>
  </si>
  <si>
    <t>Help: https://fredhelp.stlouisfed.org</t>
  </si>
  <si>
    <t>Link: https://fred.stlouisfed.org</t>
  </si>
  <si>
    <t>Federal Reserve Economic Data</t>
  </si>
  <si>
    <t>FRED Graph Observations</t>
  </si>
  <si>
    <t>https://www.eia.gov/outlooks/aeo/assumptions/</t>
  </si>
  <si>
    <t>Weblink:</t>
  </si>
  <si>
    <t>NA</t>
  </si>
  <si>
    <t>Solar PV with storagei, k</t>
  </si>
  <si>
    <t>Solar photovoltaic (PV) with trackinge, i, k</t>
  </si>
  <si>
    <t>Solar thermali</t>
  </si>
  <si>
    <t>Wind offshorei</t>
  </si>
  <si>
    <t>Winde</t>
  </si>
  <si>
    <t>Conventional hydropowerj</t>
  </si>
  <si>
    <t>Geothermali, j</t>
  </si>
  <si>
    <t>Biomass</t>
  </si>
  <si>
    <t>Battery storage</t>
  </si>
  <si>
    <t>Distributed generation—peak</t>
  </si>
  <si>
    <t>Distributed generation—base</t>
  </si>
  <si>
    <t>Nuclear—small modular reactor</t>
  </si>
  <si>
    <t>Nuclear—light water reactor</t>
  </si>
  <si>
    <t>Fuel cells</t>
  </si>
  <si>
    <t>Combustion turbine—industrial frame</t>
  </si>
  <si>
    <t>Combustion turbine—aeroderivativeh</t>
  </si>
  <si>
    <t>Internal combustion engine</t>
  </si>
  <si>
    <t>Combined-cycle with 90% CCS</t>
  </si>
  <si>
    <t>Combined-cycle—multi-shaft</t>
  </si>
  <si>
    <t>Combined-cycle—single-shaft</t>
  </si>
  <si>
    <t>USC with 90% CCS</t>
  </si>
  <si>
    <t>USC with 30% carbon capture and sequestration (CCS)</t>
  </si>
  <si>
    <t>Ultra-supercritical coal (USC)</t>
  </si>
  <si>
    <t>Heat rateg (Btu/kWh)</t>
  </si>
  <si>
    <t>Fixed O&amp;M
(2022$/
kWy)</t>
  </si>
  <si>
    <t>Variable O&amp;Mf (2022$/
MWh)</t>
  </si>
  <si>
    <t>Total overnight
costd,e
(2022$/kW)</t>
  </si>
  <si>
    <t>Techno- logical optimism
factorc</t>
  </si>
  <si>
    <t>Base
overnight
costb (2022$/
kW)</t>
  </si>
  <si>
    <t>Lead time
(years)</t>
  </si>
  <si>
    <t>Size (MW)</t>
  </si>
  <si>
    <t>First available
yeara</t>
  </si>
  <si>
    <t>% of US Generic Wind</t>
  </si>
  <si>
    <t>US Generic OSW</t>
  </si>
  <si>
    <t>US Generic Wind</t>
  </si>
  <si>
    <t>% of US Generic PV Tracking</t>
  </si>
  <si>
    <t>US Generic PV Tracking</t>
  </si>
  <si>
    <t>% of US Generic Battery</t>
  </si>
  <si>
    <t>US Generic Battery</t>
  </si>
  <si>
    <t>Solar PV with storage</t>
  </si>
  <si>
    <t>Solar PV with tracking</t>
  </si>
  <si>
    <t>Solar thermal</t>
  </si>
  <si>
    <t>Wind offshore</t>
  </si>
  <si>
    <t>Wind</t>
  </si>
  <si>
    <t>Conventional hydropower</t>
  </si>
  <si>
    <t>Geothermal</t>
  </si>
  <si>
    <t>Distributed generation— peak</t>
  </si>
  <si>
    <t>Distributed generation—
base</t>
  </si>
  <si>
    <t>Nuclear—small modular
reactor</t>
  </si>
  <si>
    <t>Nuclear—light water
reactor</t>
  </si>
  <si>
    <t>CT—industrial frame</t>
  </si>
  <si>
    <t>CT—aeroderivative</t>
  </si>
  <si>
    <t>ICE</t>
  </si>
  <si>
    <t>CC with 90% CCS</t>
  </si>
  <si>
    <t>CC—multi-shaft</t>
  </si>
  <si>
    <t>CC—single-shaft</t>
  </si>
  <si>
    <t>USC with 30% CCS</t>
  </si>
  <si>
    <t>USC</t>
  </si>
  <si>
    <t>Geographic name</t>
  </si>
  <si>
    <t>NERC/ISO subregion name</t>
  </si>
  <si>
    <t>Abbreviation</t>
  </si>
  <si>
    <t>Counter</t>
  </si>
  <si>
    <r>
      <rPr>
        <b/>
        <sz val="11"/>
        <rFont val="Calibri"/>
        <family val="2"/>
      </rPr>
      <t xml:space="preserve">Table 4. Total overnight capital costs of new electricity generating technologies by region
</t>
    </r>
    <r>
      <rPr>
        <sz val="9"/>
        <rFont val="Calibri"/>
        <family val="2"/>
      </rPr>
      <t>2022 dollars per kilowatt</t>
    </r>
  </si>
  <si>
    <t>Offshore Wind - Fixed</t>
  </si>
  <si>
    <t>($2022/kW-yr)</t>
  </si>
  <si>
    <t>($2022/kW)</t>
  </si>
  <si>
    <t>GLW OpEx (Public)</t>
  </si>
  <si>
    <t>Scaler</t>
  </si>
  <si>
    <t>OpEx for the Current Scenario</t>
  </si>
  <si>
    <t>$/kW-yr</t>
  </si>
  <si>
    <t>[2]</t>
  </si>
  <si>
    <t>OpEx for the Advanced Research Technology Scenario</t>
  </si>
  <si>
    <t>[1]</t>
  </si>
  <si>
    <t>GLW OpEx Scaler</t>
  </si>
  <si>
    <t>CapEx for the Current Scenario</t>
  </si>
  <si>
    <t>$/kW</t>
  </si>
  <si>
    <t>CapEx for the Advanced Research Technology Scenario</t>
  </si>
  <si>
    <t>GLW CapEx Scaler</t>
  </si>
  <si>
    <t>OSW Learning Scalers</t>
  </si>
  <si>
    <t>Foating</t>
  </si>
  <si>
    <t>Page 106</t>
  </si>
  <si>
    <t>https://www.nrel.gov/docs/fy23osti/84605.pdf</t>
  </si>
  <si>
    <t>2035 OpEx</t>
  </si>
  <si>
    <t>Float</t>
  </si>
  <si>
    <t xml:space="preserve">Table 12. Summary of Mean OpEx by Lake for the Current and Advanced Research Technology
Scenarios </t>
  </si>
  <si>
    <t>https://emp.lbl.gov/publications/utility-scale-solar-2023-edition</t>
  </si>
  <si>
    <t>Lawrence Berkeley National Laboratory. Utility-Scale Solar, 2023 Edition. October2023.</t>
  </si>
  <si>
    <t>This manuscript has been authored by an author at Lawrence Berkeley National Laboratory under Contract No. DE-AC02-05CH11231 with the U.S. Department of Energy. The U.S. Government retains, and the publisher, by accepting the article for publication, acknowledges, that the U.S. Government retains a non-exclusive, paid-up, irrevocable, worldwide license to publish or reproduce the published form of this manuscript, or allow others to do so, for U.S. Government purposes.</t>
  </si>
  <si>
    <t xml:space="preserve">Copyright Notice </t>
  </si>
  <si>
    <t xml:space="preserve">Ernest Orlando Lawrence Berkeley National Laboratory is an equal opportunity employer. </t>
  </si>
  <si>
    <t>This document was prepared as an account of work sponsored by the United States Government. While this document is believed to contain correct information, neither the United States Government nor any agency thereof, nor The Regents of the University of California, nor any of their employees, makes any warranty, express or implied, or assumes any legal responsibility for the accuracy, completeness, or usefulness of any information, apparatus, product, or process disclosed, or represents that its use would not infringe privately owned rights. Reference herein to any specific commercial product, process, or service by its trade name, trademark, manufacturer, or otherwise, does not necessarily constitute or imply its endorsement, recommendation, or favoring by the United States Government or any agency thereof, or The Regents of the University of California. The views and opinions of authors expressed herein do not necessarily state or reflect those of the United States Government or any agency thereof, or The Regents of the University of California.</t>
  </si>
  <si>
    <t xml:space="preserve">Disclaimer </t>
  </si>
  <si>
    <t>This material is based upon work supported by the U.S. Department of Energy’s Office of Energy Efficiency and Renewable Energy (EERE) under Solar Energy Technologies Office (SETO) Agreement Number 38444 and Contract No. DE-AC02-05CH11231. The authors thank Ammar Qusaibaty, Juan Botero, Michele Boyd, and Becca Jones-Albertus of the U.S. Department of Energy Solar Energy Technologies Office for supporting this work. The authors are solely responsible for any omissions or errors contained herein.</t>
  </si>
  <si>
    <t>Acknowledgments</t>
  </si>
  <si>
    <t>•  Capacity in interconnection queues</t>
  </si>
  <si>
    <t>•  PV, PV+battery, and concentrating solar thermal power (CSP) plants</t>
  </si>
  <si>
    <t>•  Wholesale market value</t>
  </si>
  <si>
    <t>•  Power purchase agreement (PPA) prices and LCOE</t>
  </si>
  <si>
    <t>•  Performance (capacity factors)</t>
  </si>
  <si>
    <t>•  Installed costs</t>
  </si>
  <si>
    <t>•  Deployment and technology trends</t>
  </si>
  <si>
    <t>Outline of Data File</t>
  </si>
  <si>
    <r>
      <t>Summarize publicly available data on key trends in the U.S. utility-scale solar power sector.  Focus on ground-mounted projects &gt;5 MW</t>
    </r>
    <r>
      <rPr>
        <vertAlign val="subscript"/>
        <sz val="8.25"/>
        <color rgb="FF000000"/>
        <rFont val="Arial"/>
        <family val="2"/>
      </rPr>
      <t>AC</t>
    </r>
    <r>
      <rPr>
        <sz val="11"/>
        <color rgb="FF000000"/>
        <rFont val="Arial"/>
        <family val="2"/>
      </rPr>
      <t xml:space="preserve"> in size (projects below this capacity threshold, as well as rooftop projects, are covered under LBNL's </t>
    </r>
    <r>
      <rPr>
        <i/>
        <sz val="11"/>
        <color rgb="FF000000"/>
        <rFont val="Arial"/>
        <family val="2"/>
      </rPr>
      <t>Tracking the Sun</t>
    </r>
    <r>
      <rPr>
        <sz val="11"/>
        <color rgb="FF000000"/>
        <rFont val="Arial"/>
        <family val="2"/>
      </rPr>
      <t xml:space="preserve"> series). Focus on historical data, with some emphasis on the most recent year. Data sources include EIA, FERC, SEC, trade press, developers/owners.</t>
    </r>
  </si>
  <si>
    <t>Purpose, Scope, and Data</t>
  </si>
  <si>
    <t>Photo source: Enel Green Power - Roadrunner Solar Project</t>
  </si>
  <si>
    <t>Contact the corresponding authors: Mark Bolinger (mabolinger@lbl.gov) and Joachim Seel (jseel@lbl.gov)</t>
  </si>
  <si>
    <t>For additional details and related products, see: utilityscalesolar.lbl.gov</t>
  </si>
  <si>
    <t>October 2023</t>
  </si>
  <si>
    <r>
      <t xml:space="preserve">1 </t>
    </r>
    <r>
      <rPr>
        <sz val="12"/>
        <color rgb="FF404040"/>
        <rFont val="Arial"/>
        <family val="2"/>
      </rPr>
      <t>Corresponding authors</t>
    </r>
  </si>
  <si>
    <t xml:space="preserve">Lawrence Berkeley National Laboratory </t>
  </si>
  <si>
    <t>Julie Mulvaney Kemp, Cody Warner, Anjali Katta, Dana Robson</t>
  </si>
  <si>
    <r>
      <t>Mark Bolinger</t>
    </r>
    <r>
      <rPr>
        <vertAlign val="superscript"/>
        <sz val="13.5"/>
        <color rgb="FF404040"/>
        <rFont val="Arial"/>
        <family val="2"/>
      </rPr>
      <t>1</t>
    </r>
    <r>
      <rPr>
        <sz val="18"/>
        <color rgb="FF404040"/>
        <rFont val="Arial"/>
        <family val="2"/>
      </rPr>
      <t>, Joachim Seel</t>
    </r>
    <r>
      <rPr>
        <vertAlign val="superscript"/>
        <sz val="18"/>
        <color rgb="FF404040"/>
        <rFont val="Arial"/>
        <family val="2"/>
      </rPr>
      <t>1</t>
    </r>
    <r>
      <rPr>
        <sz val="18"/>
        <color rgb="FF404040"/>
        <rFont val="Arial"/>
        <family val="2"/>
      </rPr>
      <t xml:space="preserve"> </t>
    </r>
  </si>
  <si>
    <t>Utility-Scale Solar, 2023 Edition</t>
  </si>
  <si>
    <t>Code</t>
  </si>
  <si>
    <t>2022 $/MWh</t>
  </si>
  <si>
    <t>Hawaii</t>
  </si>
  <si>
    <t>Southeast (non-ISO)</t>
  </si>
  <si>
    <t>CAISO</t>
  </si>
  <si>
    <t>ISO-NE</t>
  </si>
  <si>
    <t>West (non-ISO)</t>
  </si>
  <si>
    <t>SPP</t>
  </si>
  <si>
    <t>ERCOT</t>
  </si>
  <si>
    <t>Lower 48</t>
  </si>
  <si>
    <t>COD</t>
  </si>
  <si>
    <t>Plant</t>
  </si>
  <si>
    <t>Projects:</t>
  </si>
  <si>
    <t>Project-Level</t>
  </si>
  <si>
    <t>GW-AC:</t>
  </si>
  <si>
    <t>Source: Berkeley Lab</t>
  </si>
  <si>
    <t>Estimated levelized cost of energy by commercial operation date, region, and project</t>
  </si>
  <si>
    <t>TBD</t>
  </si>
  <si>
    <t>(2022 $/MWh)</t>
  </si>
  <si>
    <t>(#)</t>
  </si>
  <si>
    <t>(MW-AC)</t>
  </si>
  <si>
    <t>by COD</t>
  </si>
  <si>
    <t>Plants</t>
  </si>
  <si>
    <t>Capacity</t>
  </si>
  <si>
    <t>PPA Price</t>
  </si>
  <si>
    <t>Sample</t>
  </si>
  <si>
    <t>Gen-Wgtd Avg</t>
  </si>
  <si>
    <t>Cap-Wgtd Avg</t>
  </si>
  <si>
    <t>Median</t>
  </si>
  <si>
    <t>30% ITC</t>
  </si>
  <si>
    <t>No ITC</t>
  </si>
  <si>
    <t>Average levelized cost of energy versus average levelized PPA price, by commercial operation date</t>
  </si>
  <si>
    <t>https://www.energy.gov/eere/wind/articles/land-based-wind-market-report-2023-edition</t>
  </si>
  <si>
    <t>US DOE. Land-Based Wind Market Report. 2023 Edition. August 2023.</t>
  </si>
  <si>
    <t>This work was prepared as an account of work sponsored by an agency of the United States government. Neither the United States government nor any agency thereof, nor any of their employees, makes any warranty, express or implied, or assumes any legal liability or responsibility for the accuracy, completeness, or usefulness of any information, apparatus, product, or process disclosed, or represents that its use would not infringe privately owned rights. Reference herein to any specific commercial product, process, or service by trade name, trademark, manufacturer, or otherwise does not necessarily constitute or imply its endorsement, recommendation, or favoring by the United States government or any agency thereof. The views and opinions of authors expressed herein do not necessarily state or reflect those of the United States government or any agency thereof.</t>
  </si>
  <si>
    <t xml:space="preserve">This work was funded by the Wind Energy Technologies Office, Office of Energy Efficiency and Renewable Energy of the U.S. Department of Energy under Contract No. DE-AC02-05CH11231. The authors are solely responsible for any omissions or errors contained herein. </t>
  </si>
  <si>
    <t>•  Wind capacity forecasts</t>
  </si>
  <si>
    <t>•  Cost and value comparisons</t>
  </si>
  <si>
    <t>•  Power sales price and levelized cost data and trends</t>
  </si>
  <si>
    <t>•  Cost data and trends</t>
  </si>
  <si>
    <t>•  Performance data and trends</t>
  </si>
  <si>
    <t>•  Technology data and trends</t>
  </si>
  <si>
    <t>•  Industry data and trends</t>
  </si>
  <si>
    <t>•  Installation data and trends</t>
  </si>
  <si>
    <t>Summarize publicly available data on key trends in U.S. wind power sector. Focus on land-based wind turbines over 100 kW in size. Separate DOE-funded data collection efforts on distributed and offshore wind. Focus on historical data, with some emphasis on the previous year. Data sources include EIA, FERC, SEC, ACP, etc.</t>
  </si>
  <si>
    <t>Photo source: Dennis Schroeder, NREL 57714</t>
  </si>
  <si>
    <t>Contact the authors: Ryan Wiser (rhwiser@lbl.gov), Mark Bolinger (mabolinger@lbl.gov)</t>
  </si>
  <si>
    <t xml:space="preserve">For additional details and related products, see: windreport.lbl.gov   
</t>
  </si>
  <si>
    <t>August 2023</t>
  </si>
  <si>
    <t>Naïm Darghouth, Will Gorman, Seongeun Jeong, Eric O'Shaughnessy, Ben Paulos</t>
  </si>
  <si>
    <r>
      <t>Ryan Wiser</t>
    </r>
    <r>
      <rPr>
        <vertAlign val="superscript"/>
        <sz val="18"/>
        <color rgb="FF404040"/>
        <rFont val="Arial"/>
        <family val="2"/>
      </rPr>
      <t>1</t>
    </r>
    <r>
      <rPr>
        <sz val="18"/>
        <color rgb="FF404040"/>
        <rFont val="Arial"/>
        <family val="2"/>
      </rPr>
      <t>, Mark Bolinger</t>
    </r>
    <r>
      <rPr>
        <vertAlign val="superscript"/>
        <sz val="18"/>
        <color rgb="FF404040"/>
        <rFont val="Arial"/>
        <family val="2"/>
      </rPr>
      <t>1</t>
    </r>
    <r>
      <rPr>
        <sz val="18"/>
        <color rgb="FF404040"/>
        <rFont val="Arial"/>
        <family val="2"/>
      </rPr>
      <t>, Ben Hoen, Dev Millstein, Joe Rand, Galen Barbose,</t>
    </r>
  </si>
  <si>
    <t>2023 Edition</t>
  </si>
  <si>
    <t>Land-Based Wind Market Report</t>
  </si>
  <si>
    <t>2004-05</t>
  </si>
  <si>
    <t>2002-03</t>
  </si>
  <si>
    <t>2000-01</t>
  </si>
  <si>
    <t>1998-99</t>
  </si>
  <si>
    <t>Nationwide</t>
  </si>
  <si>
    <t>Plants:</t>
  </si>
  <si>
    <t>Plant-Level</t>
  </si>
  <si>
    <t>GW:</t>
  </si>
  <si>
    <t>Note: Size of bubble reflects plant capacity.</t>
  </si>
  <si>
    <t>Estimated levelized cost of wind energy by commercial operation date</t>
  </si>
  <si>
    <t>Storage ($2022/MWh)</t>
  </si>
  <si>
    <t>Storage ($1,000 2022)</t>
  </si>
  <si>
    <t>Description</t>
  </si>
  <si>
    <t>Report - Table 6</t>
  </si>
  <si>
    <t>Annualized ($2022)</t>
  </si>
  <si>
    <t>Storage Total ($2022)</t>
  </si>
  <si>
    <t>Note: Revenue and MWH are based on existing Aurora output (7,500 MW), scaled down by MW %</t>
  </si>
  <si>
    <t>Storage (Residential and Commercial) Annual Detail</t>
  </si>
  <si>
    <t>Comm/Res % of 7,500 MW installed</t>
  </si>
  <si>
    <t>10 hour</t>
  </si>
  <si>
    <t>Storage Plant Cumulative Addition</t>
  </si>
  <si>
    <t>Total Costs ($2022) for Residential &amp; Commercial</t>
  </si>
  <si>
    <t>BTM Battery Backup:</t>
  </si>
  <si>
    <t>CCR - BTM</t>
  </si>
  <si>
    <t>CCR - OSW</t>
  </si>
  <si>
    <t>See [CCR_Utility-Scale]</t>
  </si>
  <si>
    <t>See [CCR_BTM]</t>
  </si>
  <si>
    <t>See [CCR_OSW]</t>
  </si>
  <si>
    <t>BTM</t>
  </si>
  <si>
    <t>$/MW-day</t>
  </si>
  <si>
    <t>Sum of Peak_Capacity</t>
  </si>
  <si>
    <t>Column Labels</t>
  </si>
  <si>
    <t>Row Labels</t>
  </si>
  <si>
    <t>MISO_LRZ_4</t>
  </si>
  <si>
    <t>PJM_CommEd(NI)</t>
  </si>
  <si>
    <t>Grand Total</t>
  </si>
  <si>
    <t>Sum of Output_MWH</t>
  </si>
  <si>
    <t>Sum of Energy_Revenue</t>
  </si>
  <si>
    <t>Sum of Generation_MWh</t>
  </si>
  <si>
    <t>Sum of Storage_Charging_Cost</t>
  </si>
  <si>
    <t>Sum of Capability_MWh</t>
  </si>
  <si>
    <t>($M)</t>
  </si>
  <si>
    <t>(Multiple Items)</t>
  </si>
  <si>
    <t>Sum of Sum(ZoneHour1.Demand)</t>
  </si>
  <si>
    <t>Great Lakes Wind Energy Challenges and Opportunities Assessment. March, 2023</t>
  </si>
  <si>
    <t>Great Lakes Wind Energy Challenges and Opportunities Assessment. March, 2023. Page 104.</t>
  </si>
  <si>
    <t>Discounted Values</t>
  </si>
  <si>
    <t>Aurora Output (NPV)</t>
  </si>
  <si>
    <t>Cost Data (NPV)</t>
  </si>
  <si>
    <t>Revenues and Costs (NPV)</t>
  </si>
  <si>
    <t>Discount Factor</t>
  </si>
  <si>
    <t>(Real)</t>
  </si>
  <si>
    <t>Discount Rate</t>
  </si>
  <si>
    <t>Social Cost</t>
  </si>
  <si>
    <t>Rate Increase</t>
  </si>
  <si>
    <t>2043-2044</t>
  </si>
  <si>
    <t>2042-2043</t>
  </si>
  <si>
    <t>2041-2042</t>
  </si>
  <si>
    <t>2040-2041</t>
  </si>
  <si>
    <t>2039-2040</t>
  </si>
  <si>
    <t>2038-2039</t>
  </si>
  <si>
    <t>2037-2038</t>
  </si>
  <si>
    <t>2036-2037</t>
  </si>
  <si>
    <t>2035-2036</t>
  </si>
  <si>
    <t>2034-2035</t>
  </si>
  <si>
    <t>2033-2034</t>
  </si>
  <si>
    <t>2032-2033</t>
  </si>
  <si>
    <t>2031-2032</t>
  </si>
  <si>
    <t>2030-2031</t>
  </si>
  <si>
    <t>2029-2030</t>
  </si>
  <si>
    <t>2028-2029</t>
  </si>
  <si>
    <t>2027-2028</t>
  </si>
  <si>
    <t>2026-2027</t>
  </si>
  <si>
    <t>2025-2026</t>
  </si>
  <si>
    <t>2024-2025</t>
  </si>
  <si>
    <t>2023-2024</t>
  </si>
  <si>
    <t>2022-2023</t>
  </si>
  <si>
    <t>2021-2022</t>
  </si>
  <si>
    <t>2020-2021</t>
  </si>
  <si>
    <t>EOY Balance</t>
  </si>
  <si>
    <t>Total Spend</t>
  </si>
  <si>
    <t xml:space="preserve">Available Funds at start of DY + Collections
</t>
  </si>
  <si>
    <t>DY Collections (Source: Utilities)</t>
  </si>
  <si>
    <t xml:space="preserve">Available Funds at start of DY (including ACP)
</t>
  </si>
  <si>
    <t>Total Projected Spend</t>
  </si>
  <si>
    <t>Brownfield</t>
  </si>
  <si>
    <t>Utility Solar</t>
  </si>
  <si>
    <t>Utility Wind</t>
  </si>
  <si>
    <t>Equity Eligible Contractor</t>
  </si>
  <si>
    <t>Community Driven Community Solar</t>
  </si>
  <si>
    <t>Public Schools</t>
  </si>
  <si>
    <t>Traditional Community Solar</t>
  </si>
  <si>
    <t>Large DG</t>
  </si>
  <si>
    <t>Small DG</t>
  </si>
  <si>
    <t>Total Under Contract</t>
  </si>
  <si>
    <t>ILSFA</t>
  </si>
  <si>
    <t>Job Training</t>
  </si>
  <si>
    <t>Admin (3%)</t>
  </si>
  <si>
    <t>Indexed REC Brownfield</t>
  </si>
  <si>
    <t>Indexed REC Solar</t>
  </si>
  <si>
    <t>Indexed REC Wind</t>
  </si>
  <si>
    <t>Forward Procurements (2017-2019)</t>
  </si>
  <si>
    <t>2010 LTTPAs</t>
  </si>
  <si>
    <t>EEC</t>
  </si>
  <si>
    <t>CDCS</t>
  </si>
  <si>
    <t>TCS</t>
  </si>
  <si>
    <t>Delivery Year</t>
  </si>
  <si>
    <t>MidAm</t>
  </si>
  <si>
    <t>Ameren</t>
  </si>
  <si>
    <t>1 The energy industry operations on a delivery year cycle that runs from June 1 through May 31 of the following year.</t>
  </si>
  <si>
    <t>$/MWh</t>
  </si>
  <si>
    <t>2030 - 2049 Total</t>
  </si>
  <si>
    <t>2049-2050</t>
  </si>
  <si>
    <t>2048-2049</t>
  </si>
  <si>
    <t>2047-2048</t>
  </si>
  <si>
    <t>2046-2047</t>
  </si>
  <si>
    <t>2045-2046</t>
  </si>
  <si>
    <t>2044-2045</t>
  </si>
  <si>
    <t>Discount Factor (Real)</t>
  </si>
  <si>
    <t>Annual Growth Rate (DY Collections)</t>
  </si>
  <si>
    <t>Original Base Case</t>
  </si>
  <si>
    <t>Analysis Results</t>
  </si>
  <si>
    <t>Analysis Column</t>
  </si>
  <si>
    <t>DY Collections (calendar year)</t>
  </si>
  <si>
    <t>Calendar Year</t>
  </si>
  <si>
    <t>NPV</t>
  </si>
  <si>
    <t>Projected</t>
  </si>
  <si>
    <t>Under Contract</t>
  </si>
  <si>
    <t>Statewide</t>
  </si>
  <si>
    <t>This sheet has been fully valued, with the exception of the inserted column AC, and the first series extended through 2049.</t>
  </si>
  <si>
    <t>https://ipa.illinois.gov/content/dam/soi/en/web/ipa/documents/appendix-b-20-oct-2023-11am.xlsx</t>
  </si>
  <si>
    <t>Original source:</t>
  </si>
  <si>
    <t>Aurora Output</t>
  </si>
  <si>
    <t>Summary Projections, 2030-2049 Contract Period ($1,000 Nominal)</t>
  </si>
  <si>
    <t>Table of Contents</t>
  </si>
  <si>
    <t>Tab</t>
  </si>
  <si>
    <t>Section</t>
  </si>
  <si>
    <t>Energy Mkt Benefits</t>
  </si>
  <si>
    <t>Cap Revenue</t>
  </si>
  <si>
    <t>Report_Figure 7</t>
  </si>
  <si>
    <t>Report_Figure 7 Graph Data</t>
  </si>
  <si>
    <t>Report_Figure 23_Nominal</t>
  </si>
  <si>
    <t>Report_Figure 24_Real</t>
  </si>
  <si>
    <t>Report_Figure 25_NPV</t>
  </si>
  <si>
    <t>Report_Figure 23_Data</t>
  </si>
  <si>
    <t>Report_Figure 24_Data</t>
  </si>
  <si>
    <t>Report_Figure 25_Data</t>
  </si>
  <si>
    <t>Report_Table 2</t>
  </si>
  <si>
    <t>Report_Table 6</t>
  </si>
  <si>
    <t>Report_Table 7</t>
  </si>
  <si>
    <t>OSW_Annual</t>
  </si>
  <si>
    <t>OSW_Backup</t>
  </si>
  <si>
    <t>Storage_Annual</t>
  </si>
  <si>
    <t>Storage_Backup</t>
  </si>
  <si>
    <t>SooGreen_Annual</t>
  </si>
  <si>
    <t>Soo Green_Backup</t>
  </si>
  <si>
    <t>All_Annual</t>
  </si>
  <si>
    <t>REC Spend projected</t>
  </si>
  <si>
    <t>CCR_BTM</t>
  </si>
  <si>
    <t>CCR_Utility-Scale</t>
  </si>
  <si>
    <t>CCR_OSW</t>
  </si>
  <si>
    <t>Report Table 6 Backup==&gt;</t>
  </si>
  <si>
    <t>Battery_Comm_Resi_Annual</t>
  </si>
  <si>
    <t>Com_Res_MW Breakdown</t>
  </si>
  <si>
    <t>BTM_Storage_Backup</t>
  </si>
  <si>
    <t>Storage Cost Analysis==&gt;</t>
  </si>
  <si>
    <t>Batteries_Utility</t>
  </si>
  <si>
    <t>Batteries_Comm_Resi</t>
  </si>
  <si>
    <t>ModelFactors</t>
  </si>
  <si>
    <t>Data=&gt;</t>
  </si>
  <si>
    <t>Storage_Ann_Development</t>
  </si>
  <si>
    <t>NREL 2023 ATB==&gt;</t>
  </si>
  <si>
    <t>Comm Battery Storage</t>
  </si>
  <si>
    <t>Resi Battery Storage</t>
  </si>
  <si>
    <t>FRED Graph_22Oct2023</t>
  </si>
  <si>
    <t>EIA AEO 2023==&gt;</t>
  </si>
  <si>
    <t>EIA_AEO_2023_Table 3</t>
  </si>
  <si>
    <t>EIA_AEO_2023_Table 4</t>
  </si>
  <si>
    <t>OSW==&gt;</t>
  </si>
  <si>
    <t>OSW_Input</t>
  </si>
  <si>
    <t>OSW_Data==&gt;</t>
  </si>
  <si>
    <t>Table 12_OpEx</t>
  </si>
  <si>
    <t>Soo Green==&gt;</t>
  </si>
  <si>
    <t>LBNL Solar==&gt;</t>
  </si>
  <si>
    <t>Introduction</t>
  </si>
  <si>
    <t>LCOE vs. PPA Price</t>
  </si>
  <si>
    <t>LBNL Wind==&gt;</t>
  </si>
  <si>
    <t>Introduction_Wind</t>
  </si>
  <si>
    <t>Note: Other recently reviewed NREL 2023 documents and NREL ATB appear to typically report in $2021</t>
  </si>
  <si>
    <t>Aurora Output==&gt;</t>
  </si>
  <si>
    <t>Aurora</t>
  </si>
  <si>
    <t>Figures &amp; Tables</t>
  </si>
  <si>
    <t>Intermediate Calculations</t>
  </si>
  <si>
    <t>Table 6 Backup</t>
  </si>
  <si>
    <t>Storage Cost Backup</t>
  </si>
  <si>
    <t>OSW Backup</t>
  </si>
  <si>
    <t>Soo Green Backup</t>
  </si>
  <si>
    <t>Supporting Data &amp; Assumptions</t>
  </si>
  <si>
    <t>TRE</t>
  </si>
  <si>
    <t>FRCC</t>
  </si>
  <si>
    <t>MISW</t>
  </si>
  <si>
    <t>MISC</t>
  </si>
  <si>
    <t>MISE</t>
  </si>
  <si>
    <t>MISS</t>
  </si>
  <si>
    <t>ISNE</t>
  </si>
  <si>
    <t>NYCW</t>
  </si>
  <si>
    <t>NYUP</t>
  </si>
  <si>
    <t>PJME</t>
  </si>
  <si>
    <t>PJMW</t>
  </si>
  <si>
    <t>PJMC</t>
  </si>
  <si>
    <t>PJMD</t>
  </si>
  <si>
    <t>SRCA</t>
  </si>
  <si>
    <t>SRSE</t>
  </si>
  <si>
    <t>SRCE</t>
  </si>
  <si>
    <t>SPPS</t>
  </si>
  <si>
    <t>SPPC</t>
  </si>
  <si>
    <t>SPPN</t>
  </si>
  <si>
    <t>SRSG</t>
  </si>
  <si>
    <t>CANO</t>
  </si>
  <si>
    <t>CASO</t>
  </si>
  <si>
    <t>NWPP</t>
  </si>
  <si>
    <t>RMRG</t>
  </si>
  <si>
    <t>BASN</t>
  </si>
  <si>
    <t>Texas Reliability Entity</t>
  </si>
  <si>
    <t>Florida Reliability Coordinating Council</t>
  </si>
  <si>
    <t>Midcontinent ISO/West</t>
  </si>
  <si>
    <t>Midcontinent ISO/Central</t>
  </si>
  <si>
    <t>Midcontinent ISO/East</t>
  </si>
  <si>
    <t>Midcontinent ISO/South</t>
  </si>
  <si>
    <t>Northeast Power Coordinating Council/ New England</t>
  </si>
  <si>
    <t>Northeast Power Coordinating Council/ New York City &amp; Long Island</t>
  </si>
  <si>
    <t>Northeast Power Coordinating Council/Upstate New York</t>
  </si>
  <si>
    <t>PJM/East</t>
  </si>
  <si>
    <t>PJM/West</t>
  </si>
  <si>
    <t>PJM/Commonwealth Edison</t>
  </si>
  <si>
    <t>PJM/Dominion</t>
  </si>
  <si>
    <t>SERC Reliability Corporation/East</t>
  </si>
  <si>
    <t>SERC Reliability Corporation/Southeast</t>
  </si>
  <si>
    <t>SERC Reliability Corporation/Central</t>
  </si>
  <si>
    <t>Southwest Power Pool/South</t>
  </si>
  <si>
    <t>Southwest Power Pool/Central</t>
  </si>
  <si>
    <t>Southwest Power Pool/North</t>
  </si>
  <si>
    <t>Western Electricity Coordinating Council/Southwest</t>
  </si>
  <si>
    <t>Western Electricity Coordinating Council/California North</t>
  </si>
  <si>
    <t>Western Electricity Coordinating Council/California South</t>
  </si>
  <si>
    <t>Western Electricity Coordinating Council/Northwest Power Pool</t>
  </si>
  <si>
    <t>Western Electricity Coordinating Council/Rockies</t>
  </si>
  <si>
    <t>Western Electricity Coordinating Council/Basin</t>
  </si>
  <si>
    <t>Texas</t>
  </si>
  <si>
    <t>Florida</t>
  </si>
  <si>
    <t>Upper Mississippi Valley</t>
  </si>
  <si>
    <t>Middle Mississippi Valley</t>
  </si>
  <si>
    <t>Michigan</t>
  </si>
  <si>
    <t>Mississippi Delta</t>
  </si>
  <si>
    <t>New England</t>
  </si>
  <si>
    <t>Metropolitan New York</t>
  </si>
  <si>
    <t>Upstate New York</t>
  </si>
  <si>
    <t>Mid-Atlantic</t>
  </si>
  <si>
    <t>Ohio Valley</t>
  </si>
  <si>
    <t>Metropolitan Chicago</t>
  </si>
  <si>
    <t>Virginia</t>
  </si>
  <si>
    <t>Carolinas</t>
  </si>
  <si>
    <t>Southeast</t>
  </si>
  <si>
    <t>Tennessee Valley</t>
  </si>
  <si>
    <t>Southern Great Plains</t>
  </si>
  <si>
    <t>Central Great Plains</t>
  </si>
  <si>
    <t>Northern Great Plains</t>
  </si>
  <si>
    <t>Southwest</t>
  </si>
  <si>
    <t>Northern California</t>
  </si>
  <si>
    <t>Southern California</t>
  </si>
  <si>
    <t>Northwest</t>
  </si>
  <si>
    <t>Rockies</t>
  </si>
  <si>
    <t>Great Basin</t>
  </si>
  <si>
    <t>(NOTE: No exact estimate used to protect capacity factor information)</t>
  </si>
  <si>
    <t>(ComEd, LRZ4)</t>
  </si>
  <si>
    <t>Reference Case</t>
  </si>
  <si>
    <t>Sum of Cost to Load ($)</t>
  </si>
  <si>
    <t>Energy Market Impact ($)</t>
  </si>
  <si>
    <t>Offshore Wind</t>
  </si>
  <si>
    <t>Offshore Wind (All)</t>
  </si>
  <si>
    <t>Storage (All)</t>
  </si>
  <si>
    <t>Energy Revenue (Reported)</t>
  </si>
  <si>
    <t>Margin</t>
  </si>
  <si>
    <t>(MWa)</t>
  </si>
  <si>
    <t>(MWh)</t>
  </si>
  <si>
    <t>SOO Green (All)</t>
  </si>
  <si>
    <t>Average of CleanFlow</t>
  </si>
  <si>
    <t>Sum of CleanFlow</t>
  </si>
  <si>
    <t>Sum of EnergyRev</t>
  </si>
  <si>
    <t>Combined Energy Revenue</t>
  </si>
  <si>
    <t>Unit</t>
  </si>
  <si>
    <t>$</t>
  </si>
  <si>
    <t>UCAP Contributions</t>
  </si>
  <si>
    <t>Policy</t>
  </si>
  <si>
    <t>Nameplate (MW)</t>
  </si>
  <si>
    <t>UCAP Factor (%)</t>
  </si>
  <si>
    <t>UCAP (MW)</t>
  </si>
  <si>
    <t>MISO Price</t>
  </si>
  <si>
    <t>PkDay</t>
  </si>
  <si>
    <t>Report_Hour</t>
  </si>
  <si>
    <t>Combined MWh</t>
  </si>
  <si>
    <t>Table 3. Cost and performance characteristics of new central station electricity generating technologies</t>
  </si>
  <si>
    <t>Table 10_CapEx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</si>
</sst>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000"/>
    <numFmt numFmtId="165" formatCode="0;[Red]0"/>
    <numFmt numFmtId="166" formatCode="#,##0;[Red]#,##0"/>
    <numFmt numFmtId="167" formatCode="0.0000_);\(0.0000\)"/>
    <numFmt numFmtId="168" formatCode="0.0%"/>
    <numFmt numFmtId="169" formatCode="&quot;$&quot;#,##0.00"/>
    <numFmt numFmtId="170" formatCode="&quot;$&quot;#,##0"/>
    <numFmt numFmtId="171" formatCode="0.000"/>
    <numFmt numFmtId="172" formatCode="_(&quot;$&quot;* #,##0_);_(&quot;$&quot;* \(#,##0\);_(&quot;$&quot;* &quot;-&quot;??_);_(@_)"/>
    <numFmt numFmtId="173" formatCode="0.0000"/>
    <numFmt numFmtId="174" formatCode="#,##0.0000_);\(#,##0.0000\)"/>
    <numFmt numFmtId="175" formatCode="#,##0.0000"/>
    <numFmt numFmtId="176" formatCode="0.0000%"/>
    <numFmt numFmtId="177" formatCode="yyyy\-mm\-dd"/>
    <numFmt numFmtId="178" formatCode="\$0.00"/>
    <numFmt numFmtId="179" formatCode="\$#,##0"/>
    <numFmt numFmtId="180" formatCode="\$0"/>
    <numFmt numFmtId="181" formatCode="0.0"/>
    <numFmt numFmtId="182" formatCode="#,##0.0"/>
    <numFmt numFmtId="183" formatCode="_(* #,##0_);_(* \(#,##0\);_(* &quot;-&quot;??_);_(@_)"/>
    <numFmt numFmtId="184" formatCode="0.000%"/>
    <numFmt numFmtId="185" formatCode="0_);\(0\)"/>
    <numFmt numFmtId="186" formatCode="0_);[Red]\(0\)"/>
  </numFmts>
  <fonts count="57" x14ac:knownFonts="1">
    <font>
      <sz val="11"/>
      <color theme="1"/>
      <name val="Calibri"/>
      <family val="2"/>
      <scheme val="minor"/>
    </font>
    <font>
      <b/>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u/>
      <sz val="11"/>
      <color theme="10"/>
      <name val="Calibri"/>
      <family val="2"/>
      <scheme val="minor"/>
    </font>
    <font>
      <sz val="11"/>
      <color rgb="FFFF0000"/>
      <name val="Calibri"/>
      <family val="2"/>
      <scheme val="minor"/>
    </font>
    <font>
      <u/>
      <sz val="10"/>
      <color indexed="12"/>
      <name val="Arial"/>
      <family val="2"/>
    </font>
    <font>
      <b/>
      <i/>
      <sz val="11"/>
      <name val="Calibri"/>
      <family val="2"/>
      <scheme val="minor"/>
    </font>
    <font>
      <i/>
      <sz val="11"/>
      <name val="Calibri"/>
      <family val="2"/>
      <scheme val="minor"/>
    </font>
    <font>
      <sz val="12"/>
      <name val="Calibri"/>
      <family val="2"/>
      <scheme val="minor"/>
    </font>
    <font>
      <b/>
      <sz val="14"/>
      <name val="Calibri"/>
      <family val="2"/>
      <scheme val="minor"/>
    </font>
    <font>
      <b/>
      <sz val="10"/>
      <name val="Arial"/>
      <family val="2"/>
    </font>
    <font>
      <sz val="10"/>
      <name val="Arial"/>
      <family val="2"/>
    </font>
    <font>
      <sz val="10"/>
      <color theme="0" tint="-0.14999847407452621"/>
      <name val="Arial"/>
      <family val="2"/>
    </font>
    <font>
      <sz val="10"/>
      <color rgb="FF000000"/>
      <name val="Times New Roman"/>
      <family val="1"/>
    </font>
    <font>
      <sz val="9"/>
      <name val="Calibri"/>
      <family val="2"/>
    </font>
    <font>
      <b/>
      <sz val="10"/>
      <name val="Calibri"/>
      <family val="2"/>
    </font>
    <font>
      <b/>
      <sz val="11"/>
      <name val="Calibri"/>
      <family val="2"/>
    </font>
    <font>
      <sz val="8"/>
      <name val="Calibri"/>
      <family val="2"/>
    </font>
    <font>
      <b/>
      <sz val="8"/>
      <name val="Calibri"/>
      <family val="2"/>
    </font>
    <font>
      <b/>
      <sz val="9"/>
      <name val="Calibri"/>
      <family val="2"/>
    </font>
    <font>
      <sz val="10"/>
      <name val="Times New Roman"/>
      <family val="1"/>
    </font>
    <font>
      <sz val="11"/>
      <name val="Arial"/>
      <family val="2"/>
    </font>
    <font>
      <b/>
      <sz val="12"/>
      <color theme="3"/>
      <name val="Arial"/>
      <family val="2"/>
    </font>
    <font>
      <sz val="11"/>
      <color rgb="FF000000"/>
      <name val="Arial"/>
      <family val="2"/>
    </font>
    <font>
      <sz val="9"/>
      <color rgb="FF000000"/>
      <name val="Arial"/>
      <family val="2"/>
    </font>
    <font>
      <vertAlign val="subscript"/>
      <sz val="8.25"/>
      <color rgb="FF000000"/>
      <name val="Arial"/>
      <family val="2"/>
    </font>
    <font>
      <i/>
      <sz val="11"/>
      <color rgb="FF000000"/>
      <name val="Arial"/>
      <family val="2"/>
    </font>
    <font>
      <sz val="14"/>
      <color theme="3"/>
      <name val="Arial"/>
      <family val="2"/>
    </font>
    <font>
      <sz val="16"/>
      <color theme="3"/>
      <name val="Arial"/>
      <family val="2"/>
    </font>
    <font>
      <sz val="19"/>
      <color rgb="FF404040"/>
      <name val="Arial"/>
      <family val="2"/>
    </font>
    <font>
      <vertAlign val="superscript"/>
      <sz val="12"/>
      <color rgb="FF404040"/>
      <name val="Arial"/>
      <family val="2"/>
    </font>
    <font>
      <sz val="12"/>
      <color rgb="FF404040"/>
      <name val="Arial"/>
      <family val="2"/>
    </font>
    <font>
      <sz val="18"/>
      <color rgb="FF404040"/>
      <name val="Arial"/>
      <family val="2"/>
    </font>
    <font>
      <vertAlign val="superscript"/>
      <sz val="13.5"/>
      <color rgb="FF404040"/>
      <name val="Arial"/>
      <family val="2"/>
    </font>
    <font>
      <vertAlign val="superscript"/>
      <sz val="18"/>
      <color rgb="FF404040"/>
      <name val="Arial"/>
      <family val="2"/>
    </font>
    <font>
      <b/>
      <sz val="38"/>
      <color rgb="FF08306A"/>
      <name val="Arial"/>
      <family val="2"/>
    </font>
    <font>
      <i/>
      <sz val="10"/>
      <name val="Arial"/>
      <family val="2"/>
    </font>
    <font>
      <i/>
      <sz val="10"/>
      <color indexed="8"/>
      <name val="Arial"/>
      <family val="2"/>
    </font>
    <font>
      <b/>
      <sz val="11"/>
      <color indexed="8"/>
      <name val="Calibri"/>
      <family val="2"/>
      <scheme val="minor"/>
    </font>
    <font>
      <b/>
      <sz val="12"/>
      <name val="Arial"/>
      <family val="2"/>
    </font>
    <font>
      <sz val="9"/>
      <name val="Arial"/>
      <family val="2"/>
    </font>
    <font>
      <sz val="14"/>
      <name val="Arial"/>
      <family val="2"/>
    </font>
    <font>
      <sz val="16"/>
      <name val="Arial"/>
      <family val="2"/>
    </font>
    <font>
      <b/>
      <i/>
      <sz val="34"/>
      <name val="Arial"/>
      <family val="2"/>
    </font>
    <font>
      <b/>
      <sz val="40"/>
      <name val="Arial"/>
      <family val="2"/>
    </font>
    <font>
      <sz val="9"/>
      <name val="Segoe UI"/>
      <family val="2"/>
    </font>
    <font>
      <b/>
      <sz val="18"/>
      <name val="Calibri"/>
      <family val="2"/>
      <scheme val="minor"/>
    </font>
    <font>
      <sz val="10"/>
      <name val="Calibri"/>
      <family val="2"/>
      <scheme val="minor"/>
    </font>
    <font>
      <b/>
      <sz val="10"/>
      <name val="Calibri"/>
      <family val="2"/>
      <scheme val="minor"/>
    </font>
    <font>
      <sz val="11"/>
      <name val="Calibri"/>
      <family val="2"/>
    </font>
    <font>
      <u/>
      <sz val="11"/>
      <name val="Calibri"/>
      <family val="2"/>
      <scheme val="minor"/>
    </font>
    <font>
      <b/>
      <sz val="14"/>
      <name val="Arial"/>
      <family val="2"/>
    </font>
    <font>
      <u/>
      <sz val="10"/>
      <name val="Arial"/>
      <family val="2"/>
    </font>
    <font>
      <b/>
      <sz val="12"/>
      <name val="Calibri"/>
      <family val="2"/>
      <scheme val="minor"/>
    </font>
    <font>
      <sz val="14"/>
      <name val="Calibri"/>
      <family val="2"/>
      <scheme val="minor"/>
    </font>
  </fonts>
  <fills count="2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0070C0"/>
        <bgColor indexed="64"/>
      </patternFill>
    </fill>
    <fill>
      <patternFill patternType="solid">
        <fgColor theme="8" tint="0.59999389629810485"/>
        <bgColor indexed="64"/>
      </patternFill>
    </fill>
    <fill>
      <patternFill patternType="solid">
        <fgColor rgb="FF002060"/>
        <bgColor indexed="64"/>
      </patternFill>
    </fill>
    <fill>
      <patternFill patternType="solid">
        <fgColor theme="9"/>
        <bgColor indexed="64"/>
      </patternFill>
    </fill>
    <fill>
      <patternFill patternType="solid">
        <fgColor theme="0" tint="-0.14999847407452621"/>
        <bgColor indexed="64"/>
      </patternFill>
    </fill>
    <fill>
      <patternFill patternType="solid">
        <fgColor rgb="FFD3DFEE"/>
        <bgColor indexed="64"/>
      </patternFill>
    </fill>
    <fill>
      <patternFill patternType="solid">
        <fgColor rgb="FF007BBD"/>
        <bgColor indexed="64"/>
      </patternFill>
    </fill>
    <fill>
      <patternFill patternType="solid">
        <fgColor rgb="FF0070C0"/>
        <bgColor rgb="FF000000"/>
      </patternFill>
    </fill>
    <fill>
      <patternFill patternType="solid">
        <fgColor theme="3"/>
        <bgColor indexed="64"/>
      </patternFill>
    </fill>
    <fill>
      <patternFill patternType="solid">
        <fgColor theme="6" tint="-0.249977111117893"/>
        <bgColor indexed="64"/>
      </patternFill>
    </fill>
    <fill>
      <patternFill patternType="solid">
        <fgColor theme="4" tint="0.79998168889431442"/>
        <bgColor theme="4" tint="0.79998168889431442"/>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00B050"/>
        <bgColor indexed="64"/>
      </patternFill>
    </fill>
    <fill>
      <patternFill patternType="solid">
        <fgColor rgb="FFD9E1F2"/>
        <bgColor rgb="FFD9E1F2"/>
      </patternFill>
    </fill>
    <fill>
      <patternFill patternType="solid">
        <fgColor theme="8" tint="0.39997558519241921"/>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0" tint="-0.249977111117893"/>
        <bgColor indexed="64"/>
      </patternFill>
    </fill>
  </fills>
  <borders count="108">
    <border>
      <left/>
      <right/>
      <top/>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diagonal/>
    </border>
    <border>
      <left style="thin">
        <color indexed="64"/>
      </left>
      <right/>
      <top/>
      <bottom style="double">
        <color indexed="64"/>
      </bottom>
      <diagonal/>
    </border>
    <border>
      <left style="thin">
        <color auto="1"/>
      </left>
      <right style="thin">
        <color indexed="64"/>
      </right>
      <top/>
      <bottom style="thin">
        <color auto="1"/>
      </bottom>
      <diagonal/>
    </border>
    <border>
      <left style="dotted">
        <color auto="1"/>
      </left>
      <right style="thin">
        <color auto="1"/>
      </right>
      <top/>
      <bottom style="thin">
        <color auto="1"/>
      </bottom>
      <diagonal/>
    </border>
    <border>
      <left style="dotted">
        <color auto="1"/>
      </left>
      <right style="dotted">
        <color auto="1"/>
      </right>
      <top/>
      <bottom style="thin">
        <color auto="1"/>
      </bottom>
      <diagonal/>
    </border>
    <border>
      <left/>
      <right style="dotted">
        <color auto="1"/>
      </right>
      <top/>
      <bottom style="thin">
        <color auto="1"/>
      </bottom>
      <diagonal/>
    </border>
    <border>
      <left style="dotted">
        <color auto="1"/>
      </left>
      <right style="thin">
        <color auto="1"/>
      </right>
      <top style="thin">
        <color auto="1"/>
      </top>
      <bottom/>
      <diagonal/>
    </border>
    <border>
      <left style="dotted">
        <color auto="1"/>
      </left>
      <right style="dotted">
        <color auto="1"/>
      </right>
      <top style="thin">
        <color auto="1"/>
      </top>
      <bottom/>
      <diagonal/>
    </border>
    <border>
      <left/>
      <right style="dotted">
        <color auto="1"/>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style="thin">
        <color auto="1"/>
      </top>
      <bottom style="medium">
        <color auto="1"/>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indexed="64"/>
      </bottom>
      <diagonal/>
    </border>
    <border>
      <left style="thin">
        <color auto="1"/>
      </left>
      <right/>
      <top style="thin">
        <color auto="1"/>
      </top>
      <bottom style="medium">
        <color auto="1"/>
      </bottom>
      <diagonal/>
    </border>
    <border>
      <left style="medium">
        <color indexed="64"/>
      </left>
      <right/>
      <top style="thin">
        <color auto="1"/>
      </top>
      <bottom style="medium">
        <color indexed="64"/>
      </bottom>
      <diagonal/>
    </border>
    <border>
      <left/>
      <right style="medium">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diagonal/>
    </border>
    <border>
      <left/>
      <right style="thin">
        <color auto="1"/>
      </right>
      <top style="thin">
        <color auto="1"/>
      </top>
      <bottom/>
      <diagonal/>
    </border>
    <border>
      <left/>
      <right style="medium">
        <color auto="1"/>
      </right>
      <top style="medium">
        <color auto="1"/>
      </top>
      <bottom/>
      <diagonal/>
    </border>
    <border>
      <left/>
      <right/>
      <top style="medium">
        <color auto="1"/>
      </top>
      <bottom/>
      <diagonal/>
    </border>
    <border>
      <left style="thin">
        <color auto="1"/>
      </left>
      <right/>
      <top style="medium">
        <color auto="1"/>
      </top>
      <bottom style="thin">
        <color auto="1"/>
      </bottom>
      <diagonal/>
    </border>
    <border>
      <left/>
      <right style="thin">
        <color auto="1"/>
      </right>
      <top style="medium">
        <color indexed="64"/>
      </top>
      <bottom style="thin">
        <color auto="1"/>
      </bottom>
      <diagonal/>
    </border>
    <border>
      <left/>
      <right/>
      <top style="medium">
        <color auto="1"/>
      </top>
      <bottom style="thin">
        <color auto="1"/>
      </bottom>
      <diagonal/>
    </border>
    <border>
      <left style="medium">
        <color indexed="64"/>
      </left>
      <right/>
      <top style="medium">
        <color indexed="64"/>
      </top>
      <bottom style="thin">
        <color auto="1"/>
      </bottom>
      <diagonal/>
    </border>
    <border>
      <left/>
      <right/>
      <top style="medium">
        <color indexed="64"/>
      </top>
      <bottom style="medium">
        <color indexed="64"/>
      </bottom>
      <diagonal/>
    </border>
    <border>
      <left style="thin">
        <color auto="1"/>
      </left>
      <right/>
      <top style="thin">
        <color auto="1"/>
      </top>
      <bottom style="thin">
        <color auto="1"/>
      </bottom>
      <diagonal/>
    </border>
    <border>
      <left/>
      <right style="medium">
        <color auto="1"/>
      </right>
      <top/>
      <bottom/>
      <diagonal/>
    </border>
    <border>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bottom style="medium">
        <color auto="1"/>
      </bottom>
      <diagonal/>
    </border>
    <border>
      <left style="hair">
        <color theme="0" tint="-0.24994659260841701"/>
      </left>
      <right/>
      <top/>
      <bottom/>
      <diagonal/>
    </border>
    <border>
      <left/>
      <right/>
      <top style="thin">
        <color theme="0" tint="-0.14996795556505021"/>
      </top>
      <bottom/>
      <diagonal/>
    </border>
    <border>
      <left/>
      <right/>
      <top/>
      <bottom style="thin">
        <color theme="0" tint="-0.14996795556505021"/>
      </bottom>
      <diagonal/>
    </border>
    <border>
      <left/>
      <right/>
      <top style="thin">
        <color theme="0"/>
      </top>
      <bottom style="thin">
        <color theme="0"/>
      </bottom>
      <diagonal/>
    </border>
    <border>
      <left style="medium">
        <color theme="0" tint="-0.24994659260841701"/>
      </left>
      <right/>
      <top style="medium">
        <color theme="0" tint="-0.24994659260841701"/>
      </top>
      <bottom style="medium">
        <color theme="0" tint="-0.24994659260841701"/>
      </bottom>
      <diagonal/>
    </border>
    <border>
      <left style="medium">
        <color theme="4"/>
      </left>
      <right style="medium">
        <color theme="4"/>
      </right>
      <top/>
      <bottom style="medium">
        <color theme="4"/>
      </bottom>
      <diagonal/>
    </border>
    <border>
      <left style="medium">
        <color rgb="FF4F81BD"/>
      </left>
      <right/>
      <top/>
      <bottom style="medium">
        <color theme="4"/>
      </bottom>
      <diagonal/>
    </border>
    <border>
      <left style="medium">
        <color theme="4"/>
      </left>
      <right/>
      <top/>
      <bottom style="medium">
        <color theme="4"/>
      </bottom>
      <diagonal/>
    </border>
    <border>
      <left style="medium">
        <color theme="4"/>
      </left>
      <right style="medium">
        <color theme="4"/>
      </right>
      <top/>
      <bottom/>
      <diagonal/>
    </border>
    <border>
      <left style="medium">
        <color rgb="FF4F81BD"/>
      </left>
      <right/>
      <top/>
      <bottom/>
      <diagonal/>
    </border>
    <border>
      <left style="medium">
        <color theme="4"/>
      </left>
      <right/>
      <top/>
      <bottom/>
      <diagonal/>
    </border>
    <border>
      <left style="medium">
        <color theme="4"/>
      </left>
      <right style="medium">
        <color theme="4"/>
      </right>
      <top style="medium">
        <color theme="4"/>
      </top>
      <bottom/>
      <diagonal/>
    </border>
    <border>
      <left style="medium">
        <color rgb="FF4F81BD"/>
      </left>
      <right/>
      <top style="medium">
        <color rgb="FF4F81BD"/>
      </top>
      <bottom/>
      <diagonal/>
    </border>
    <border>
      <left style="medium">
        <color theme="4"/>
      </left>
      <right/>
      <top style="medium">
        <color rgb="FF4F81BD"/>
      </top>
      <bottom/>
      <diagonal/>
    </border>
    <border>
      <left style="medium">
        <color rgb="FF4F81BD"/>
      </left>
      <right style="medium">
        <color theme="4"/>
      </right>
      <top style="medium">
        <color theme="4"/>
      </top>
      <bottom/>
      <diagonal/>
    </border>
    <border>
      <left style="medium">
        <color rgb="FF4F81BD"/>
      </left>
      <right style="medium">
        <color rgb="FF4F81BD"/>
      </right>
      <top style="medium">
        <color theme="4"/>
      </top>
      <bottom/>
      <diagonal/>
    </border>
    <border>
      <left style="medium">
        <color theme="4"/>
      </left>
      <right style="medium">
        <color rgb="FF4F81BD"/>
      </right>
      <top style="medium">
        <color theme="4"/>
      </top>
      <bottom/>
      <diagonal/>
    </border>
    <border>
      <left/>
      <right style="medium">
        <color theme="0" tint="-0.249977111117893"/>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style="medium">
        <color theme="0" tint="-0.249977111117893"/>
      </left>
      <right/>
      <top style="medium">
        <color theme="0" tint="-0.249977111117893"/>
      </top>
      <bottom style="medium">
        <color theme="0" tint="-0.249977111117893"/>
      </bottom>
      <diagonal/>
    </border>
    <border>
      <left/>
      <right/>
      <top/>
      <bottom style="medium">
        <color theme="0" tint="-0.249977111117893"/>
      </bottom>
      <diagonal/>
    </border>
    <border>
      <left style="medium">
        <color theme="0" tint="-0.249977111117893"/>
      </left>
      <right/>
      <top/>
      <bottom style="medium">
        <color theme="0" tint="-0.249977111117893"/>
      </bottom>
      <diagonal/>
    </border>
    <border>
      <left/>
      <right style="hair">
        <color theme="0" tint="-0.24994659260841701"/>
      </right>
      <top/>
      <bottom/>
      <diagonal/>
    </border>
    <border>
      <left style="medium">
        <color theme="0" tint="-0.24994659260841701"/>
      </left>
      <right/>
      <top/>
      <bottom/>
      <diagonal/>
    </border>
    <border>
      <left/>
      <right style="medium">
        <color theme="0" tint="-0.24994659260841701"/>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right style="hair">
        <color theme="0" tint="-0.24994659260841701"/>
      </right>
      <top style="hair">
        <color theme="0" tint="-0.24994659260841701"/>
      </top>
      <bottom/>
      <diagonal/>
    </border>
    <border>
      <left/>
      <right/>
      <top style="hair">
        <color theme="0" tint="-0.24994659260841701"/>
      </top>
      <bottom/>
      <diagonal/>
    </border>
    <border>
      <left style="hair">
        <color theme="0" tint="-0.24994659260841701"/>
      </left>
      <right/>
      <top style="hair">
        <color theme="0" tint="-0.24994659260841701"/>
      </top>
      <bottom/>
      <diagonal/>
    </border>
    <border>
      <left style="thin">
        <color auto="1"/>
      </left>
      <right style="thin">
        <color auto="1"/>
      </right>
      <top/>
      <bottom style="thin">
        <color theme="0"/>
      </bottom>
      <diagonal/>
    </border>
    <border>
      <left style="thin">
        <color auto="1"/>
      </left>
      <right style="thin">
        <color auto="1"/>
      </right>
      <top style="thin">
        <color theme="0"/>
      </top>
      <bottom style="thin">
        <color auto="1"/>
      </bottom>
      <diagonal/>
    </border>
    <border>
      <left style="thin">
        <color auto="1"/>
      </left>
      <right style="thin">
        <color auto="1"/>
      </right>
      <top style="thin">
        <color auto="1"/>
      </top>
      <bottom style="thin">
        <color theme="0"/>
      </bottom>
      <diagonal/>
    </border>
    <border>
      <left style="medium">
        <color rgb="FF4F81BD"/>
      </left>
      <right/>
      <top style="medium">
        <color theme="4"/>
      </top>
      <bottom/>
      <diagonal/>
    </border>
    <border>
      <left style="medium">
        <color theme="4"/>
      </left>
      <right/>
      <top style="medium">
        <color theme="4"/>
      </top>
      <bottom/>
      <diagonal/>
    </border>
    <border>
      <left/>
      <right/>
      <top style="thin">
        <color rgb="FFBEBEBE"/>
      </top>
      <bottom style="thin">
        <color rgb="FF0095D6"/>
      </bottom>
      <diagonal/>
    </border>
    <border>
      <left/>
      <right/>
      <top style="thin">
        <color rgb="FFBEBEBE"/>
      </top>
      <bottom style="thin">
        <color rgb="FFBEBEBE"/>
      </bottom>
      <diagonal/>
    </border>
    <border>
      <left/>
      <right/>
      <top style="thin">
        <color rgb="FF0095D6"/>
      </top>
      <bottom style="thin">
        <color rgb="FFBEBEBE"/>
      </bottom>
      <diagonal/>
    </border>
    <border>
      <left/>
      <right/>
      <top/>
      <bottom style="thin">
        <color rgb="FF0095D6"/>
      </bottom>
      <diagonal/>
    </border>
    <border>
      <left/>
      <right/>
      <top style="thin">
        <color rgb="FF5B9BD4"/>
      </top>
      <bottom style="thin">
        <color rgb="FFBEBEBE"/>
      </bottom>
      <diagonal/>
    </border>
    <border>
      <left/>
      <right/>
      <top style="thin">
        <color rgb="FFBEBEBE"/>
      </top>
      <bottom style="thin">
        <color rgb="FF5B9BD4"/>
      </bottom>
      <diagonal/>
    </border>
    <border>
      <left/>
      <right/>
      <top/>
      <bottom style="thin">
        <color rgb="FF5B9BD4"/>
      </bottom>
      <diagonal/>
    </border>
    <border>
      <left/>
      <right style="medium">
        <color theme="3"/>
      </right>
      <top/>
      <bottom style="medium">
        <color theme="3"/>
      </bottom>
      <diagonal/>
    </border>
    <border>
      <left/>
      <right/>
      <top/>
      <bottom style="medium">
        <color theme="3"/>
      </bottom>
      <diagonal/>
    </border>
    <border>
      <left style="medium">
        <color theme="3"/>
      </left>
      <right/>
      <top/>
      <bottom style="medium">
        <color theme="3"/>
      </bottom>
      <diagonal/>
    </border>
    <border>
      <left/>
      <right style="medium">
        <color theme="3"/>
      </right>
      <top/>
      <bottom/>
      <diagonal/>
    </border>
    <border>
      <left style="medium">
        <color theme="3"/>
      </left>
      <right/>
      <top/>
      <bottom/>
      <diagonal/>
    </border>
    <border>
      <left/>
      <right style="medium">
        <color theme="3"/>
      </right>
      <top style="medium">
        <color theme="3"/>
      </top>
      <bottom/>
      <diagonal/>
    </border>
    <border>
      <left/>
      <right/>
      <top style="medium">
        <color theme="3"/>
      </top>
      <bottom/>
      <diagonal/>
    </border>
    <border>
      <left style="medium">
        <color theme="3"/>
      </left>
      <right/>
      <top style="medium">
        <color theme="3"/>
      </top>
      <bottom/>
      <diagonal/>
    </border>
    <border>
      <left/>
      <right style="medium">
        <color theme="6" tint="-0.24994659260841701"/>
      </right>
      <top/>
      <bottom style="medium">
        <color theme="6" tint="-0.24994659260841701"/>
      </bottom>
      <diagonal/>
    </border>
    <border>
      <left/>
      <right/>
      <top/>
      <bottom style="medium">
        <color theme="6" tint="-0.24994659260841701"/>
      </bottom>
      <diagonal/>
    </border>
    <border>
      <left style="medium">
        <color theme="6" tint="-0.24994659260841701"/>
      </left>
      <right/>
      <top/>
      <bottom style="medium">
        <color theme="6" tint="-0.24994659260841701"/>
      </bottom>
      <diagonal/>
    </border>
    <border>
      <left/>
      <right style="medium">
        <color theme="6" tint="-0.24994659260841701"/>
      </right>
      <top/>
      <bottom/>
      <diagonal/>
    </border>
    <border>
      <left style="medium">
        <color theme="6" tint="-0.24994659260841701"/>
      </left>
      <right/>
      <top/>
      <bottom/>
      <diagonal/>
    </border>
    <border>
      <left/>
      <right style="medium">
        <color theme="6" tint="-0.24994659260841701"/>
      </right>
      <top style="medium">
        <color theme="6" tint="-0.24994659260841701"/>
      </top>
      <bottom/>
      <diagonal/>
    </border>
    <border>
      <left/>
      <right/>
      <top style="medium">
        <color theme="6" tint="-0.24994659260841701"/>
      </top>
      <bottom/>
      <diagonal/>
    </border>
    <border>
      <left style="medium">
        <color theme="6" tint="-0.24994659260841701"/>
      </left>
      <right/>
      <top style="medium">
        <color theme="6" tint="-0.24994659260841701"/>
      </top>
      <bottom/>
      <diagonal/>
    </border>
    <border>
      <left/>
      <right/>
      <top/>
      <bottom style="thin">
        <color theme="4" tint="0.39997558519241921"/>
      </bottom>
      <diagonal/>
    </border>
    <border>
      <left/>
      <right/>
      <top style="thin">
        <color theme="4" tint="0.39997558519241921"/>
      </top>
      <bottom/>
      <diagonal/>
    </border>
    <border>
      <left/>
      <right/>
      <top/>
      <bottom style="thin">
        <color rgb="FF8EA9DB"/>
      </bottom>
      <diagonal/>
    </border>
  </borders>
  <cellStyleXfs count="16">
    <xf numFmtId="0" fontId="0" fillId="0" borderId="0"/>
    <xf numFmtId="44"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5" fillId="0" borderId="0" applyNumberForma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5" fillId="0" borderId="0" applyNumberFormat="0" applyFill="0" applyBorder="0" applyAlignment="0" applyProtection="0"/>
    <xf numFmtId="0" fontId="13" fillId="0" borderId="0"/>
    <xf numFmtId="0" fontId="13" fillId="0" borderId="0"/>
    <xf numFmtId="0" fontId="15" fillId="0" borderId="0"/>
    <xf numFmtId="0" fontId="15" fillId="0" borderId="0"/>
    <xf numFmtId="0" fontId="13" fillId="0" borderId="0"/>
    <xf numFmtId="0" fontId="2" fillId="0" borderId="0"/>
    <xf numFmtId="9" fontId="13" fillId="0" borderId="0" applyFont="0" applyFill="0" applyBorder="0" applyAlignment="0" applyProtection="0"/>
    <xf numFmtId="43" fontId="2" fillId="0" borderId="0" applyFont="0" applyFill="0" applyBorder="0" applyAlignment="0" applyProtection="0"/>
  </cellStyleXfs>
  <cellXfs count="683">
    <xf numFmtId="0" fontId="0" fillId="0" borderId="0" xfId="0"/>
    <xf numFmtId="0" fontId="1" fillId="0" borderId="0" xfId="0" applyFont="1"/>
    <xf numFmtId="0" fontId="3" fillId="0" borderId="0" xfId="0" quotePrefix="1" applyFont="1" applyAlignment="1">
      <alignment horizontal="left"/>
    </xf>
    <xf numFmtId="0" fontId="4" fillId="0" borderId="0" xfId="0" applyFont="1"/>
    <xf numFmtId="0" fontId="4" fillId="0" borderId="0" xfId="0" quotePrefix="1" applyFont="1" applyAlignment="1">
      <alignment horizontal="left"/>
    </xf>
    <xf numFmtId="5" fontId="4" fillId="0" borderId="0" xfId="0" quotePrefix="1" applyNumberFormat="1" applyFont="1" applyAlignment="1">
      <alignment horizontal="right"/>
    </xf>
    <xf numFmtId="44" fontId="4" fillId="0" borderId="0" xfId="0" quotePrefix="1" applyNumberFormat="1" applyFont="1" applyAlignment="1">
      <alignment horizontal="right"/>
    </xf>
    <xf numFmtId="0" fontId="4" fillId="0" borderId="0" xfId="0" applyFont="1" applyAlignment="1">
      <alignment horizontal="right"/>
    </xf>
    <xf numFmtId="7" fontId="4" fillId="0" borderId="0" xfId="0" applyNumberFormat="1" applyFont="1" applyAlignment="1">
      <alignment horizontal="right"/>
    </xf>
    <xf numFmtId="0" fontId="4" fillId="3" borderId="0" xfId="0" applyFont="1" applyFill="1"/>
    <xf numFmtId="0" fontId="3" fillId="3" borderId="0" xfId="0" applyFont="1" applyFill="1"/>
    <xf numFmtId="5" fontId="4" fillId="3" borderId="0" xfId="0" applyNumberFormat="1" applyFont="1" applyFill="1"/>
    <xf numFmtId="0" fontId="4" fillId="3" borderId="0" xfId="0" applyFont="1" applyFill="1" applyAlignment="1">
      <alignment horizontal="left"/>
    </xf>
    <xf numFmtId="6" fontId="4" fillId="3" borderId="0" xfId="0" applyNumberFormat="1" applyFont="1" applyFill="1"/>
    <xf numFmtId="0" fontId="6" fillId="0" borderId="0" xfId="0" applyFont="1"/>
    <xf numFmtId="0" fontId="4" fillId="6" borderId="0" xfId="0" applyFont="1" applyFill="1"/>
    <xf numFmtId="0" fontId="4" fillId="3" borderId="0" xfId="0" applyFont="1" applyFill="1" applyAlignment="1">
      <alignment horizontal="right"/>
    </xf>
    <xf numFmtId="0" fontId="4" fillId="3" borderId="0" xfId="0" quotePrefix="1" applyFont="1" applyFill="1" applyAlignment="1">
      <alignment horizontal="left" indent="2"/>
    </xf>
    <xf numFmtId="0" fontId="4" fillId="3" borderId="0" xfId="0" applyFont="1" applyFill="1" applyAlignment="1">
      <alignment horizontal="left" indent="2"/>
    </xf>
    <xf numFmtId="166" fontId="4" fillId="3" borderId="0" xfId="0" applyNumberFormat="1" applyFont="1" applyFill="1"/>
    <xf numFmtId="0" fontId="3" fillId="3" borderId="0" xfId="0" quotePrefix="1" applyFont="1" applyFill="1" applyAlignment="1">
      <alignment horizontal="left"/>
    </xf>
    <xf numFmtId="174" fontId="4" fillId="3" borderId="0" xfId="0" applyNumberFormat="1" applyFont="1" applyFill="1"/>
    <xf numFmtId="167" fontId="4" fillId="3" borderId="0" xfId="0" applyNumberFormat="1" applyFont="1" applyFill="1"/>
    <xf numFmtId="0" fontId="4" fillId="3" borderId="0" xfId="0" quotePrefix="1" applyFont="1" applyFill="1" applyAlignment="1">
      <alignment horizontal="left"/>
    </xf>
    <xf numFmtId="7" fontId="4" fillId="3" borderId="0" xfId="0" applyNumberFormat="1" applyFont="1" applyFill="1"/>
    <xf numFmtId="0" fontId="10" fillId="3" borderId="0" xfId="0" quotePrefix="1" applyFont="1" applyFill="1" applyAlignment="1">
      <alignment horizontal="left"/>
    </xf>
    <xf numFmtId="0" fontId="11" fillId="3" borderId="0" xfId="0" applyFont="1" applyFill="1"/>
    <xf numFmtId="5" fontId="4" fillId="0" borderId="0" xfId="0" applyNumberFormat="1" applyFont="1"/>
    <xf numFmtId="0" fontId="4" fillId="0" borderId="0" xfId="0" quotePrefix="1" applyFont="1" applyAlignment="1">
      <alignment horizontal="left" indent="2"/>
    </xf>
    <xf numFmtId="0" fontId="4" fillId="0" borderId="0" xfId="0" applyFont="1" applyAlignment="1">
      <alignment horizontal="left" indent="2"/>
    </xf>
    <xf numFmtId="166" fontId="4" fillId="0" borderId="0" xfId="0" applyNumberFormat="1" applyFont="1"/>
    <xf numFmtId="0" fontId="3" fillId="0" borderId="0" xfId="0" applyFont="1"/>
    <xf numFmtId="174" fontId="4" fillId="0" borderId="0" xfId="0" applyNumberFormat="1" applyFont="1"/>
    <xf numFmtId="167" fontId="4" fillId="0" borderId="0" xfId="0" applyNumberFormat="1" applyFont="1"/>
    <xf numFmtId="7" fontId="4" fillId="0" borderId="0" xfId="0" applyNumberFormat="1" applyFont="1"/>
    <xf numFmtId="0" fontId="10" fillId="0" borderId="0" xfId="0" quotePrefix="1" applyFont="1" applyAlignment="1">
      <alignment horizontal="left"/>
    </xf>
    <xf numFmtId="0" fontId="11" fillId="0" borderId="0" xfId="0" applyFont="1"/>
    <xf numFmtId="0" fontId="4" fillId="0" borderId="0" xfId="0" applyFont="1" applyAlignment="1">
      <alignment horizontal="right" vertical="center"/>
    </xf>
    <xf numFmtId="14" fontId="4" fillId="0" borderId="0" xfId="0" applyNumberFormat="1" applyFont="1" applyProtection="1">
      <protection locked="0"/>
    </xf>
    <xf numFmtId="14" fontId="4" fillId="0" borderId="0" xfId="0" applyNumberFormat="1" applyFont="1" applyAlignment="1" applyProtection="1">
      <alignment horizontal="right"/>
      <protection locked="0"/>
    </xf>
    <xf numFmtId="0" fontId="4" fillId="0" borderId="0" xfId="0" applyFont="1" applyAlignment="1">
      <alignment horizontal="left" vertical="center"/>
    </xf>
    <xf numFmtId="10" fontId="4" fillId="0" borderId="0" xfId="0" applyNumberFormat="1" applyFont="1" applyProtection="1">
      <protection locked="0"/>
    </xf>
    <xf numFmtId="168" fontId="4" fillId="0" borderId="0" xfId="0" applyNumberFormat="1" applyFont="1" applyProtection="1">
      <protection locked="0"/>
    </xf>
    <xf numFmtId="0" fontId="12" fillId="0" borderId="0" xfId="0" applyFont="1" applyAlignment="1">
      <alignment vertical="center" textRotation="90" wrapText="1"/>
    </xf>
    <xf numFmtId="0" fontId="4" fillId="0" borderId="31" xfId="4" applyFont="1" applyBorder="1"/>
    <xf numFmtId="0" fontId="13" fillId="0" borderId="62" xfId="0" applyFont="1" applyBorder="1" applyAlignment="1">
      <alignment horizontal="center" vertical="center" wrapText="1"/>
    </xf>
    <xf numFmtId="0" fontId="13" fillId="0" borderId="63" xfId="0" applyFont="1" applyBorder="1" applyAlignment="1">
      <alignment horizontal="center" vertical="center" wrapText="1"/>
    </xf>
    <xf numFmtId="0" fontId="13" fillId="0" borderId="64" xfId="0" applyFont="1" applyBorder="1" applyAlignment="1">
      <alignment horizontal="center" vertical="center" wrapText="1"/>
    </xf>
    <xf numFmtId="0" fontId="13" fillId="0" borderId="0" xfId="8"/>
    <xf numFmtId="0" fontId="16" fillId="0" borderId="82" xfId="11" applyFont="1" applyBorder="1" applyAlignment="1">
      <alignment horizontal="right" vertical="top" wrapText="1"/>
    </xf>
    <xf numFmtId="0" fontId="16" fillId="0" borderId="82" xfId="11" applyFont="1" applyBorder="1" applyAlignment="1">
      <alignment vertical="top" wrapText="1"/>
    </xf>
    <xf numFmtId="0" fontId="16" fillId="0" borderId="83" xfId="11" applyFont="1" applyBorder="1" applyAlignment="1">
      <alignment horizontal="right" vertical="top" wrapText="1"/>
    </xf>
    <xf numFmtId="0" fontId="16" fillId="0" borderId="83" xfId="11" applyFont="1" applyBorder="1" applyAlignment="1">
      <alignment vertical="top" wrapText="1"/>
    </xf>
    <xf numFmtId="0" fontId="16" fillId="0" borderId="84" xfId="11" applyFont="1" applyBorder="1" applyAlignment="1">
      <alignment vertical="top" wrapText="1"/>
    </xf>
    <xf numFmtId="0" fontId="17" fillId="0" borderId="85" xfId="11" applyFont="1" applyBorder="1" applyAlignment="1">
      <alignment horizontal="right" vertical="top" wrapText="1"/>
    </xf>
    <xf numFmtId="0" fontId="17" fillId="0" borderId="85" xfId="11" applyFont="1" applyBorder="1" applyAlignment="1">
      <alignment vertical="top" wrapText="1"/>
    </xf>
    <xf numFmtId="0" fontId="18" fillId="0" borderId="0" xfId="11" applyFont="1" applyAlignment="1">
      <alignment horizontal="right"/>
    </xf>
    <xf numFmtId="0" fontId="18" fillId="0" borderId="0" xfId="11" applyFont="1"/>
    <xf numFmtId="0" fontId="19" fillId="0" borderId="83" xfId="11" applyFont="1" applyBorder="1" applyAlignment="1">
      <alignment horizontal="left" vertical="top" wrapText="1" indent="1"/>
    </xf>
    <xf numFmtId="0" fontId="19" fillId="0" borderId="83" xfId="11" applyFont="1" applyBorder="1" applyAlignment="1">
      <alignment horizontal="right" vertical="top" wrapText="1" indent="1"/>
    </xf>
    <xf numFmtId="0" fontId="19" fillId="0" borderId="83" xfId="11" applyFont="1" applyBorder="1" applyAlignment="1">
      <alignment horizontal="right" vertical="top" wrapText="1"/>
    </xf>
    <xf numFmtId="0" fontId="19" fillId="0" borderId="86" xfId="11" applyFont="1" applyBorder="1" applyAlignment="1">
      <alignment horizontal="right" vertical="top" wrapText="1"/>
    </xf>
    <xf numFmtId="0" fontId="19" fillId="0" borderId="86" xfId="11" applyFont="1" applyBorder="1" applyAlignment="1">
      <alignment horizontal="right" vertical="top" wrapText="1" indent="1"/>
    </xf>
    <xf numFmtId="0" fontId="19" fillId="0" borderId="86" xfId="11" applyFont="1" applyBorder="1" applyAlignment="1">
      <alignment horizontal="left" vertical="top" wrapText="1" indent="1"/>
    </xf>
    <xf numFmtId="0" fontId="20" fillId="0" borderId="88" xfId="11" applyFont="1" applyBorder="1" applyAlignment="1">
      <alignment horizontal="left" vertical="center" wrapText="1" indent="1"/>
    </xf>
    <xf numFmtId="0" fontId="21" fillId="0" borderId="85" xfId="11" quotePrefix="1" applyFont="1" applyBorder="1" applyAlignment="1">
      <alignment horizontal="left" vertical="top" wrapText="1"/>
    </xf>
    <xf numFmtId="0" fontId="22" fillId="0" borderId="0" xfId="11" applyFont="1" applyAlignment="1">
      <alignment horizontal="right"/>
    </xf>
    <xf numFmtId="0" fontId="13" fillId="3" borderId="0" xfId="12" applyFill="1"/>
    <xf numFmtId="0" fontId="13" fillId="0" borderId="89" xfId="12" applyBorder="1"/>
    <xf numFmtId="0" fontId="13" fillId="0" borderId="90" xfId="12" applyBorder="1"/>
    <xf numFmtId="0" fontId="13" fillId="0" borderId="91" xfId="12" applyBorder="1"/>
    <xf numFmtId="0" fontId="13" fillId="0" borderId="92" xfId="12" applyBorder="1"/>
    <xf numFmtId="0" fontId="13" fillId="0" borderId="0" xfId="12"/>
    <xf numFmtId="0" fontId="24" fillId="0" borderId="93" xfId="12" applyFont="1" applyBorder="1"/>
    <xf numFmtId="0" fontId="13" fillId="0" borderId="93" xfId="12" applyBorder="1"/>
    <xf numFmtId="0" fontId="23" fillId="0" borderId="93" xfId="12" applyFont="1" applyBorder="1"/>
    <xf numFmtId="0" fontId="25" fillId="0" borderId="93" xfId="12" applyFont="1" applyBorder="1" applyAlignment="1">
      <alignment horizontal="left" vertical="center" readingOrder="1"/>
    </xf>
    <xf numFmtId="0" fontId="24" fillId="0" borderId="93" xfId="12" applyFont="1" applyBorder="1" applyAlignment="1">
      <alignment horizontal="left" vertical="center" readingOrder="1"/>
    </xf>
    <xf numFmtId="0" fontId="26" fillId="0" borderId="93" xfId="12" applyFont="1" applyBorder="1" applyAlignment="1">
      <alignment horizontal="left" vertical="center" readingOrder="1"/>
    </xf>
    <xf numFmtId="0" fontId="13" fillId="3" borderId="0" xfId="12" applyFill="1" applyAlignment="1">
      <alignment horizontal="left"/>
    </xf>
    <xf numFmtId="0" fontId="13" fillId="3" borderId="92" xfId="12" applyFill="1" applyBorder="1"/>
    <xf numFmtId="0" fontId="13" fillId="3" borderId="93" xfId="12" applyFill="1" applyBorder="1"/>
    <xf numFmtId="0" fontId="29" fillId="3" borderId="0" xfId="12" applyFont="1" applyFill="1" applyAlignment="1">
      <alignment horizontal="left"/>
    </xf>
    <xf numFmtId="0" fontId="30" fillId="3" borderId="0" xfId="12" applyFont="1" applyFill="1"/>
    <xf numFmtId="17" fontId="31" fillId="3" borderId="0" xfId="12" quotePrefix="1" applyNumberFormat="1" applyFont="1" applyFill="1" applyAlignment="1">
      <alignment horizontal="left" vertical="center" readingOrder="1"/>
    </xf>
    <xf numFmtId="0" fontId="32" fillId="3" borderId="0" xfId="12" applyFont="1" applyFill="1" applyAlignment="1">
      <alignment horizontal="left" vertical="center" readingOrder="1"/>
    </xf>
    <xf numFmtId="0" fontId="31" fillId="3" borderId="0" xfId="12" applyFont="1" applyFill="1" applyAlignment="1">
      <alignment horizontal="left" vertical="center" readingOrder="1"/>
    </xf>
    <xf numFmtId="0" fontId="34" fillId="0" borderId="0" xfId="12" applyFont="1" applyAlignment="1">
      <alignment horizontal="left" vertical="center" readingOrder="1"/>
    </xf>
    <xf numFmtId="0" fontId="34" fillId="3" borderId="0" xfId="12" applyFont="1" applyFill="1" applyAlignment="1">
      <alignment horizontal="left" vertical="center" readingOrder="1"/>
    </xf>
    <xf numFmtId="0" fontId="37" fillId="3" borderId="0" xfId="12" applyFont="1" applyFill="1"/>
    <xf numFmtId="0" fontId="13" fillId="16" borderId="92" xfId="12" applyFill="1" applyBorder="1"/>
    <xf numFmtId="0" fontId="13" fillId="16" borderId="0" xfId="12" applyFill="1"/>
    <xf numFmtId="0" fontId="13" fillId="16" borderId="93" xfId="12" applyFill="1" applyBorder="1"/>
    <xf numFmtId="0" fontId="13" fillId="16" borderId="94" xfId="12" applyFill="1" applyBorder="1"/>
    <xf numFmtId="0" fontId="13" fillId="16" borderId="95" xfId="12" applyFill="1" applyBorder="1"/>
    <xf numFmtId="0" fontId="13" fillId="16" borderId="96" xfId="12" applyFill="1" applyBorder="1"/>
    <xf numFmtId="0" fontId="13" fillId="0" borderId="5" xfId="8" applyBorder="1" applyAlignment="1">
      <alignment horizontal="center" vertical="center"/>
    </xf>
    <xf numFmtId="181" fontId="13" fillId="0" borderId="2" xfId="8" applyNumberFormat="1" applyBorder="1" applyAlignment="1">
      <alignment horizontal="center" vertical="center"/>
    </xf>
    <xf numFmtId="0" fontId="13" fillId="0" borderId="2" xfId="8" applyBorder="1" applyAlignment="1">
      <alignment horizontal="center" vertical="center"/>
    </xf>
    <xf numFmtId="0" fontId="13" fillId="0" borderId="4" xfId="8" applyBorder="1" applyAlignment="1">
      <alignment horizontal="center" vertical="center"/>
    </xf>
    <xf numFmtId="0" fontId="13" fillId="0" borderId="6" xfId="8" applyBorder="1" applyAlignment="1">
      <alignment horizontal="center" vertical="center"/>
    </xf>
    <xf numFmtId="181" fontId="13" fillId="0" borderId="0" xfId="8" applyNumberFormat="1" applyAlignment="1">
      <alignment horizontal="center" vertical="center"/>
    </xf>
    <xf numFmtId="0" fontId="13" fillId="0" borderId="0" xfId="8" applyAlignment="1">
      <alignment horizontal="center" vertical="center"/>
    </xf>
    <xf numFmtId="0" fontId="13" fillId="0" borderId="12" xfId="8" applyBorder="1" applyAlignment="1">
      <alignment horizontal="center" vertical="center"/>
    </xf>
    <xf numFmtId="1" fontId="13" fillId="0" borderId="0" xfId="8" applyNumberFormat="1" applyAlignment="1">
      <alignment horizontal="center" vertical="center"/>
    </xf>
    <xf numFmtId="0" fontId="13" fillId="0" borderId="0" xfId="8" applyAlignment="1">
      <alignment horizontal="center"/>
    </xf>
    <xf numFmtId="10" fontId="14" fillId="0" borderId="0" xfId="13" applyNumberFormat="1" applyFont="1"/>
    <xf numFmtId="0" fontId="14" fillId="0" borderId="0" xfId="13" applyFont="1"/>
    <xf numFmtId="9" fontId="14" fillId="0" borderId="0" xfId="14" applyFont="1" applyBorder="1"/>
    <xf numFmtId="9" fontId="13" fillId="0" borderId="0" xfId="14" applyFont="1"/>
    <xf numFmtId="181" fontId="13" fillId="0" borderId="0" xfId="8" applyNumberFormat="1"/>
    <xf numFmtId="1" fontId="13" fillId="0" borderId="14" xfId="8" applyNumberFormat="1" applyBorder="1" applyAlignment="1">
      <alignment horizontal="center" vertical="center"/>
    </xf>
    <xf numFmtId="0" fontId="13" fillId="0" borderId="14" xfId="8" applyBorder="1" applyAlignment="1">
      <alignment horizontal="center" vertical="center"/>
    </xf>
    <xf numFmtId="1" fontId="13" fillId="0" borderId="1" xfId="8" applyNumberFormat="1" applyBorder="1" applyAlignment="1">
      <alignment horizontal="center" vertical="center"/>
    </xf>
    <xf numFmtId="0" fontId="13" fillId="0" borderId="1" xfId="8" applyBorder="1" applyAlignment="1">
      <alignment horizontal="center" vertical="center"/>
    </xf>
    <xf numFmtId="0" fontId="13" fillId="0" borderId="3" xfId="8" applyBorder="1" applyAlignment="1">
      <alignment horizontal="center" vertical="center"/>
    </xf>
    <xf numFmtId="0" fontId="13" fillId="0" borderId="3" xfId="8" applyBorder="1"/>
    <xf numFmtId="0" fontId="13" fillId="0" borderId="14" xfId="8" applyBorder="1" applyAlignment="1">
      <alignment horizontal="right"/>
    </xf>
    <xf numFmtId="0" fontId="13" fillId="0" borderId="35" xfId="8" applyBorder="1" applyAlignment="1">
      <alignment horizontal="center" vertical="center"/>
    </xf>
    <xf numFmtId="0" fontId="13" fillId="0" borderId="21" xfId="8" applyBorder="1" applyAlignment="1">
      <alignment horizontal="center" vertical="center"/>
    </xf>
    <xf numFmtId="0" fontId="13" fillId="0" borderId="23" xfId="8" applyBorder="1" applyAlignment="1">
      <alignment horizontal="center" vertical="center"/>
    </xf>
    <xf numFmtId="182" fontId="13" fillId="0" borderId="35" xfId="8" applyNumberFormat="1" applyBorder="1" applyAlignment="1">
      <alignment horizontal="center" vertical="center"/>
    </xf>
    <xf numFmtId="182" fontId="13" fillId="0" borderId="21" xfId="8" applyNumberFormat="1" applyBorder="1" applyAlignment="1">
      <alignment horizontal="center" vertical="center"/>
    </xf>
    <xf numFmtId="0" fontId="13" fillId="0" borderId="22" xfId="8" applyBorder="1" applyAlignment="1">
      <alignment horizontal="right"/>
    </xf>
    <xf numFmtId="0" fontId="12" fillId="0" borderId="0" xfId="8" applyFont="1"/>
    <xf numFmtId="0" fontId="38" fillId="0" borderId="0" xfId="12" applyFont="1" applyAlignment="1">
      <alignment horizontal="left"/>
    </xf>
    <xf numFmtId="0" fontId="39" fillId="0" borderId="0" xfId="8" applyFont="1"/>
    <xf numFmtId="0" fontId="40" fillId="0" borderId="0" xfId="8" applyFont="1"/>
    <xf numFmtId="2" fontId="13" fillId="0" borderId="5" xfId="8" applyNumberFormat="1" applyBorder="1"/>
    <xf numFmtId="2" fontId="13" fillId="0" borderId="2" xfId="8" applyNumberFormat="1" applyBorder="1"/>
    <xf numFmtId="3" fontId="13" fillId="0" borderId="2" xfId="8" applyNumberFormat="1" applyBorder="1" applyAlignment="1">
      <alignment horizontal="center" vertical="center"/>
    </xf>
    <xf numFmtId="3" fontId="13" fillId="0" borderId="4" xfId="8" applyNumberFormat="1" applyBorder="1" applyAlignment="1">
      <alignment horizontal="center" vertical="center"/>
    </xf>
    <xf numFmtId="2" fontId="13" fillId="0" borderId="6" xfId="8" applyNumberFormat="1" applyBorder="1"/>
    <xf numFmtId="2" fontId="13" fillId="0" borderId="0" xfId="8" applyNumberFormat="1"/>
    <xf numFmtId="3" fontId="13" fillId="0" borderId="0" xfId="8" applyNumberFormat="1" applyAlignment="1">
      <alignment horizontal="center" vertical="center"/>
    </xf>
    <xf numFmtId="3" fontId="13" fillId="0" borderId="12" xfId="8" applyNumberFormat="1" applyBorder="1" applyAlignment="1">
      <alignment horizontal="center" vertical="center"/>
    </xf>
    <xf numFmtId="0" fontId="13" fillId="0" borderId="35" xfId="8" applyBorder="1"/>
    <xf numFmtId="0" fontId="13" fillId="0" borderId="21" xfId="8" applyBorder="1"/>
    <xf numFmtId="0" fontId="13" fillId="0" borderId="23" xfId="8" applyBorder="1"/>
    <xf numFmtId="0" fontId="13" fillId="3" borderId="97" xfId="12" applyFill="1" applyBorder="1"/>
    <xf numFmtId="0" fontId="13" fillId="3" borderId="98" xfId="12" applyFill="1" applyBorder="1"/>
    <xf numFmtId="0" fontId="13" fillId="3" borderId="99" xfId="12" applyFill="1" applyBorder="1"/>
    <xf numFmtId="0" fontId="13" fillId="3" borderId="100" xfId="12" applyFill="1" applyBorder="1"/>
    <xf numFmtId="0" fontId="41" fillId="3" borderId="101" xfId="12" applyFont="1" applyFill="1" applyBorder="1"/>
    <xf numFmtId="0" fontId="13" fillId="3" borderId="101" xfId="12" applyFill="1" applyBorder="1"/>
    <xf numFmtId="0" fontId="23" fillId="3" borderId="101" xfId="12" applyFont="1" applyFill="1" applyBorder="1" applyAlignment="1">
      <alignment horizontal="left" vertical="center" readingOrder="1"/>
    </xf>
    <xf numFmtId="0" fontId="23" fillId="3" borderId="101" xfId="12" applyFont="1" applyFill="1" applyBorder="1"/>
    <xf numFmtId="0" fontId="41" fillId="3" borderId="101" xfId="12" applyFont="1" applyFill="1" applyBorder="1" applyAlignment="1">
      <alignment horizontal="left" vertical="center" readingOrder="1"/>
    </xf>
    <xf numFmtId="0" fontId="42" fillId="3" borderId="101" xfId="12" applyFont="1" applyFill="1" applyBorder="1" applyAlignment="1">
      <alignment horizontal="left" vertical="center" readingOrder="1"/>
    </xf>
    <xf numFmtId="0" fontId="26" fillId="3" borderId="101" xfId="12" applyFont="1" applyFill="1" applyBorder="1" applyAlignment="1">
      <alignment horizontal="left" vertical="center" readingOrder="1"/>
    </xf>
    <xf numFmtId="0" fontId="43" fillId="3" borderId="0" xfId="12" applyFont="1" applyFill="1" applyAlignment="1">
      <alignment horizontal="left"/>
    </xf>
    <xf numFmtId="0" fontId="44" fillId="3" borderId="0" xfId="12" applyFont="1" applyFill="1" applyAlignment="1">
      <alignment horizontal="left"/>
    </xf>
    <xf numFmtId="49" fontId="31" fillId="3" borderId="0" xfId="12" applyNumberFormat="1" applyFont="1" applyFill="1" applyAlignment="1">
      <alignment horizontal="left" vertical="center" readingOrder="1"/>
    </xf>
    <xf numFmtId="0" fontId="13" fillId="3" borderId="0" xfId="12" applyFill="1" applyAlignment="1">
      <alignment horizontal="center"/>
    </xf>
    <xf numFmtId="0" fontId="45" fillId="3" borderId="0" xfId="12" applyFont="1" applyFill="1"/>
    <xf numFmtId="0" fontId="46" fillId="3" borderId="0" xfId="12" applyFont="1" applyFill="1"/>
    <xf numFmtId="0" fontId="13" fillId="17" borderId="100" xfId="12" applyFill="1" applyBorder="1"/>
    <xf numFmtId="0" fontId="13" fillId="17" borderId="0" xfId="12" applyFill="1"/>
    <xf numFmtId="0" fontId="13" fillId="17" borderId="101" xfId="12" applyFill="1" applyBorder="1"/>
    <xf numFmtId="0" fontId="13" fillId="17" borderId="102" xfId="12" applyFill="1" applyBorder="1"/>
    <xf numFmtId="0" fontId="13" fillId="17" borderId="103" xfId="12" applyFill="1" applyBorder="1"/>
    <xf numFmtId="0" fontId="13" fillId="17" borderId="104" xfId="12" applyFill="1" applyBorder="1"/>
    <xf numFmtId="1" fontId="13" fillId="0" borderId="22" xfId="8" applyNumberFormat="1" applyBorder="1" applyAlignment="1">
      <alignment horizontal="center" vertical="center"/>
    </xf>
    <xf numFmtId="0" fontId="13" fillId="0" borderId="22" xfId="8" applyBorder="1" applyAlignment="1">
      <alignment horizontal="center" vertical="center"/>
    </xf>
    <xf numFmtId="2" fontId="13" fillId="0" borderId="35" xfId="8" applyNumberFormat="1" applyBorder="1" applyAlignment="1">
      <alignment horizontal="center" vertical="center"/>
    </xf>
    <xf numFmtId="2" fontId="13" fillId="0" borderId="21" xfId="8" applyNumberFormat="1" applyBorder="1" applyAlignment="1">
      <alignment horizontal="center" vertical="center"/>
    </xf>
    <xf numFmtId="0" fontId="39" fillId="0" borderId="0" xfId="8" applyFont="1" applyAlignment="1">
      <alignment horizontal="left"/>
    </xf>
    <xf numFmtId="170" fontId="4" fillId="0" borderId="0" xfId="0" applyNumberFormat="1" applyFont="1"/>
    <xf numFmtId="170" fontId="4" fillId="0" borderId="7" xfId="0" applyNumberFormat="1" applyFont="1" applyBorder="1"/>
    <xf numFmtId="0" fontId="4" fillId="0" borderId="7" xfId="0" applyFont="1" applyBorder="1"/>
    <xf numFmtId="3" fontId="4" fillId="0" borderId="0" xfId="0" applyNumberFormat="1" applyFont="1" applyAlignment="1">
      <alignment horizontal="right"/>
    </xf>
    <xf numFmtId="169" fontId="4" fillId="0" borderId="0" xfId="0" applyNumberFormat="1" applyFont="1"/>
    <xf numFmtId="0" fontId="3" fillId="0" borderId="0" xfId="0" quotePrefix="1" applyFont="1" applyAlignment="1">
      <alignment vertical="top" wrapText="1"/>
    </xf>
    <xf numFmtId="0" fontId="8" fillId="0" borderId="2" xfId="0" quotePrefix="1" applyFont="1" applyBorder="1" applyAlignment="1">
      <alignment horizontal="right" vertical="top" wrapText="1"/>
    </xf>
    <xf numFmtId="0" fontId="8" fillId="0" borderId="2" xfId="0" applyFont="1" applyBorder="1" applyAlignment="1">
      <alignment horizontal="right" vertical="top" wrapText="1"/>
    </xf>
    <xf numFmtId="0" fontId="4" fillId="0" borderId="2" xfId="0" applyFont="1" applyBorder="1"/>
    <xf numFmtId="0" fontId="8" fillId="0" borderId="0" xfId="0" quotePrefix="1" applyFont="1" applyAlignment="1">
      <alignment horizontal="right" vertical="top" wrapText="1"/>
    </xf>
    <xf numFmtId="0" fontId="8" fillId="0" borderId="0" xfId="0" applyFont="1" applyAlignment="1">
      <alignment horizontal="right" vertical="top" wrapText="1"/>
    </xf>
    <xf numFmtId="0" fontId="8" fillId="0" borderId="0" xfId="0" applyFont="1" applyAlignment="1">
      <alignment horizontal="left" vertical="top" wrapText="1"/>
    </xf>
    <xf numFmtId="0" fontId="47" fillId="0" borderId="0" xfId="0" applyFont="1"/>
    <xf numFmtId="0" fontId="4" fillId="0" borderId="0" xfId="0" applyFont="1" applyAlignment="1">
      <alignment horizontal="center"/>
    </xf>
    <xf numFmtId="0" fontId="4" fillId="2" borderId="0" xfId="0" applyFont="1" applyFill="1" applyAlignment="1">
      <alignment horizontal="center"/>
    </xf>
    <xf numFmtId="0" fontId="9" fillId="0" borderId="0" xfId="0" applyFont="1" applyAlignment="1">
      <alignment horizontal="right"/>
    </xf>
    <xf numFmtId="0" fontId="9" fillId="0" borderId="0" xfId="0" applyFont="1"/>
    <xf numFmtId="0" fontId="3" fillId="0" borderId="0" xfId="0" applyFont="1" applyAlignment="1">
      <alignment horizontal="right"/>
    </xf>
    <xf numFmtId="3" fontId="4" fillId="0" borderId="0" xfId="0" applyNumberFormat="1" applyFont="1"/>
    <xf numFmtId="0" fontId="4" fillId="0" borderId="7" xfId="0" applyFont="1" applyBorder="1" applyAlignment="1">
      <alignment horizontal="right"/>
    </xf>
    <xf numFmtId="0" fontId="4" fillId="0" borderId="10" xfId="0" applyFont="1" applyBorder="1"/>
    <xf numFmtId="0" fontId="4" fillId="0" borderId="13" xfId="0" applyFont="1" applyBorder="1"/>
    <xf numFmtId="0" fontId="4" fillId="0" borderId="0" xfId="0" applyFont="1" applyAlignment="1">
      <alignment vertical="top" wrapText="1"/>
    </xf>
    <xf numFmtId="0" fontId="4" fillId="0" borderId="0" xfId="0" applyFont="1" applyAlignment="1">
      <alignment horizontal="right" vertical="top" wrapText="1"/>
    </xf>
    <xf numFmtId="3" fontId="4" fillId="0" borderId="6" xfId="0" applyNumberFormat="1" applyFont="1" applyBorder="1" applyAlignment="1">
      <alignment vertical="top" wrapText="1"/>
    </xf>
    <xf numFmtId="44" fontId="4" fillId="0" borderId="0" xfId="1" applyFont="1" applyBorder="1" applyAlignment="1">
      <alignment vertical="top" wrapText="1"/>
    </xf>
    <xf numFmtId="4" fontId="4" fillId="0" borderId="6" xfId="0" applyNumberFormat="1" applyFont="1" applyBorder="1" applyAlignment="1">
      <alignment vertical="top" wrapText="1"/>
    </xf>
    <xf numFmtId="44" fontId="4" fillId="0" borderId="12" xfId="1" applyFont="1" applyBorder="1" applyAlignment="1">
      <alignment horizontal="right" vertical="top" wrapText="1"/>
    </xf>
    <xf numFmtId="44" fontId="4" fillId="0" borderId="6" xfId="1" applyFont="1" applyBorder="1" applyAlignment="1">
      <alignment vertical="top" wrapText="1"/>
    </xf>
    <xf numFmtId="44" fontId="4" fillId="0" borderId="0" xfId="1" applyFont="1" applyBorder="1" applyAlignment="1">
      <alignment horizontal="right" vertical="top" wrapText="1"/>
    </xf>
    <xf numFmtId="44" fontId="4" fillId="0" borderId="12" xfId="1" applyFont="1" applyBorder="1" applyAlignment="1">
      <alignment vertical="top" wrapText="1"/>
    </xf>
    <xf numFmtId="0" fontId="4" fillId="0" borderId="0" xfId="0" quotePrefix="1" applyFont="1" applyAlignment="1">
      <alignment horizontal="left" vertical="top" wrapText="1"/>
    </xf>
    <xf numFmtId="3" fontId="4" fillId="0" borderId="0" xfId="0" applyNumberFormat="1" applyFont="1" applyAlignment="1">
      <alignment vertical="top" wrapText="1"/>
    </xf>
    <xf numFmtId="3" fontId="4" fillId="0" borderId="12" xfId="0" applyNumberFormat="1" applyFont="1" applyBorder="1" applyAlignment="1">
      <alignment vertical="top" wrapText="1"/>
    </xf>
    <xf numFmtId="0" fontId="4" fillId="0" borderId="6" xfId="0" applyFont="1" applyBorder="1"/>
    <xf numFmtId="0" fontId="4" fillId="0" borderId="12" xfId="0" applyFont="1" applyBorder="1"/>
    <xf numFmtId="164" fontId="9" fillId="0" borderId="0" xfId="0" applyNumberFormat="1" applyFont="1" applyAlignment="1">
      <alignment horizontal="right"/>
    </xf>
    <xf numFmtId="3" fontId="4" fillId="0" borderId="6" xfId="0" applyNumberFormat="1" applyFont="1" applyBorder="1"/>
    <xf numFmtId="3" fontId="4" fillId="0" borderId="12" xfId="0" applyNumberFormat="1" applyFont="1" applyBorder="1"/>
    <xf numFmtId="164" fontId="9" fillId="0" borderId="2" xfId="0" applyNumberFormat="1" applyFont="1" applyBorder="1" applyAlignment="1">
      <alignment horizontal="right"/>
    </xf>
    <xf numFmtId="0" fontId="4" fillId="0" borderId="2" xfId="0" applyFont="1" applyBorder="1" applyAlignment="1">
      <alignment horizontal="right"/>
    </xf>
    <xf numFmtId="3" fontId="4" fillId="0" borderId="5" xfId="0" applyNumberFormat="1" applyFont="1" applyBorder="1"/>
    <xf numFmtId="3" fontId="4" fillId="0" borderId="2" xfId="0" applyNumberFormat="1" applyFont="1" applyBorder="1"/>
    <xf numFmtId="3" fontId="4" fillId="0" borderId="4" xfId="0" applyNumberFormat="1" applyFont="1" applyBorder="1"/>
    <xf numFmtId="0" fontId="4" fillId="0" borderId="2" xfId="0" applyFont="1" applyBorder="1" applyAlignment="1">
      <alignment horizontal="center"/>
    </xf>
    <xf numFmtId="0" fontId="9" fillId="0" borderId="6" xfId="0" applyFont="1" applyBorder="1"/>
    <xf numFmtId="0" fontId="9" fillId="0" borderId="12" xfId="0" applyFont="1" applyBorder="1"/>
    <xf numFmtId="0" fontId="9" fillId="0" borderId="2" xfId="0" applyFont="1" applyBorder="1" applyAlignment="1">
      <alignment horizontal="right"/>
    </xf>
    <xf numFmtId="0" fontId="4" fillId="0" borderId="5" xfId="0" applyFont="1" applyBorder="1" applyAlignment="1">
      <alignment horizontal="center"/>
    </xf>
    <xf numFmtId="0" fontId="4" fillId="0" borderId="4" xfId="0" applyFont="1" applyBorder="1" applyAlignment="1">
      <alignment horizontal="center"/>
    </xf>
    <xf numFmtId="0" fontId="4" fillId="0" borderId="12" xfId="0" applyFont="1" applyBorder="1" applyAlignment="1">
      <alignment horizontal="center"/>
    </xf>
    <xf numFmtId="0" fontId="4" fillId="0" borderId="6" xfId="0" applyFont="1" applyBorder="1" applyAlignment="1">
      <alignment horizontal="center"/>
    </xf>
    <xf numFmtId="0" fontId="4" fillId="0" borderId="0" xfId="0" quotePrefix="1" applyFont="1" applyAlignment="1">
      <alignment horizontal="center"/>
    </xf>
    <xf numFmtId="0" fontId="4" fillId="0" borderId="6" xfId="0" quotePrefix="1" applyFont="1" applyBorder="1" applyAlignment="1">
      <alignment horizontal="center"/>
    </xf>
    <xf numFmtId="0" fontId="4" fillId="0" borderId="12" xfId="0" quotePrefix="1" applyFont="1" applyBorder="1" applyAlignment="1">
      <alignment horizontal="center"/>
    </xf>
    <xf numFmtId="0" fontId="9" fillId="0" borderId="0" xfId="0" applyFont="1" applyAlignment="1">
      <alignment horizontal="center"/>
    </xf>
    <xf numFmtId="0" fontId="9" fillId="0" borderId="12" xfId="0" applyFont="1" applyBorder="1" applyAlignment="1">
      <alignment horizontal="center"/>
    </xf>
    <xf numFmtId="0" fontId="9" fillId="0" borderId="6" xfId="0" applyFont="1" applyBorder="1" applyAlignment="1">
      <alignment horizontal="center"/>
    </xf>
    <xf numFmtId="0" fontId="9" fillId="0" borderId="6" xfId="0" quotePrefix="1" applyFont="1" applyBorder="1" applyAlignment="1">
      <alignment horizontal="center"/>
    </xf>
    <xf numFmtId="165" fontId="3" fillId="0" borderId="0" xfId="0" quotePrefix="1" applyNumberFormat="1" applyFont="1"/>
    <xf numFmtId="0" fontId="4" fillId="0" borderId="9" xfId="0" applyFont="1" applyBorder="1"/>
    <xf numFmtId="0" fontId="4" fillId="0" borderId="8" xfId="0" applyFont="1" applyBorder="1"/>
    <xf numFmtId="0" fontId="4" fillId="0" borderId="11" xfId="0" applyFont="1" applyBorder="1"/>
    <xf numFmtId="0" fontId="3" fillId="0" borderId="8" xfId="0" applyFont="1" applyBorder="1"/>
    <xf numFmtId="0" fontId="3" fillId="0" borderId="7" xfId="0" applyFont="1" applyBorder="1"/>
    <xf numFmtId="0" fontId="4" fillId="0" borderId="7" xfId="0" quotePrefix="1" applyFont="1" applyBorder="1" applyAlignment="1">
      <alignment horizontal="left"/>
    </xf>
    <xf numFmtId="0" fontId="11" fillId="0" borderId="0" xfId="0" quotePrefix="1" applyFont="1" applyAlignment="1">
      <alignment horizontal="left"/>
    </xf>
    <xf numFmtId="9" fontId="4" fillId="0" borderId="0" xfId="5" applyFont="1"/>
    <xf numFmtId="1" fontId="4" fillId="0" borderId="0" xfId="0" quotePrefix="1" applyNumberFormat="1" applyFont="1" applyAlignment="1">
      <alignment horizontal="right"/>
    </xf>
    <xf numFmtId="2" fontId="4" fillId="0" borderId="0" xfId="0" applyNumberFormat="1" applyFont="1"/>
    <xf numFmtId="0" fontId="48" fillId="0" borderId="0" xfId="0" quotePrefix="1" applyFont="1" applyAlignment="1">
      <alignment horizontal="left"/>
    </xf>
    <xf numFmtId="0" fontId="49" fillId="0" borderId="7" xfId="0" applyFont="1" applyBorder="1"/>
    <xf numFmtId="0" fontId="49" fillId="0" borderId="0" xfId="0" applyFont="1"/>
    <xf numFmtId="0" fontId="50" fillId="0" borderId="0" xfId="0" applyFont="1"/>
    <xf numFmtId="0" fontId="4" fillId="12" borderId="0" xfId="0" quotePrefix="1" applyFont="1" applyFill="1" applyAlignment="1">
      <alignment horizontal="left"/>
    </xf>
    <xf numFmtId="0" fontId="22" fillId="0" borderId="0" xfId="11" applyFont="1" applyAlignment="1">
      <alignment horizontal="right" vertical="top" wrapText="1"/>
    </xf>
    <xf numFmtId="0" fontId="3" fillId="0" borderId="0" xfId="0" applyFont="1" applyAlignment="1">
      <alignment horizontal="center"/>
    </xf>
    <xf numFmtId="165" fontId="3" fillId="0" borderId="0" xfId="0" quotePrefix="1" applyNumberFormat="1" applyFont="1" applyAlignment="1">
      <alignment horizontal="center"/>
    </xf>
    <xf numFmtId="165" fontId="3" fillId="0" borderId="6" xfId="0" quotePrefix="1" applyNumberFormat="1" applyFont="1" applyBorder="1" applyAlignment="1">
      <alignment horizontal="center"/>
    </xf>
    <xf numFmtId="0" fontId="4" fillId="0" borderId="0" xfId="0" applyFont="1" applyAlignment="1">
      <alignment horizontal="center" vertical="center" wrapText="1"/>
    </xf>
    <xf numFmtId="168" fontId="4" fillId="0" borderId="0" xfId="0" applyNumberFormat="1" applyFont="1"/>
    <xf numFmtId="0" fontId="4" fillId="23" borderId="0" xfId="0" applyFont="1" applyFill="1"/>
    <xf numFmtId="0" fontId="4" fillId="25" borderId="0" xfId="0" applyFont="1" applyFill="1"/>
    <xf numFmtId="0" fontId="4" fillId="26" borderId="0" xfId="0" applyFont="1" applyFill="1"/>
    <xf numFmtId="0" fontId="4" fillId="2" borderId="0" xfId="0" applyFont="1" applyFill="1"/>
    <xf numFmtId="0" fontId="4" fillId="27" borderId="0" xfId="0" applyFont="1" applyFill="1"/>
    <xf numFmtId="0" fontId="4" fillId="4" borderId="0" xfId="0" applyFont="1" applyFill="1"/>
    <xf numFmtId="0" fontId="4" fillId="28" borderId="0" xfId="0" applyFont="1" applyFill="1"/>
    <xf numFmtId="0" fontId="18" fillId="24" borderId="0" xfId="0" applyFont="1" applyFill="1"/>
    <xf numFmtId="181" fontId="4" fillId="0" borderId="0" xfId="0" applyNumberFormat="1" applyFont="1"/>
    <xf numFmtId="0" fontId="18" fillId="24" borderId="107" xfId="0" applyFont="1" applyFill="1" applyBorder="1"/>
    <xf numFmtId="1" fontId="4" fillId="0" borderId="0" xfId="0" applyNumberFormat="1" applyFont="1"/>
    <xf numFmtId="0" fontId="51" fillId="0" borderId="0" xfId="0" applyFont="1" applyAlignment="1">
      <alignment horizontal="left"/>
    </xf>
    <xf numFmtId="0" fontId="51" fillId="0" borderId="0" xfId="0" applyFont="1"/>
    <xf numFmtId="0" fontId="4" fillId="18" borderId="0" xfId="0" applyFont="1" applyFill="1"/>
    <xf numFmtId="0" fontId="4" fillId="18" borderId="0" xfId="0" applyFont="1" applyFill="1" applyAlignment="1">
      <alignment horizontal="left"/>
    </xf>
    <xf numFmtId="0" fontId="4" fillId="18" borderId="105" xfId="0" applyFont="1" applyFill="1" applyBorder="1"/>
    <xf numFmtId="0" fontId="3" fillId="18" borderId="105" xfId="0" applyFont="1" applyFill="1" applyBorder="1"/>
    <xf numFmtId="0" fontId="4" fillId="0" borderId="0" xfId="0" applyFont="1" applyAlignment="1">
      <alignment horizontal="left"/>
    </xf>
    <xf numFmtId="0" fontId="3" fillId="18" borderId="106" xfId="0" applyFont="1" applyFill="1" applyBorder="1" applyAlignment="1">
      <alignment horizontal="left"/>
    </xf>
    <xf numFmtId="3" fontId="3" fillId="18" borderId="106" xfId="0" applyNumberFormat="1" applyFont="1" applyFill="1" applyBorder="1"/>
    <xf numFmtId="4" fontId="4" fillId="3" borderId="0" xfId="0" applyNumberFormat="1" applyFont="1" applyFill="1" applyAlignment="1">
      <alignment horizontal="right" vertical="top" wrapText="1"/>
    </xf>
    <xf numFmtId="2" fontId="4" fillId="0" borderId="0" xfId="0" applyNumberFormat="1" applyFont="1" applyAlignment="1">
      <alignment horizontal="right"/>
    </xf>
    <xf numFmtId="4" fontId="4" fillId="0" borderId="0" xfId="0" applyNumberFormat="1" applyFont="1"/>
    <xf numFmtId="0" fontId="52" fillId="0" borderId="0" xfId="7" applyFont="1"/>
    <xf numFmtId="172" fontId="4" fillId="0" borderId="0" xfId="1" applyNumberFormat="1" applyFont="1"/>
    <xf numFmtId="3" fontId="4" fillId="0" borderId="0" xfId="0" quotePrefix="1" applyNumberFormat="1" applyFont="1" applyAlignment="1">
      <alignment horizontal="left"/>
    </xf>
    <xf numFmtId="173" fontId="4" fillId="0" borderId="0" xfId="0" applyNumberFormat="1" applyFont="1"/>
    <xf numFmtId="173" fontId="4" fillId="0" borderId="0" xfId="0" applyNumberFormat="1" applyFont="1" applyAlignment="1">
      <alignment vertical="top" wrapText="1"/>
    </xf>
    <xf numFmtId="0" fontId="3" fillId="0" borderId="0" xfId="0" applyFont="1" applyAlignment="1">
      <alignment vertical="top" wrapText="1"/>
    </xf>
    <xf numFmtId="173" fontId="3" fillId="0" borderId="0" xfId="0" applyNumberFormat="1" applyFont="1" applyAlignment="1">
      <alignment horizontal="right" vertical="top" wrapText="1"/>
    </xf>
    <xf numFmtId="173" fontId="3" fillId="0" borderId="0" xfId="0" quotePrefix="1" applyNumberFormat="1" applyFont="1" applyAlignment="1">
      <alignment horizontal="right" vertical="top" wrapText="1"/>
    </xf>
    <xf numFmtId="4" fontId="4" fillId="0" borderId="0" xfId="0" applyNumberFormat="1" applyFont="1" applyAlignment="1">
      <alignment horizontal="right" indent="1"/>
    </xf>
    <xf numFmtId="4" fontId="4" fillId="0" borderId="0" xfId="0" quotePrefix="1" applyNumberFormat="1" applyFont="1" applyAlignment="1">
      <alignment horizontal="right" indent="1"/>
    </xf>
    <xf numFmtId="0" fontId="22" fillId="0" borderId="0" xfId="11" applyFont="1"/>
    <xf numFmtId="0" fontId="22" fillId="0" borderId="0" xfId="11" applyFont="1" applyAlignment="1">
      <alignment horizontal="left" vertical="top"/>
    </xf>
    <xf numFmtId="0" fontId="22" fillId="0" borderId="0" xfId="11" applyFont="1" applyAlignment="1">
      <alignment vertical="top" wrapText="1"/>
    </xf>
    <xf numFmtId="0" fontId="22" fillId="0" borderId="0" xfId="11" quotePrefix="1" applyFont="1" applyAlignment="1">
      <alignment horizontal="left" vertical="top" wrapText="1"/>
    </xf>
    <xf numFmtId="0" fontId="22" fillId="0" borderId="88" xfId="11" applyFont="1" applyBorder="1" applyAlignment="1">
      <alignment horizontal="right" vertical="top" wrapText="1"/>
    </xf>
    <xf numFmtId="0" fontId="22" fillId="0" borderId="88" xfId="11" applyFont="1" applyBorder="1" applyAlignment="1">
      <alignment horizontal="right" vertical="top" wrapText="1" indent="1"/>
    </xf>
    <xf numFmtId="0" fontId="22" fillId="0" borderId="88" xfId="11" applyFont="1" applyBorder="1" applyAlignment="1">
      <alignment horizontal="right" vertical="top" wrapText="1" indent="2"/>
    </xf>
    <xf numFmtId="0" fontId="22" fillId="0" borderId="87" xfId="11" applyFont="1" applyBorder="1" applyAlignment="1">
      <alignment horizontal="right" vertical="top" wrapText="1" indent="1"/>
    </xf>
    <xf numFmtId="0" fontId="22" fillId="0" borderId="87" xfId="11" applyFont="1" applyBorder="1" applyAlignment="1">
      <alignment horizontal="right" vertical="top" wrapText="1" indent="2"/>
    </xf>
    <xf numFmtId="0" fontId="22" fillId="0" borderId="87" xfId="11" applyFont="1" applyBorder="1" applyAlignment="1">
      <alignment horizontal="right" vertical="top" wrapText="1"/>
    </xf>
    <xf numFmtId="179" fontId="19" fillId="0" borderId="86" xfId="11" applyNumberFormat="1" applyFont="1" applyBorder="1" applyAlignment="1">
      <alignment horizontal="right" vertical="top" shrinkToFit="1"/>
    </xf>
    <xf numFmtId="179" fontId="19" fillId="0" borderId="86" xfId="11" applyNumberFormat="1" applyFont="1" applyBorder="1" applyAlignment="1">
      <alignment horizontal="right" vertical="top" indent="1" shrinkToFit="1"/>
    </xf>
    <xf numFmtId="179" fontId="19" fillId="0" borderId="83" xfId="11" applyNumberFormat="1" applyFont="1" applyBorder="1" applyAlignment="1">
      <alignment horizontal="right" vertical="top" shrinkToFit="1"/>
    </xf>
    <xf numFmtId="179" fontId="19" fillId="0" borderId="83" xfId="11" applyNumberFormat="1" applyFont="1" applyBorder="1" applyAlignment="1">
      <alignment horizontal="right" vertical="top" indent="1" shrinkToFit="1"/>
    </xf>
    <xf numFmtId="180" fontId="19" fillId="0" borderId="83" xfId="11" applyNumberFormat="1" applyFont="1" applyBorder="1" applyAlignment="1">
      <alignment horizontal="right" vertical="top" shrinkToFit="1"/>
    </xf>
    <xf numFmtId="180" fontId="19" fillId="0" borderId="83" xfId="11" applyNumberFormat="1" applyFont="1" applyBorder="1" applyAlignment="1">
      <alignment horizontal="right" vertical="top" indent="1" shrinkToFit="1"/>
    </xf>
    <xf numFmtId="0" fontId="22" fillId="0" borderId="83" xfId="11" applyFont="1" applyBorder="1" applyAlignment="1">
      <alignment horizontal="left" vertical="top" wrapText="1" indent="1"/>
    </xf>
    <xf numFmtId="0" fontId="22" fillId="0" borderId="0" xfId="11" quotePrefix="1" applyFont="1" applyAlignment="1">
      <alignment horizontal="right" vertical="top"/>
    </xf>
    <xf numFmtId="168" fontId="22" fillId="0" borderId="0" xfId="11" applyNumberFormat="1" applyFont="1" applyAlignment="1">
      <alignment horizontal="right" vertical="top"/>
    </xf>
    <xf numFmtId="0" fontId="22" fillId="0" borderId="0" xfId="11" applyFont="1" applyAlignment="1">
      <alignment horizontal="right" vertical="top"/>
    </xf>
    <xf numFmtId="0" fontId="22" fillId="0" borderId="85" xfId="11" applyFont="1" applyBorder="1" applyAlignment="1">
      <alignment horizontal="right" vertical="top" wrapText="1"/>
    </xf>
    <xf numFmtId="0" fontId="22" fillId="0" borderId="85" xfId="11" applyFont="1" applyBorder="1" applyAlignment="1">
      <alignment vertical="top" wrapText="1"/>
    </xf>
    <xf numFmtId="1" fontId="16" fillId="0" borderId="84" xfId="11" applyNumberFormat="1" applyFont="1" applyBorder="1" applyAlignment="1">
      <alignment horizontal="right" vertical="top" shrinkToFit="1"/>
    </xf>
    <xf numFmtId="179" fontId="16" fillId="0" borderId="84" xfId="11" applyNumberFormat="1" applyFont="1" applyBorder="1" applyAlignment="1">
      <alignment vertical="top" shrinkToFit="1"/>
    </xf>
    <xf numFmtId="2" fontId="16" fillId="0" borderId="84" xfId="11" applyNumberFormat="1" applyFont="1" applyBorder="1" applyAlignment="1">
      <alignment horizontal="right" vertical="top" indent="1" shrinkToFit="1"/>
    </xf>
    <xf numFmtId="178" fontId="16" fillId="0" borderId="84" xfId="11" applyNumberFormat="1" applyFont="1" applyBorder="1" applyAlignment="1">
      <alignment horizontal="right" vertical="top" shrinkToFit="1"/>
    </xf>
    <xf numFmtId="3" fontId="16" fillId="0" borderId="84" xfId="11" applyNumberFormat="1" applyFont="1" applyBorder="1" applyAlignment="1">
      <alignment horizontal="right" vertical="top" shrinkToFit="1"/>
    </xf>
    <xf numFmtId="1" fontId="16" fillId="0" borderId="83" xfId="11" applyNumberFormat="1" applyFont="1" applyBorder="1" applyAlignment="1">
      <alignment horizontal="right" vertical="top" shrinkToFit="1"/>
    </xf>
    <xf numFmtId="179" fontId="16" fillId="0" borderId="83" xfId="11" applyNumberFormat="1" applyFont="1" applyBorder="1" applyAlignment="1">
      <alignment vertical="top" shrinkToFit="1"/>
    </xf>
    <xf numFmtId="2" fontId="16" fillId="0" borderId="83" xfId="11" applyNumberFormat="1" applyFont="1" applyBorder="1" applyAlignment="1">
      <alignment horizontal="right" vertical="top" indent="1" shrinkToFit="1"/>
    </xf>
    <xf numFmtId="178" fontId="16" fillId="0" borderId="83" xfId="11" applyNumberFormat="1" applyFont="1" applyBorder="1" applyAlignment="1">
      <alignment horizontal="right" vertical="top" shrinkToFit="1"/>
    </xf>
    <xf numFmtId="3" fontId="16" fillId="0" borderId="83" xfId="11" applyNumberFormat="1" applyFont="1" applyBorder="1" applyAlignment="1">
      <alignment horizontal="right" vertical="top" shrinkToFit="1"/>
    </xf>
    <xf numFmtId="0" fontId="22" fillId="0" borderId="83" xfId="11" applyFont="1" applyBorder="1" applyAlignment="1">
      <alignment vertical="top" wrapText="1"/>
    </xf>
    <xf numFmtId="180" fontId="16" fillId="0" borderId="83" xfId="11" applyNumberFormat="1" applyFont="1" applyBorder="1" applyAlignment="1">
      <alignment vertical="top" shrinkToFit="1"/>
    </xf>
    <xf numFmtId="1" fontId="16" fillId="0" borderId="82" xfId="11" applyNumberFormat="1" applyFont="1" applyBorder="1" applyAlignment="1">
      <alignment horizontal="right" vertical="top" shrinkToFit="1"/>
    </xf>
    <xf numFmtId="179" fontId="16" fillId="0" borderId="82" xfId="11" applyNumberFormat="1" applyFont="1" applyBorder="1" applyAlignment="1">
      <alignment vertical="top" shrinkToFit="1"/>
    </xf>
    <xf numFmtId="2" fontId="16" fillId="0" borderId="82" xfId="11" applyNumberFormat="1" applyFont="1" applyBorder="1" applyAlignment="1">
      <alignment horizontal="right" vertical="top" indent="1" shrinkToFit="1"/>
    </xf>
    <xf numFmtId="178" fontId="16" fillId="0" borderId="82" xfId="11" applyNumberFormat="1" applyFont="1" applyBorder="1" applyAlignment="1">
      <alignment horizontal="right" vertical="top" shrinkToFit="1"/>
    </xf>
    <xf numFmtId="0" fontId="22" fillId="0" borderId="0" xfId="10" applyFont="1" applyAlignment="1">
      <alignment horizontal="left" vertical="top"/>
    </xf>
    <xf numFmtId="0" fontId="4" fillId="0" borderId="0" xfId="0" applyFont="1" applyAlignment="1">
      <alignment vertical="top"/>
    </xf>
    <xf numFmtId="177" fontId="13" fillId="0" borderId="0" xfId="8" applyNumberFormat="1"/>
    <xf numFmtId="171" fontId="13" fillId="0" borderId="0" xfId="8" applyNumberFormat="1"/>
    <xf numFmtId="0" fontId="13" fillId="0" borderId="0" xfId="9" quotePrefix="1" applyAlignment="1">
      <alignment horizontal="left"/>
    </xf>
    <xf numFmtId="4" fontId="13" fillId="2" borderId="0" xfId="8" applyNumberFormat="1" applyFill="1"/>
    <xf numFmtId="0" fontId="13" fillId="0" borderId="0" xfId="0" applyFont="1"/>
    <xf numFmtId="0" fontId="52" fillId="0" borderId="0" xfId="4" applyFont="1"/>
    <xf numFmtId="0" fontId="13" fillId="0" borderId="21" xfId="0" applyFont="1" applyBorder="1"/>
    <xf numFmtId="0" fontId="13" fillId="9" borderId="79" xfId="0" applyFont="1" applyFill="1" applyBorder="1" applyAlignment="1">
      <alignment horizontal="center"/>
    </xf>
    <xf numFmtId="0" fontId="13" fillId="12" borderId="78" xfId="0" applyFont="1" applyFill="1" applyBorder="1" applyAlignment="1">
      <alignment horizontal="center"/>
    </xf>
    <xf numFmtId="0" fontId="12" fillId="0" borderId="0" xfId="0" applyFont="1" applyAlignment="1">
      <alignment horizontal="right"/>
    </xf>
    <xf numFmtId="0" fontId="13" fillId="0" borderId="76" xfId="0" applyFont="1" applyBorder="1"/>
    <xf numFmtId="0" fontId="13" fillId="0" borderId="75" xfId="0" applyFont="1" applyBorder="1"/>
    <xf numFmtId="0" fontId="13" fillId="0" borderId="74" xfId="0" applyFont="1" applyBorder="1"/>
    <xf numFmtId="0" fontId="13" fillId="0" borderId="48" xfId="0" applyFont="1" applyBorder="1"/>
    <xf numFmtId="0" fontId="12" fillId="8" borderId="0" xfId="0" applyFont="1" applyFill="1" applyAlignment="1">
      <alignment horizontal="center"/>
    </xf>
    <xf numFmtId="0" fontId="12" fillId="8" borderId="70" xfId="0" applyFont="1" applyFill="1" applyBorder="1" applyAlignment="1">
      <alignment horizontal="center"/>
    </xf>
    <xf numFmtId="0" fontId="13" fillId="0" borderId="70" xfId="0" applyFont="1" applyBorder="1"/>
    <xf numFmtId="0" fontId="13" fillId="0" borderId="52" xfId="0" applyFont="1" applyBorder="1"/>
    <xf numFmtId="49" fontId="13" fillId="0" borderId="0" xfId="0" applyNumberFormat="1" applyFont="1" applyAlignment="1">
      <alignment wrapText="1"/>
    </xf>
    <xf numFmtId="49" fontId="4" fillId="0" borderId="0" xfId="0" applyNumberFormat="1" applyFont="1" applyAlignment="1">
      <alignment wrapText="1"/>
    </xf>
    <xf numFmtId="0" fontId="12" fillId="0" borderId="0" xfId="0" applyFont="1"/>
    <xf numFmtId="5" fontId="13" fillId="9" borderId="51" xfId="0" applyNumberFormat="1" applyFont="1" applyFill="1" applyBorder="1"/>
    <xf numFmtId="1" fontId="3" fillId="0" borderId="0" xfId="0" applyNumberFormat="1" applyFont="1"/>
    <xf numFmtId="0" fontId="13" fillId="13" borderId="81" xfId="0" applyFont="1" applyFill="1" applyBorder="1" applyAlignment="1">
      <alignment horizontal="center" vertical="center" wrapText="1"/>
    </xf>
    <xf numFmtId="0" fontId="13" fillId="13" borderId="80" xfId="0" applyFont="1" applyFill="1" applyBorder="1" applyAlignment="1">
      <alignment horizontal="center" vertical="center" wrapText="1"/>
    </xf>
    <xf numFmtId="0" fontId="13" fillId="13" borderId="59" xfId="0" applyFont="1" applyFill="1" applyBorder="1" applyAlignment="1">
      <alignment horizontal="center" vertical="center" wrapText="1"/>
    </xf>
    <xf numFmtId="0" fontId="13" fillId="0" borderId="55"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53" xfId="0" applyFont="1" applyBorder="1" applyAlignment="1">
      <alignment horizontal="center" vertical="center" wrapText="1"/>
    </xf>
    <xf numFmtId="0" fontId="13" fillId="8" borderId="0" xfId="0" applyFont="1" applyFill="1" applyAlignment="1">
      <alignment horizontal="center"/>
    </xf>
    <xf numFmtId="0" fontId="12" fillId="0" borderId="49" xfId="0" applyFont="1" applyBorder="1" applyAlignment="1">
      <alignment horizontal="right" vertical="center"/>
    </xf>
    <xf numFmtId="168" fontId="12" fillId="0" borderId="0" xfId="5" applyNumberFormat="1" applyFont="1"/>
    <xf numFmtId="170" fontId="13" fillId="12" borderId="51" xfId="0" applyNumberFormat="1" applyFont="1" applyFill="1" applyBorder="1"/>
    <xf numFmtId="0" fontId="12" fillId="0" borderId="0" xfId="0" applyFont="1" applyAlignment="1">
      <alignment horizontal="right" vertical="center"/>
    </xf>
    <xf numFmtId="0" fontId="12" fillId="0" borderId="0" xfId="0" applyFont="1" applyAlignment="1">
      <alignment horizontal="center" vertical="center" wrapText="1"/>
    </xf>
    <xf numFmtId="0" fontId="13" fillId="0" borderId="0" xfId="0" applyFont="1" applyAlignment="1">
      <alignment vertical="center"/>
    </xf>
    <xf numFmtId="168" fontId="4" fillId="9" borderId="0" xfId="0" applyNumberFormat="1" applyFont="1" applyFill="1"/>
    <xf numFmtId="0" fontId="13" fillId="0" borderId="47" xfId="0" applyFont="1" applyBorder="1"/>
    <xf numFmtId="0" fontId="12" fillId="0" borderId="4" xfId="0" applyFont="1" applyBorder="1" applyAlignment="1">
      <alignment vertical="top"/>
    </xf>
    <xf numFmtId="0" fontId="13" fillId="0" borderId="40" xfId="0" applyFont="1" applyBorder="1"/>
    <xf numFmtId="0" fontId="13" fillId="0" borderId="45" xfId="0" applyFont="1" applyBorder="1"/>
    <xf numFmtId="0" fontId="13" fillId="0" borderId="33" xfId="0" applyFont="1" applyBorder="1"/>
    <xf numFmtId="0" fontId="13" fillId="0" borderId="31" xfId="0" applyFont="1" applyBorder="1"/>
    <xf numFmtId="0" fontId="13" fillId="0" borderId="32" xfId="0" applyFont="1" applyBorder="1"/>
    <xf numFmtId="0" fontId="4" fillId="0" borderId="22" xfId="0" applyFont="1" applyBorder="1"/>
    <xf numFmtId="0" fontId="4" fillId="0" borderId="44" xfId="0" applyFont="1" applyBorder="1"/>
    <xf numFmtId="0" fontId="13" fillId="0" borderId="43" xfId="0" applyFont="1" applyBorder="1" applyAlignment="1">
      <alignment vertical="top"/>
    </xf>
    <xf numFmtId="0" fontId="13" fillId="0" borderId="31" xfId="0" applyFont="1" applyBorder="1" applyAlignment="1">
      <alignment vertical="top"/>
    </xf>
    <xf numFmtId="0" fontId="13" fillId="0" borderId="3" xfId="0" applyFont="1" applyBorder="1" applyAlignment="1">
      <alignment vertical="top"/>
    </xf>
    <xf numFmtId="0" fontId="13" fillId="0" borderId="30" xfId="0" applyFont="1" applyBorder="1" applyAlignment="1">
      <alignment vertical="top"/>
    </xf>
    <xf numFmtId="0" fontId="4" fillId="0" borderId="14" xfId="0" applyFont="1" applyBorder="1"/>
    <xf numFmtId="0" fontId="13" fillId="0" borderId="28" xfId="0" applyFont="1" applyBorder="1" applyAlignment="1">
      <alignment vertical="top"/>
    </xf>
    <xf numFmtId="0" fontId="13" fillId="0" borderId="25" xfId="0" applyFont="1" applyBorder="1" applyAlignment="1">
      <alignment vertical="top"/>
    </xf>
    <xf numFmtId="0" fontId="13" fillId="0" borderId="26" xfId="0" applyFont="1" applyBorder="1" applyAlignment="1">
      <alignment vertical="top"/>
    </xf>
    <xf numFmtId="0" fontId="13" fillId="0" borderId="24" xfId="0" applyFont="1" applyBorder="1" applyAlignment="1">
      <alignment vertical="top"/>
    </xf>
    <xf numFmtId="0" fontId="13" fillId="0" borderId="42" xfId="0" applyFont="1" applyBorder="1" applyAlignment="1">
      <alignment vertical="top"/>
    </xf>
    <xf numFmtId="0" fontId="13" fillId="0" borderId="0" xfId="0" applyFont="1" applyAlignment="1">
      <alignment vertical="top"/>
    </xf>
    <xf numFmtId="0" fontId="13" fillId="0" borderId="37" xfId="0" applyFont="1" applyBorder="1" applyAlignment="1">
      <alignment vertical="top"/>
    </xf>
    <xf numFmtId="0" fontId="13" fillId="0" borderId="36" xfId="0" applyFont="1" applyBorder="1" applyAlignment="1">
      <alignment vertical="top"/>
    </xf>
    <xf numFmtId="0" fontId="13" fillId="0" borderId="23" xfId="0" applyFont="1" applyBorder="1" applyAlignment="1">
      <alignment vertical="top"/>
    </xf>
    <xf numFmtId="0" fontId="13" fillId="0" borderId="21" xfId="0" applyFont="1" applyBorder="1" applyAlignment="1">
      <alignment vertical="top"/>
    </xf>
    <xf numFmtId="0" fontId="13" fillId="0" borderId="22" xfId="0" applyFont="1" applyBorder="1" applyAlignment="1">
      <alignment vertical="top"/>
    </xf>
    <xf numFmtId="0" fontId="13" fillId="0" borderId="34" xfId="0" applyFont="1" applyBorder="1" applyAlignment="1">
      <alignment vertical="top"/>
    </xf>
    <xf numFmtId="0" fontId="52" fillId="0" borderId="22" xfId="4" applyFont="1" applyFill="1" applyBorder="1" applyAlignment="1"/>
    <xf numFmtId="0" fontId="52" fillId="0" borderId="21" xfId="4" applyFont="1" applyFill="1" applyBorder="1" applyAlignment="1"/>
    <xf numFmtId="0" fontId="52" fillId="0" borderId="34" xfId="4" applyFont="1" applyFill="1" applyBorder="1" applyAlignment="1"/>
    <xf numFmtId="0" fontId="13" fillId="0" borderId="31" xfId="0" applyFont="1" applyBorder="1" applyAlignment="1">
      <alignment horizontal="left"/>
    </xf>
    <xf numFmtId="0" fontId="52" fillId="0" borderId="31" xfId="4" applyFont="1" applyBorder="1"/>
    <xf numFmtId="0" fontId="13" fillId="0" borderId="3" xfId="0" applyFont="1" applyBorder="1"/>
    <xf numFmtId="0" fontId="52" fillId="0" borderId="3" xfId="4" applyFont="1" applyFill="1" applyBorder="1" applyAlignment="1"/>
    <xf numFmtId="0" fontId="52" fillId="0" borderId="31" xfId="4" applyFont="1" applyFill="1" applyBorder="1" applyAlignment="1"/>
    <xf numFmtId="0" fontId="52" fillId="0" borderId="30" xfId="4" applyFont="1" applyFill="1" applyBorder="1" applyAlignment="1"/>
    <xf numFmtId="0" fontId="13" fillId="13" borderId="61" xfId="0" applyFont="1" applyFill="1" applyBorder="1" applyAlignment="1">
      <alignment horizontal="center" vertical="center" wrapText="1"/>
    </xf>
    <xf numFmtId="0" fontId="13" fillId="13" borderId="60" xfId="0" applyFont="1" applyFill="1" applyBorder="1" applyAlignment="1">
      <alignment horizontal="center" vertical="center" wrapText="1"/>
    </xf>
    <xf numFmtId="0" fontId="13" fillId="0" borderId="58"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56" xfId="0" applyFont="1" applyBorder="1" applyAlignment="1">
      <alignment horizontal="center" vertical="center" wrapText="1"/>
    </xf>
    <xf numFmtId="0" fontId="13" fillId="13" borderId="58" xfId="0" applyFont="1" applyFill="1" applyBorder="1" applyAlignment="1">
      <alignment horizontal="center" vertical="center" wrapText="1"/>
    </xf>
    <xf numFmtId="0" fontId="13" fillId="13" borderId="57" xfId="0" applyFont="1" applyFill="1" applyBorder="1" applyAlignment="1">
      <alignment horizontal="center" vertical="center" wrapText="1"/>
    </xf>
    <xf numFmtId="0" fontId="13" fillId="13" borderId="56" xfId="0" applyFont="1" applyFill="1" applyBorder="1" applyAlignment="1">
      <alignment horizontal="center" vertical="center" wrapText="1"/>
    </xf>
    <xf numFmtId="0" fontId="13" fillId="13" borderId="55" xfId="0" applyFont="1" applyFill="1" applyBorder="1" applyAlignment="1">
      <alignment horizontal="center" vertical="center" wrapText="1"/>
    </xf>
    <xf numFmtId="0" fontId="13" fillId="13" borderId="54" xfId="0" applyFont="1" applyFill="1" applyBorder="1" applyAlignment="1">
      <alignment horizontal="center" vertical="center" wrapText="1"/>
    </xf>
    <xf numFmtId="0" fontId="13" fillId="13" borderId="53" xfId="0" applyFont="1" applyFill="1" applyBorder="1" applyAlignment="1">
      <alignment horizontal="center" vertical="center" wrapText="1"/>
    </xf>
    <xf numFmtId="0" fontId="12" fillId="0" borderId="50" xfId="0" applyFont="1" applyBorder="1" applyAlignment="1">
      <alignment horizontal="right" vertical="center"/>
    </xf>
    <xf numFmtId="0" fontId="4" fillId="0" borderId="35" xfId="0" applyFont="1" applyBorder="1"/>
    <xf numFmtId="0" fontId="13" fillId="0" borderId="35" xfId="0" applyFont="1" applyBorder="1" applyAlignment="1">
      <alignment vertical="top"/>
    </xf>
    <xf numFmtId="0" fontId="52" fillId="0" borderId="31" xfId="4" applyFont="1" applyBorder="1" applyAlignment="1">
      <alignment vertical="top" wrapText="1"/>
    </xf>
    <xf numFmtId="0" fontId="52" fillId="0" borderId="3" xfId="4" applyFont="1" applyBorder="1" applyAlignment="1">
      <alignment vertical="top" wrapText="1"/>
    </xf>
    <xf numFmtId="0" fontId="52" fillId="0" borderId="30" xfId="4" applyFont="1" applyBorder="1" applyAlignment="1">
      <alignment vertical="top" wrapText="1"/>
    </xf>
    <xf numFmtId="0" fontId="4" fillId="0" borderId="43" xfId="0" applyFont="1" applyBorder="1"/>
    <xf numFmtId="0" fontId="13" fillId="0" borderId="32" xfId="0" applyFont="1" applyBorder="1" applyAlignment="1">
      <alignment vertical="top"/>
    </xf>
    <xf numFmtId="0" fontId="13" fillId="0" borderId="27" xfId="0" applyFont="1" applyBorder="1" applyAlignment="1">
      <alignment vertical="top"/>
    </xf>
    <xf numFmtId="0" fontId="13" fillId="0" borderId="38" xfId="0" applyFont="1" applyBorder="1" applyAlignment="1">
      <alignment vertical="top"/>
    </xf>
    <xf numFmtId="0" fontId="13" fillId="0" borderId="40" xfId="0" applyFont="1" applyBorder="1" applyAlignment="1">
      <alignment vertical="top"/>
    </xf>
    <xf numFmtId="0" fontId="13" fillId="0" borderId="45" xfId="0" applyFont="1" applyBorder="1" applyAlignment="1">
      <alignment vertical="top"/>
    </xf>
    <xf numFmtId="0" fontId="52" fillId="0" borderId="32" xfId="4" applyFont="1" applyFill="1" applyBorder="1" applyAlignment="1"/>
    <xf numFmtId="0" fontId="52" fillId="0" borderId="1" xfId="4" applyFont="1" applyFill="1" applyBorder="1" applyAlignment="1"/>
    <xf numFmtId="0" fontId="52" fillId="0" borderId="0" xfId="4" applyFont="1" applyFill="1" applyBorder="1" applyAlignment="1"/>
    <xf numFmtId="0" fontId="52" fillId="0" borderId="6" xfId="4" applyFont="1" applyFill="1" applyBorder="1" applyAlignment="1"/>
    <xf numFmtId="10" fontId="4" fillId="0" borderId="0" xfId="5" applyNumberFormat="1" applyFont="1"/>
    <xf numFmtId="44" fontId="4" fillId="0" borderId="0" xfId="1" applyFont="1"/>
    <xf numFmtId="0" fontId="12" fillId="0" borderId="46" xfId="0" applyFont="1" applyBorder="1" applyAlignment="1">
      <alignment vertical="top"/>
    </xf>
    <xf numFmtId="0" fontId="4" fillId="0" borderId="1" xfId="0" applyFont="1" applyBorder="1"/>
    <xf numFmtId="0" fontId="52" fillId="0" borderId="23" xfId="4" applyFont="1" applyFill="1" applyBorder="1" applyAlignment="1"/>
    <xf numFmtId="0" fontId="52" fillId="0" borderId="35" xfId="4" applyFont="1" applyFill="1" applyBorder="1" applyAlignment="1"/>
    <xf numFmtId="0" fontId="3" fillId="0" borderId="0" xfId="0" quotePrefix="1" applyFont="1" applyAlignment="1">
      <alignment horizontal="left" vertical="top" wrapText="1"/>
    </xf>
    <xf numFmtId="168" fontId="4" fillId="0" borderId="0" xfId="0" applyNumberFormat="1" applyFont="1" applyAlignment="1">
      <alignment horizontal="right" indent="1"/>
    </xf>
    <xf numFmtId="0" fontId="4" fillId="0" borderId="22" xfId="0" quotePrefix="1" applyFont="1" applyBorder="1" applyAlignment="1">
      <alignment horizontal="left"/>
    </xf>
    <xf numFmtId="0" fontId="4" fillId="0" borderId="21" xfId="0" quotePrefix="1" applyFont="1" applyBorder="1" applyAlignment="1">
      <alignment horizontal="left"/>
    </xf>
    <xf numFmtId="1" fontId="4" fillId="0" borderId="20" xfId="1" applyNumberFormat="1" applyFont="1" applyFill="1" applyBorder="1" applyProtection="1"/>
    <xf numFmtId="1" fontId="4" fillId="0" borderId="19" xfId="1" applyNumberFormat="1" applyFont="1" applyFill="1" applyBorder="1" applyProtection="1"/>
    <xf numFmtId="1" fontId="4" fillId="0" borderId="18" xfId="1" applyNumberFormat="1" applyFont="1" applyFill="1" applyBorder="1" applyProtection="1"/>
    <xf numFmtId="0" fontId="4" fillId="0" borderId="17" xfId="0" applyFont="1" applyBorder="1"/>
    <xf numFmtId="0" fontId="4" fillId="0" borderId="16" xfId="0" applyFont="1" applyBorder="1"/>
    <xf numFmtId="0" fontId="4" fillId="0" borderId="15" xfId="0" applyFont="1" applyBorder="1"/>
    <xf numFmtId="173" fontId="4" fillId="0" borderId="0" xfId="0" quotePrefix="1" applyNumberFormat="1" applyFont="1" applyAlignment="1">
      <alignment horizontal="left"/>
    </xf>
    <xf numFmtId="37" fontId="4" fillId="0" borderId="0" xfId="0" applyNumberFormat="1" applyFont="1"/>
    <xf numFmtId="4" fontId="4" fillId="0" borderId="0" xfId="0" quotePrefix="1" applyNumberFormat="1" applyFont="1" applyAlignment="1">
      <alignment horizontal="center"/>
    </xf>
    <xf numFmtId="173" fontId="3" fillId="0" borderId="0" xfId="0" quotePrefix="1" applyNumberFormat="1" applyFont="1" applyAlignment="1">
      <alignment horizontal="left" vertical="top" wrapText="1"/>
    </xf>
    <xf numFmtId="10" fontId="4" fillId="0" borderId="0" xfId="0" applyNumberFormat="1" applyFont="1" applyAlignment="1">
      <alignment horizontal="left" indent="2"/>
    </xf>
    <xf numFmtId="44" fontId="4" fillId="0" borderId="0" xfId="0" quotePrefix="1" applyNumberFormat="1" applyFont="1" applyAlignment="1">
      <alignment horizontal="left"/>
    </xf>
    <xf numFmtId="0" fontId="3" fillId="0" borderId="0" xfId="0" quotePrefix="1" applyFont="1" applyAlignment="1">
      <alignment horizontal="right"/>
    </xf>
    <xf numFmtId="3" fontId="4" fillId="0" borderId="0" xfId="0" quotePrefix="1" applyNumberFormat="1" applyFont="1" applyAlignment="1">
      <alignment horizontal="right"/>
    </xf>
    <xf numFmtId="44" fontId="4" fillId="0" borderId="0" xfId="1" quotePrefix="1" applyFont="1" applyFill="1" applyAlignment="1">
      <alignment horizontal="right"/>
    </xf>
    <xf numFmtId="10" fontId="4" fillId="0" borderId="0" xfId="5" quotePrefix="1" applyNumberFormat="1" applyFont="1" applyFill="1" applyAlignment="1">
      <alignment horizontal="right"/>
    </xf>
    <xf numFmtId="42" fontId="4" fillId="0" borderId="0" xfId="5" applyNumberFormat="1" applyFont="1" applyFill="1" applyAlignment="1">
      <alignment horizontal="right"/>
    </xf>
    <xf numFmtId="42" fontId="4" fillId="0" borderId="0" xfId="1" quotePrefix="1" applyNumberFormat="1" applyFont="1" applyFill="1" applyAlignment="1">
      <alignment horizontal="right"/>
    </xf>
    <xf numFmtId="42" fontId="4" fillId="0" borderId="0" xfId="5" quotePrefix="1" applyNumberFormat="1" applyFont="1" applyFill="1" applyAlignment="1">
      <alignment horizontal="right"/>
    </xf>
    <xf numFmtId="42" fontId="4" fillId="0" borderId="0" xfId="1" applyNumberFormat="1" applyFont="1" applyFill="1" applyAlignment="1">
      <alignment horizontal="right"/>
    </xf>
    <xf numFmtId="44" fontId="4" fillId="0" borderId="0" xfId="1" applyFont="1" applyFill="1" applyAlignment="1">
      <alignment horizontal="right"/>
    </xf>
    <xf numFmtId="0" fontId="4" fillId="3" borderId="22" xfId="0" quotePrefix="1" applyFont="1" applyFill="1" applyBorder="1" applyAlignment="1">
      <alignment horizontal="left"/>
    </xf>
    <xf numFmtId="0" fontId="4" fillId="3" borderId="21" xfId="0" quotePrefix="1" applyFont="1" applyFill="1" applyBorder="1" applyAlignment="1">
      <alignment horizontal="left"/>
    </xf>
    <xf numFmtId="1" fontId="4" fillId="3" borderId="20" xfId="1" applyNumberFormat="1" applyFont="1" applyFill="1" applyBorder="1" applyProtection="1"/>
    <xf numFmtId="1" fontId="4" fillId="3" borderId="19" xfId="1" applyNumberFormat="1" applyFont="1" applyFill="1" applyBorder="1" applyProtection="1"/>
    <xf numFmtId="1" fontId="4" fillId="3" borderId="18" xfId="1" applyNumberFormat="1" applyFont="1" applyFill="1" applyBorder="1" applyProtection="1"/>
    <xf numFmtId="0" fontId="9" fillId="3" borderId="0" xfId="0" applyFont="1" applyFill="1"/>
    <xf numFmtId="0" fontId="4" fillId="3" borderId="14" xfId="0" applyFont="1" applyFill="1" applyBorder="1"/>
    <xf numFmtId="0" fontId="4" fillId="3" borderId="2" xfId="0" applyFont="1" applyFill="1" applyBorder="1"/>
    <xf numFmtId="0" fontId="4" fillId="3" borderId="17" xfId="0" applyFont="1" applyFill="1" applyBorder="1"/>
    <xf numFmtId="0" fontId="4" fillId="3" borderId="16" xfId="0" applyFont="1" applyFill="1" applyBorder="1"/>
    <xf numFmtId="0" fontId="4" fillId="3" borderId="15" xfId="0" applyFont="1" applyFill="1" applyBorder="1"/>
    <xf numFmtId="37" fontId="4" fillId="3" borderId="0" xfId="0" applyNumberFormat="1" applyFont="1" applyFill="1"/>
    <xf numFmtId="0" fontId="4" fillId="3" borderId="0" xfId="0" applyFont="1" applyFill="1" applyAlignment="1">
      <alignment horizontal="center"/>
    </xf>
    <xf numFmtId="10" fontId="4" fillId="3" borderId="0" xfId="0" applyNumberFormat="1" applyFont="1" applyFill="1" applyAlignment="1">
      <alignment horizontal="left" indent="2"/>
    </xf>
    <xf numFmtId="44" fontId="4" fillId="0" borderId="0" xfId="1" quotePrefix="1" applyFont="1" applyAlignment="1">
      <alignment horizontal="right"/>
    </xf>
    <xf numFmtId="10" fontId="4" fillId="0" borderId="0" xfId="5" quotePrefix="1" applyNumberFormat="1" applyFont="1" applyAlignment="1">
      <alignment horizontal="right"/>
    </xf>
    <xf numFmtId="42" fontId="4" fillId="0" borderId="0" xfId="5" quotePrefix="1" applyNumberFormat="1" applyFont="1" applyAlignment="1">
      <alignment horizontal="right"/>
    </xf>
    <xf numFmtId="42" fontId="4" fillId="0" borderId="0" xfId="1" quotePrefix="1" applyNumberFormat="1" applyFont="1" applyAlignment="1">
      <alignment horizontal="right"/>
    </xf>
    <xf numFmtId="42" fontId="4" fillId="0" borderId="0" xfId="1" applyNumberFormat="1" applyFont="1" applyAlignment="1">
      <alignment horizontal="right"/>
    </xf>
    <xf numFmtId="42" fontId="4" fillId="0" borderId="0" xfId="5" applyNumberFormat="1" applyFont="1" applyAlignment="1">
      <alignment horizontal="right"/>
    </xf>
    <xf numFmtId="42" fontId="4" fillId="3" borderId="0" xfId="1" applyNumberFormat="1" applyFont="1" applyFill="1" applyAlignment="1">
      <alignment horizontal="right"/>
    </xf>
    <xf numFmtId="44" fontId="4" fillId="3" borderId="0" xfId="1" applyFont="1" applyFill="1" applyAlignment="1">
      <alignment horizontal="right"/>
    </xf>
    <xf numFmtId="0" fontId="4" fillId="0" borderId="0" xfId="0" quotePrefix="1" applyFont="1" applyAlignment="1">
      <alignment horizontal="right"/>
    </xf>
    <xf numFmtId="10" fontId="4" fillId="3" borderId="0" xfId="5" applyNumberFormat="1" applyFont="1" applyFill="1"/>
    <xf numFmtId="44" fontId="4" fillId="3" borderId="0" xfId="0" applyNumberFormat="1" applyFont="1" applyFill="1"/>
    <xf numFmtId="9" fontId="4" fillId="0" borderId="0" xfId="0" applyNumberFormat="1" applyFont="1" applyAlignment="1">
      <alignment horizontal="center"/>
    </xf>
    <xf numFmtId="0" fontId="4" fillId="0" borderId="0" xfId="0" applyFont="1" applyAlignment="1" applyProtection="1">
      <alignment horizontal="center"/>
      <protection locked="0"/>
    </xf>
    <xf numFmtId="0" fontId="4" fillId="0" borderId="0" xfId="0" applyFont="1" applyAlignment="1">
      <alignment horizontal="left" indent="1"/>
    </xf>
    <xf numFmtId="10" fontId="4" fillId="0" borderId="0" xfId="0" applyNumberFormat="1" applyFont="1"/>
    <xf numFmtId="0" fontId="54" fillId="0" borderId="0" xfId="6" applyFont="1" applyAlignment="1" applyProtection="1"/>
    <xf numFmtId="9" fontId="4" fillId="0" borderId="0" xfId="0" applyNumberFormat="1" applyFont="1"/>
    <xf numFmtId="0" fontId="55" fillId="7" borderId="0" xfId="0" applyFont="1" applyFill="1" applyAlignment="1">
      <alignment horizontal="left" indent="1"/>
    </xf>
    <xf numFmtId="0" fontId="4" fillId="7" borderId="0" xfId="0" applyFont="1" applyFill="1" applyAlignment="1">
      <alignment horizontal="left" indent="1"/>
    </xf>
    <xf numFmtId="0" fontId="4" fillId="7" borderId="0" xfId="0" applyFont="1" applyFill="1"/>
    <xf numFmtId="167" fontId="55" fillId="7" borderId="0" xfId="0" applyNumberFormat="1" applyFont="1" applyFill="1"/>
    <xf numFmtId="0" fontId="55" fillId="5" borderId="0" xfId="0" applyFont="1" applyFill="1" applyAlignment="1">
      <alignment horizontal="left" indent="1"/>
    </xf>
    <xf numFmtId="0" fontId="4" fillId="5" borderId="0" xfId="0" applyFont="1" applyFill="1" applyAlignment="1">
      <alignment horizontal="left" indent="1"/>
    </xf>
    <xf numFmtId="0" fontId="4" fillId="5" borderId="0" xfId="0" applyFont="1" applyFill="1"/>
    <xf numFmtId="167" fontId="55" fillId="5" borderId="0" xfId="0" applyNumberFormat="1" applyFont="1" applyFill="1"/>
    <xf numFmtId="176" fontId="4" fillId="0" borderId="0" xfId="0" applyNumberFormat="1" applyFont="1"/>
    <xf numFmtId="0" fontId="4" fillId="0" borderId="3" xfId="0" applyFont="1" applyBorder="1" applyAlignment="1">
      <alignment horizontal="center"/>
    </xf>
    <xf numFmtId="0" fontId="4" fillId="0" borderId="23" xfId="0" applyFont="1" applyBorder="1" applyAlignment="1">
      <alignment horizontal="center"/>
    </xf>
    <xf numFmtId="167" fontId="4" fillId="0" borderId="6" xfId="0" applyNumberFormat="1" applyFont="1" applyBorder="1"/>
    <xf numFmtId="9" fontId="4" fillId="0" borderId="4" xfId="0" applyNumberFormat="1" applyFont="1" applyBorder="1" applyAlignment="1">
      <alignment horizontal="center"/>
    </xf>
    <xf numFmtId="167" fontId="4" fillId="0" borderId="5" xfId="0" applyNumberFormat="1" applyFont="1" applyBorder="1"/>
    <xf numFmtId="175" fontId="4" fillId="0" borderId="0" xfId="0" applyNumberFormat="1" applyFont="1" applyAlignment="1">
      <alignment horizontal="right"/>
    </xf>
    <xf numFmtId="0" fontId="4" fillId="0" borderId="0" xfId="0" quotePrefix="1" applyFont="1"/>
    <xf numFmtId="0" fontId="4" fillId="0" borderId="0" xfId="7" quotePrefix="1" applyFont="1" applyAlignment="1">
      <alignment horizontal="left" vertical="center"/>
    </xf>
    <xf numFmtId="0" fontId="4" fillId="0" borderId="0" xfId="7" applyFont="1" applyAlignment="1">
      <alignment horizontal="left" vertical="center"/>
    </xf>
    <xf numFmtId="186" fontId="4" fillId="0" borderId="0" xfId="0" applyNumberFormat="1" applyFont="1" applyAlignment="1">
      <alignment horizontal="center"/>
    </xf>
    <xf numFmtId="0" fontId="3" fillId="20" borderId="3" xfId="0" applyFont="1" applyFill="1" applyBorder="1" applyAlignment="1">
      <alignment horizontal="center" vertical="center"/>
    </xf>
    <xf numFmtId="0" fontId="3" fillId="20"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20" borderId="3" xfId="0" quotePrefix="1" applyFont="1" applyFill="1" applyBorder="1" applyAlignment="1">
      <alignment horizontal="center" vertical="center" wrapText="1"/>
    </xf>
    <xf numFmtId="0" fontId="3" fillId="20" borderId="12" xfId="0" quotePrefix="1" applyFont="1" applyFill="1" applyBorder="1" applyAlignment="1">
      <alignment horizontal="center" vertical="center" wrapText="1"/>
    </xf>
    <xf numFmtId="183" fontId="4" fillId="20" borderId="3" xfId="15" applyNumberFormat="1" applyFont="1" applyFill="1" applyBorder="1"/>
    <xf numFmtId="172" fontId="4" fillId="22" borderId="3" xfId="1" applyNumberFormat="1" applyFont="1" applyFill="1" applyBorder="1"/>
    <xf numFmtId="172" fontId="4" fillId="6" borderId="3" xfId="1" applyNumberFormat="1" applyFont="1" applyFill="1" applyBorder="1"/>
    <xf numFmtId="172" fontId="4" fillId="20" borderId="3" xfId="1" applyNumberFormat="1" applyFont="1" applyFill="1" applyBorder="1"/>
    <xf numFmtId="185" fontId="4" fillId="20" borderId="3" xfId="1" applyNumberFormat="1" applyFont="1" applyFill="1" applyBorder="1"/>
    <xf numFmtId="172" fontId="4" fillId="21" borderId="3" xfId="1" applyNumberFormat="1" applyFont="1" applyFill="1" applyBorder="1"/>
    <xf numFmtId="172" fontId="4" fillId="7" borderId="3" xfId="1" applyNumberFormat="1" applyFont="1" applyFill="1" applyBorder="1"/>
    <xf numFmtId="172" fontId="4" fillId="0" borderId="3" xfId="1" applyNumberFormat="1" applyFont="1" applyBorder="1"/>
    <xf numFmtId="170" fontId="4" fillId="6" borderId="3" xfId="0" applyNumberFormat="1" applyFont="1" applyFill="1" applyBorder="1"/>
    <xf numFmtId="184" fontId="4" fillId="0" borderId="0" xfId="0" applyNumberFormat="1" applyFont="1"/>
    <xf numFmtId="0" fontId="4" fillId="6" borderId="3" xfId="0" applyFont="1" applyFill="1" applyBorder="1"/>
    <xf numFmtId="4" fontId="4" fillId="25" borderId="0" xfId="0" applyNumberFormat="1" applyFont="1" applyFill="1"/>
    <xf numFmtId="169" fontId="4" fillId="6" borderId="3" xfId="0" applyNumberFormat="1" applyFont="1" applyFill="1" applyBorder="1"/>
    <xf numFmtId="183" fontId="4" fillId="20" borderId="3" xfId="15" quotePrefix="1" applyNumberFormat="1" applyFont="1" applyFill="1" applyBorder="1" applyAlignment="1">
      <alignment horizontal="left"/>
    </xf>
    <xf numFmtId="170" fontId="4" fillId="0" borderId="0" xfId="0" quotePrefix="1" applyNumberFormat="1" applyFont="1" applyAlignment="1">
      <alignment horizontal="right"/>
    </xf>
    <xf numFmtId="0" fontId="3" fillId="0" borderId="3" xfId="0" applyFont="1" applyBorder="1"/>
    <xf numFmtId="10" fontId="3" fillId="0" borderId="3" xfId="0" applyNumberFormat="1" applyFont="1" applyBorder="1"/>
    <xf numFmtId="169" fontId="4" fillId="22" borderId="3" xfId="15" applyNumberFormat="1" applyFont="1" applyFill="1" applyBorder="1"/>
    <xf numFmtId="170" fontId="4" fillId="22" borderId="3" xfId="15" applyNumberFormat="1" applyFont="1" applyFill="1" applyBorder="1"/>
    <xf numFmtId="170" fontId="4" fillId="20" borderId="3" xfId="15" applyNumberFormat="1" applyFont="1" applyFill="1" applyBorder="1"/>
    <xf numFmtId="170" fontId="4" fillId="6" borderId="3" xfId="15" applyNumberFormat="1" applyFont="1" applyFill="1" applyBorder="1"/>
    <xf numFmtId="170" fontId="4" fillId="20" borderId="3" xfId="0" applyNumberFormat="1" applyFont="1" applyFill="1" applyBorder="1"/>
    <xf numFmtId="170" fontId="4" fillId="21" borderId="3" xfId="0" applyNumberFormat="1" applyFont="1" applyFill="1" applyBorder="1"/>
    <xf numFmtId="0" fontId="4" fillId="22" borderId="3" xfId="0" applyFont="1" applyFill="1" applyBorder="1"/>
    <xf numFmtId="170" fontId="4" fillId="22" borderId="3" xfId="0" applyNumberFormat="1" applyFont="1" applyFill="1" applyBorder="1"/>
    <xf numFmtId="170" fontId="4" fillId="7" borderId="3" xfId="0" applyNumberFormat="1" applyFont="1" applyFill="1" applyBorder="1"/>
    <xf numFmtId="170" fontId="4" fillId="0" borderId="3" xfId="0" applyNumberFormat="1" applyFont="1" applyBorder="1"/>
    <xf numFmtId="0" fontId="56" fillId="0" borderId="7" xfId="0" applyFont="1" applyBorder="1" applyAlignment="1">
      <alignment horizontal="center"/>
    </xf>
    <xf numFmtId="0" fontId="56" fillId="0" borderId="0" xfId="0" applyFont="1" applyAlignment="1">
      <alignment horizontal="center"/>
    </xf>
    <xf numFmtId="0" fontId="56" fillId="0" borderId="9" xfId="0" applyFont="1" applyBorder="1" applyAlignment="1">
      <alignment horizontal="center"/>
    </xf>
    <xf numFmtId="0" fontId="9" fillId="0" borderId="2" xfId="0" applyFont="1" applyBorder="1" applyAlignment="1">
      <alignment horizontal="center"/>
    </xf>
    <xf numFmtId="3" fontId="4" fillId="0" borderId="0" xfId="0" applyNumberFormat="1" applyFont="1" applyAlignment="1">
      <alignment vertical="center" wrapText="1"/>
    </xf>
    <xf numFmtId="4" fontId="4" fillId="0" borderId="2" xfId="0" applyNumberFormat="1" applyFont="1" applyBorder="1"/>
    <xf numFmtId="44" fontId="4" fillId="0" borderId="0" xfId="1" applyFont="1" applyAlignment="1">
      <alignment vertical="top" wrapText="1"/>
    </xf>
    <xf numFmtId="0" fontId="4" fillId="0" borderId="0" xfId="0" applyFont="1" applyAlignment="1">
      <alignment vertical="center" wrapText="1"/>
    </xf>
    <xf numFmtId="0" fontId="4" fillId="0" borderId="7" xfId="0" applyFont="1" applyBorder="1" applyAlignment="1">
      <alignment horizontal="left" vertical="center"/>
    </xf>
    <xf numFmtId="0" fontId="3" fillId="0" borderId="0" xfId="0" applyFont="1" applyAlignment="1">
      <alignment vertical="center"/>
    </xf>
    <xf numFmtId="0" fontId="3" fillId="0" borderId="2" xfId="0" applyFont="1" applyBorder="1" applyAlignment="1">
      <alignment horizontal="center"/>
    </xf>
    <xf numFmtId="1" fontId="4" fillId="0" borderId="0" xfId="0" applyNumberFormat="1" applyFont="1" applyAlignment="1">
      <alignment horizontal="right"/>
    </xf>
    <xf numFmtId="169" fontId="4" fillId="0" borderId="0" xfId="0" applyNumberFormat="1" applyFont="1" applyAlignment="1">
      <alignment horizontal="right"/>
    </xf>
    <xf numFmtId="1" fontId="4" fillId="0" borderId="0" xfId="0" applyNumberFormat="1" applyFont="1" applyAlignment="1">
      <alignment horizontal="center"/>
    </xf>
    <xf numFmtId="0" fontId="3" fillId="0" borderId="0" xfId="0" applyFont="1" applyAlignment="1">
      <alignment horizontal="left"/>
    </xf>
    <xf numFmtId="0" fontId="3" fillId="0" borderId="2" xfId="0" applyFont="1" applyBorder="1" applyAlignment="1">
      <alignment horizontal="left"/>
    </xf>
    <xf numFmtId="0" fontId="3" fillId="0" borderId="2" xfId="0" applyFont="1" applyBorder="1" applyAlignment="1">
      <alignment horizontal="right"/>
    </xf>
    <xf numFmtId="0" fontId="4" fillId="0" borderId="0" xfId="0" applyFont="1" applyAlignment="1">
      <alignment horizontal="right" indent="1"/>
    </xf>
    <xf numFmtId="169" fontId="4" fillId="0" borderId="0" xfId="0" quotePrefix="1" applyNumberFormat="1" applyFont="1" applyAlignment="1">
      <alignment horizontal="left"/>
    </xf>
    <xf numFmtId="10" fontId="4" fillId="2" borderId="0" xfId="0" applyNumberFormat="1" applyFont="1" applyFill="1" applyAlignment="1">
      <alignment horizontal="right" indent="1"/>
    </xf>
    <xf numFmtId="169" fontId="4" fillId="2" borderId="0" xfId="0" applyNumberFormat="1" applyFont="1" applyFill="1"/>
    <xf numFmtId="0" fontId="4" fillId="0" borderId="2" xfId="0" applyFont="1" applyBorder="1" applyAlignment="1">
      <alignment horizontal="left"/>
    </xf>
    <xf numFmtId="169" fontId="4" fillId="0" borderId="2" xfId="0" applyNumberFormat="1" applyFont="1" applyBorder="1"/>
    <xf numFmtId="6" fontId="4" fillId="0" borderId="0" xfId="0" quotePrefix="1" applyNumberFormat="1" applyFont="1" applyAlignment="1">
      <alignment horizontal="right"/>
    </xf>
    <xf numFmtId="6" fontId="4" fillId="0" borderId="0" xfId="0" quotePrefix="1" applyNumberFormat="1" applyFont="1" applyAlignment="1">
      <alignment horizontal="left"/>
    </xf>
    <xf numFmtId="44" fontId="4" fillId="0" borderId="0" xfId="0" applyNumberFormat="1" applyFont="1"/>
    <xf numFmtId="6" fontId="4" fillId="3" borderId="0" xfId="0" quotePrefix="1" applyNumberFormat="1" applyFont="1" applyFill="1" applyAlignment="1">
      <alignment horizontal="left"/>
    </xf>
    <xf numFmtId="165" fontId="3" fillId="0" borderId="12" xfId="0" quotePrefix="1" applyNumberFormat="1" applyFont="1" applyBorder="1"/>
    <xf numFmtId="165" fontId="3" fillId="0" borderId="1" xfId="0" quotePrefix="1" applyNumberFormat="1" applyFont="1" applyBorder="1" applyAlignment="1">
      <alignment horizontal="right"/>
    </xf>
    <xf numFmtId="165" fontId="3" fillId="0" borderId="6" xfId="0" applyNumberFormat="1" applyFont="1" applyBorder="1"/>
    <xf numFmtId="165" fontId="3" fillId="0" borderId="12" xfId="0" applyNumberFormat="1" applyFont="1" applyBorder="1" applyAlignment="1">
      <alignment horizontal="center"/>
    </xf>
    <xf numFmtId="0" fontId="9" fillId="0" borderId="1" xfId="0" applyFont="1" applyBorder="1" applyAlignment="1">
      <alignment horizontal="right"/>
    </xf>
    <xf numFmtId="0" fontId="9" fillId="0" borderId="12" xfId="0" quotePrefix="1" applyFont="1" applyBorder="1" applyAlignment="1">
      <alignment horizontal="center"/>
    </xf>
    <xf numFmtId="0" fontId="9" fillId="0" borderId="0" xfId="0" quotePrefix="1" applyFont="1" applyAlignment="1">
      <alignment horizontal="center"/>
    </xf>
    <xf numFmtId="0" fontId="4" fillId="0" borderId="1" xfId="0" quotePrefix="1" applyFont="1" applyBorder="1" applyAlignment="1">
      <alignment horizontal="right"/>
    </xf>
    <xf numFmtId="0" fontId="4" fillId="0" borderId="1" xfId="0" applyFont="1" applyBorder="1" applyAlignment="1">
      <alignment horizontal="right"/>
    </xf>
    <xf numFmtId="0" fontId="4" fillId="0" borderId="14" xfId="0" applyFont="1" applyBorder="1" applyAlignment="1">
      <alignment horizontal="right"/>
    </xf>
    <xf numFmtId="4" fontId="4" fillId="0" borderId="12" xfId="0" applyNumberFormat="1" applyFont="1" applyBorder="1"/>
    <xf numFmtId="3" fontId="4" fillId="0" borderId="1" xfId="0" applyNumberFormat="1" applyFont="1" applyBorder="1" applyAlignment="1">
      <alignment horizontal="right"/>
    </xf>
    <xf numFmtId="3" fontId="4" fillId="0" borderId="14" xfId="0" applyNumberFormat="1" applyFont="1" applyBorder="1" applyAlignment="1">
      <alignment horizontal="right"/>
    </xf>
    <xf numFmtId="3" fontId="4" fillId="0" borderId="1" xfId="0" applyNumberFormat="1" applyFont="1" applyBorder="1" applyAlignment="1">
      <alignment horizontal="right" vertical="top" wrapText="1"/>
    </xf>
    <xf numFmtId="172" fontId="4" fillId="0" borderId="0" xfId="0" quotePrefix="1" applyNumberFormat="1" applyFont="1" applyAlignment="1">
      <alignment horizontal="right"/>
    </xf>
    <xf numFmtId="10" fontId="4" fillId="3" borderId="0" xfId="2" applyNumberFormat="1" applyFont="1" applyFill="1"/>
    <xf numFmtId="166" fontId="4" fillId="0" borderId="0" xfId="0" applyNumberFormat="1" applyFont="1" applyAlignment="1">
      <alignment horizontal="right"/>
    </xf>
    <xf numFmtId="167" fontId="4" fillId="0" borderId="0" xfId="0" applyNumberFormat="1" applyFont="1" applyAlignment="1">
      <alignment horizontal="right"/>
    </xf>
    <xf numFmtId="6" fontId="4" fillId="0" borderId="0" xfId="0" applyNumberFormat="1" applyFont="1"/>
    <xf numFmtId="10" fontId="4" fillId="0" borderId="0" xfId="5" applyNumberFormat="1" applyFont="1" applyAlignment="1">
      <alignment horizontal="right"/>
    </xf>
    <xf numFmtId="4" fontId="4" fillId="0" borderId="0" xfId="0" applyNumberFormat="1" applyFont="1" applyAlignment="1">
      <alignment horizontal="right"/>
    </xf>
    <xf numFmtId="0" fontId="3" fillId="3" borderId="7" xfId="0" applyFont="1" applyFill="1" applyBorder="1"/>
    <xf numFmtId="0" fontId="3" fillId="3" borderId="7" xfId="0" quotePrefix="1" applyFont="1" applyFill="1" applyBorder="1" applyAlignment="1">
      <alignment horizontal="right"/>
    </xf>
    <xf numFmtId="0" fontId="4" fillId="3" borderId="7" xfId="0" applyFont="1" applyFill="1" applyBorder="1" applyAlignment="1">
      <alignment horizontal="right"/>
    </xf>
    <xf numFmtId="0" fontId="3" fillId="3" borderId="0" xfId="0" quotePrefix="1" applyFont="1" applyFill="1" applyAlignment="1">
      <alignment horizontal="right"/>
    </xf>
    <xf numFmtId="0" fontId="8" fillId="3" borderId="0" xfId="0" applyFont="1" applyFill="1" applyAlignment="1">
      <alignment vertical="top" wrapText="1"/>
    </xf>
    <xf numFmtId="0" fontId="8" fillId="3" borderId="0" xfId="0" applyFont="1" applyFill="1" applyAlignment="1">
      <alignment horizontal="right" vertical="top" wrapText="1"/>
    </xf>
    <xf numFmtId="0" fontId="8" fillId="3" borderId="0" xfId="0" quotePrefix="1" applyFont="1" applyFill="1" applyAlignment="1">
      <alignment horizontal="right" vertical="top" wrapText="1"/>
    </xf>
    <xf numFmtId="0" fontId="9" fillId="3" borderId="0" xfId="0" applyFont="1" applyFill="1" applyAlignment="1">
      <alignment vertical="top" wrapText="1"/>
    </xf>
    <xf numFmtId="0" fontId="3" fillId="3" borderId="0" xfId="0" quotePrefix="1" applyFont="1" applyFill="1" applyAlignment="1">
      <alignment horizontal="right" vertical="top" wrapText="1"/>
    </xf>
    <xf numFmtId="0" fontId="9" fillId="3" borderId="2" xfId="0" applyFont="1" applyFill="1" applyBorder="1" applyAlignment="1">
      <alignment vertical="top" wrapText="1"/>
    </xf>
    <xf numFmtId="0" fontId="3" fillId="3" borderId="2" xfId="0" quotePrefix="1" applyFont="1" applyFill="1" applyBorder="1" applyAlignment="1">
      <alignment horizontal="center" vertical="top" wrapText="1"/>
    </xf>
    <xf numFmtId="0" fontId="3" fillId="3" borderId="2" xfId="0" applyFont="1" applyFill="1" applyBorder="1" applyAlignment="1">
      <alignment horizontal="right" vertical="top" wrapText="1"/>
    </xf>
    <xf numFmtId="0" fontId="4" fillId="3" borderId="0" xfId="0" applyFont="1" applyFill="1" applyAlignment="1">
      <alignment vertical="top" wrapText="1"/>
    </xf>
    <xf numFmtId="3" fontId="4" fillId="3" borderId="0" xfId="0" applyNumberFormat="1" applyFont="1" applyFill="1" applyAlignment="1">
      <alignment horizontal="right" vertical="top" wrapText="1"/>
    </xf>
    <xf numFmtId="0" fontId="4" fillId="3" borderId="7" xfId="0" applyFont="1" applyFill="1" applyBorder="1" applyAlignment="1">
      <alignment vertical="top" wrapText="1"/>
    </xf>
    <xf numFmtId="3" fontId="4" fillId="3" borderId="7" xfId="0" applyNumberFormat="1" applyFont="1" applyFill="1" applyBorder="1" applyAlignment="1">
      <alignment horizontal="right" vertical="top" wrapText="1"/>
    </xf>
    <xf numFmtId="0" fontId="3" fillId="3" borderId="0" xfId="0" quotePrefix="1" applyFont="1" applyFill="1" applyAlignment="1">
      <alignment horizontal="center" vertical="top" wrapText="1"/>
    </xf>
    <xf numFmtId="0" fontId="11" fillId="19" borderId="0" xfId="0" quotePrefix="1" applyFont="1" applyFill="1" applyAlignment="1">
      <alignment horizontal="center"/>
    </xf>
    <xf numFmtId="0" fontId="11" fillId="19" borderId="0" xfId="0" applyFont="1" applyFill="1" applyAlignment="1">
      <alignment horizontal="center"/>
    </xf>
    <xf numFmtId="0" fontId="11" fillId="19" borderId="6" xfId="0" applyFont="1" applyFill="1" applyBorder="1" applyAlignment="1">
      <alignment horizontal="center"/>
    </xf>
    <xf numFmtId="165" fontId="3" fillId="0" borderId="0" xfId="0" quotePrefix="1" applyNumberFormat="1" applyFont="1" applyAlignment="1">
      <alignment horizontal="center"/>
    </xf>
    <xf numFmtId="165" fontId="3" fillId="0" borderId="6" xfId="0" quotePrefix="1" applyNumberFormat="1" applyFont="1" applyBorder="1" applyAlignment="1">
      <alignment horizontal="center"/>
    </xf>
    <xf numFmtId="0" fontId="3" fillId="0" borderId="0" xfId="0" quotePrefix="1" applyFont="1" applyAlignment="1">
      <alignment horizontal="center"/>
    </xf>
    <xf numFmtId="0" fontId="3" fillId="0" borderId="0" xfId="0" applyFont="1" applyAlignment="1">
      <alignment horizontal="center"/>
    </xf>
    <xf numFmtId="0" fontId="3" fillId="0" borderId="6" xfId="0" applyFont="1" applyBorder="1" applyAlignment="1">
      <alignment horizontal="center"/>
    </xf>
    <xf numFmtId="165" fontId="3" fillId="0" borderId="12" xfId="0" quotePrefix="1" applyNumberFormat="1" applyFont="1" applyBorder="1" applyAlignment="1">
      <alignment horizontal="center"/>
    </xf>
    <xf numFmtId="0" fontId="3" fillId="0" borderId="0" xfId="0" applyFont="1" applyAlignment="1">
      <alignment horizontal="center" vertical="center"/>
    </xf>
    <xf numFmtId="0" fontId="12" fillId="10" borderId="49" xfId="0" applyFont="1" applyFill="1" applyBorder="1" applyAlignment="1">
      <alignment horizontal="center" vertical="center" wrapText="1"/>
    </xf>
    <xf numFmtId="0" fontId="12" fillId="10" borderId="0" xfId="0" applyFont="1" applyFill="1" applyAlignment="1">
      <alignment horizontal="center" vertical="center" wrapText="1"/>
    </xf>
    <xf numFmtId="0" fontId="4" fillId="0" borderId="0" xfId="0" applyFont="1" applyAlignment="1">
      <alignment horizontal="center" vertical="center" wrapText="1"/>
    </xf>
    <xf numFmtId="0" fontId="53" fillId="0" borderId="2" xfId="0" applyFont="1" applyBorder="1"/>
    <xf numFmtId="0" fontId="13" fillId="4" borderId="22" xfId="0" applyFont="1" applyFill="1" applyBorder="1" applyAlignment="1">
      <alignment horizontal="center" wrapText="1"/>
    </xf>
    <xf numFmtId="0" fontId="13" fillId="4" borderId="77" xfId="0" applyFont="1" applyFill="1" applyBorder="1" applyAlignment="1">
      <alignment horizontal="center" wrapText="1"/>
    </xf>
    <xf numFmtId="0" fontId="12" fillId="8" borderId="0" xfId="0" applyFont="1" applyFill="1" applyAlignment="1">
      <alignment horizontal="center"/>
    </xf>
    <xf numFmtId="0" fontId="12" fillId="14" borderId="0" xfId="0" applyFont="1" applyFill="1" applyAlignment="1">
      <alignment horizontal="center" vertical="center" textRotation="90" wrapText="1"/>
    </xf>
    <xf numFmtId="0" fontId="13" fillId="0" borderId="52" xfId="0" applyFont="1" applyBorder="1" applyAlignment="1">
      <alignment horizontal="center"/>
    </xf>
    <xf numFmtId="0" fontId="13" fillId="0" borderId="73" xfId="0" applyFont="1" applyBorder="1" applyAlignment="1">
      <alignment horizontal="center"/>
    </xf>
    <xf numFmtId="0" fontId="13" fillId="0" borderId="72" xfId="0" applyFont="1" applyBorder="1" applyAlignment="1">
      <alignment horizontal="center"/>
    </xf>
    <xf numFmtId="0" fontId="13" fillId="15" borderId="71" xfId="0" applyFont="1" applyFill="1" applyBorder="1" applyAlignment="1">
      <alignment horizontal="center"/>
    </xf>
    <xf numFmtId="0" fontId="13" fillId="15" borderId="0" xfId="0" applyFont="1" applyFill="1" applyAlignment="1">
      <alignment horizontal="center"/>
    </xf>
    <xf numFmtId="0" fontId="4" fillId="0" borderId="0" xfId="0" applyFont="1"/>
    <xf numFmtId="0" fontId="12" fillId="7" borderId="69" xfId="0" applyFont="1" applyFill="1" applyBorder="1" applyAlignment="1">
      <alignment horizontal="center"/>
    </xf>
    <xf numFmtId="0" fontId="12" fillId="7" borderId="68" xfId="0" applyFont="1" applyFill="1" applyBorder="1" applyAlignment="1">
      <alignment horizontal="center"/>
    </xf>
    <xf numFmtId="0" fontId="13" fillId="0" borderId="67" xfId="0" applyFont="1" applyBorder="1" applyAlignment="1">
      <alignment horizontal="left"/>
    </xf>
    <xf numFmtId="0" fontId="13" fillId="0" borderId="66" xfId="0" applyFont="1" applyBorder="1" applyAlignment="1">
      <alignment horizontal="left"/>
    </xf>
    <xf numFmtId="0" fontId="13" fillId="0" borderId="65" xfId="0" applyFont="1" applyBorder="1" applyAlignment="1">
      <alignment horizontal="left"/>
    </xf>
    <xf numFmtId="0" fontId="4" fillId="0" borderId="0" xfId="0" quotePrefix="1" applyFont="1" applyAlignment="1">
      <alignment horizontal="center" vertical="center" wrapText="1"/>
    </xf>
    <xf numFmtId="0" fontId="12" fillId="0" borderId="4" xfId="0" applyFont="1" applyBorder="1" applyAlignment="1">
      <alignment horizontal="center" vertical="top"/>
    </xf>
    <xf numFmtId="0" fontId="12" fillId="0" borderId="2" xfId="0" applyFont="1" applyBorder="1" applyAlignment="1">
      <alignment horizontal="center" vertical="top"/>
    </xf>
    <xf numFmtId="0" fontId="12" fillId="0" borderId="5" xfId="0" applyFont="1" applyBorder="1" applyAlignment="1">
      <alignment horizontal="center" vertical="top"/>
    </xf>
    <xf numFmtId="0" fontId="13" fillId="0" borderId="33" xfId="0" applyFont="1" applyBorder="1"/>
    <xf numFmtId="0" fontId="13" fillId="0" borderId="31" xfId="0" applyFont="1" applyBorder="1"/>
    <xf numFmtId="0" fontId="13" fillId="0" borderId="32" xfId="0" applyFont="1" applyBorder="1"/>
    <xf numFmtId="0" fontId="52" fillId="0" borderId="43" xfId="4" applyFont="1" applyFill="1" applyBorder="1" applyAlignment="1">
      <alignment horizontal="center" vertical="top" wrapText="1"/>
    </xf>
    <xf numFmtId="0" fontId="52" fillId="0" borderId="31" xfId="4" applyFont="1" applyFill="1" applyBorder="1" applyAlignment="1">
      <alignment horizontal="center" vertical="top" wrapText="1"/>
    </xf>
    <xf numFmtId="0" fontId="52" fillId="0" borderId="32" xfId="4" applyFont="1" applyFill="1" applyBorder="1" applyAlignment="1">
      <alignment horizontal="center" vertical="top" wrapText="1"/>
    </xf>
    <xf numFmtId="0" fontId="12" fillId="8" borderId="48" xfId="0" applyFont="1" applyFill="1" applyBorder="1" applyAlignment="1">
      <alignment horizontal="center"/>
    </xf>
    <xf numFmtId="0" fontId="12" fillId="0" borderId="41" xfId="0" applyFont="1" applyBorder="1" applyAlignment="1">
      <alignment horizontal="left" vertical="center"/>
    </xf>
    <xf numFmtId="0" fontId="12" fillId="0" borderId="40" xfId="0" applyFont="1" applyBorder="1" applyAlignment="1">
      <alignment horizontal="left" vertical="center"/>
    </xf>
    <xf numFmtId="0" fontId="12" fillId="11" borderId="0" xfId="0" applyFont="1" applyFill="1" applyAlignment="1">
      <alignment horizontal="center" vertical="center" textRotation="90" wrapText="1"/>
    </xf>
    <xf numFmtId="0" fontId="4" fillId="0" borderId="0" xfId="0" applyFont="1" applyAlignment="1">
      <alignment vertical="center" textRotation="90" wrapText="1"/>
    </xf>
    <xf numFmtId="0" fontId="13" fillId="0" borderId="29" xfId="0" applyFont="1" applyBorder="1"/>
    <xf numFmtId="0" fontId="13" fillId="0" borderId="25" xfId="0" applyFont="1" applyBorder="1"/>
    <xf numFmtId="0" fontId="13" fillId="0" borderId="27" xfId="0" applyFont="1" applyBorder="1"/>
    <xf numFmtId="0" fontId="13" fillId="0" borderId="37" xfId="0" applyFont="1" applyBorder="1" applyAlignment="1">
      <alignment horizontal="left" vertical="center"/>
    </xf>
    <xf numFmtId="0" fontId="12" fillId="0" borderId="39" xfId="0" applyFont="1" applyBorder="1" applyAlignment="1">
      <alignment horizontal="left" vertical="center"/>
    </xf>
    <xf numFmtId="0" fontId="52" fillId="0" borderId="43" xfId="4" applyFont="1" applyFill="1" applyBorder="1" applyAlignment="1">
      <alignment horizontal="center" wrapText="1"/>
    </xf>
    <xf numFmtId="0" fontId="52" fillId="0" borderId="31" xfId="4" applyFont="1" applyFill="1" applyBorder="1" applyAlignment="1">
      <alignment horizontal="center" wrapText="1"/>
    </xf>
    <xf numFmtId="0" fontId="52" fillId="0" borderId="32" xfId="4" applyFont="1" applyFill="1" applyBorder="1" applyAlignment="1">
      <alignment horizontal="center" wrapText="1"/>
    </xf>
    <xf numFmtId="0" fontId="4" fillId="14" borderId="0" xfId="0" applyFont="1" applyFill="1" applyAlignment="1">
      <alignment horizontal="center" vertical="center" textRotation="90" wrapText="1"/>
    </xf>
    <xf numFmtId="0" fontId="4" fillId="0" borderId="0" xfId="0" applyFont="1" applyAlignment="1">
      <alignment horizontal="center" vertical="center" textRotation="90" wrapText="1"/>
    </xf>
    <xf numFmtId="0" fontId="52" fillId="0" borderId="43" xfId="4" applyFont="1" applyFill="1" applyBorder="1" applyAlignment="1">
      <alignment horizontal="left" wrapText="1"/>
    </xf>
    <xf numFmtId="0" fontId="52" fillId="0" borderId="31" xfId="4" applyFont="1" applyFill="1" applyBorder="1" applyAlignment="1">
      <alignment horizontal="left" wrapText="1"/>
    </xf>
    <xf numFmtId="0" fontId="52" fillId="0" borderId="32" xfId="4" applyFont="1" applyFill="1" applyBorder="1" applyAlignment="1">
      <alignment horizontal="left" wrapText="1"/>
    </xf>
    <xf numFmtId="0" fontId="12" fillId="0" borderId="38" xfId="0" applyFont="1" applyBorder="1" applyAlignment="1">
      <alignment horizontal="center" vertical="top"/>
    </xf>
    <xf numFmtId="0" fontId="12" fillId="0" borderId="40" xfId="0" applyFont="1" applyBorder="1" applyAlignment="1">
      <alignment horizontal="center" vertical="top"/>
    </xf>
    <xf numFmtId="0" fontId="12" fillId="0" borderId="39" xfId="0" applyFont="1" applyBorder="1" applyAlignment="1">
      <alignment horizontal="center" vertical="top"/>
    </xf>
    <xf numFmtId="0" fontId="22" fillId="0" borderId="0" xfId="11" quotePrefix="1" applyFont="1" applyAlignment="1">
      <alignment horizontal="left" wrapText="1"/>
    </xf>
    <xf numFmtId="0" fontId="24" fillId="0" borderId="93" xfId="12" applyFont="1" applyBorder="1" applyAlignment="1">
      <alignment horizontal="left" vertical="top" wrapText="1" readingOrder="1"/>
    </xf>
    <xf numFmtId="0" fontId="24" fillId="0" borderId="0" xfId="12" applyFont="1" applyAlignment="1">
      <alignment horizontal="left" vertical="top" wrapText="1" readingOrder="1"/>
    </xf>
    <xf numFmtId="0" fontId="24" fillId="0" borderId="92" xfId="12" applyFont="1" applyBorder="1" applyAlignment="1">
      <alignment horizontal="left" vertical="top" wrapText="1" readingOrder="1"/>
    </xf>
    <xf numFmtId="0" fontId="25" fillId="0" borderId="93" xfId="12" applyFont="1" applyBorder="1" applyAlignment="1">
      <alignment horizontal="left" vertical="top" wrapText="1" readingOrder="1"/>
    </xf>
    <xf numFmtId="0" fontId="25" fillId="0" borderId="0" xfId="12" applyFont="1" applyAlignment="1">
      <alignment horizontal="left" vertical="top" wrapText="1" readingOrder="1"/>
    </xf>
    <xf numFmtId="0" fontId="25" fillId="0" borderId="92" xfId="12" applyFont="1" applyBorder="1" applyAlignment="1">
      <alignment horizontal="left" vertical="top" wrapText="1" readingOrder="1"/>
    </xf>
    <xf numFmtId="0" fontId="25" fillId="0" borderId="93" xfId="12" applyFont="1" applyBorder="1" applyAlignment="1">
      <alignment horizontal="left" vertical="center" wrapText="1" readingOrder="1"/>
    </xf>
    <xf numFmtId="0" fontId="25" fillId="0" borderId="0" xfId="12" applyFont="1" applyAlignment="1">
      <alignment horizontal="left" vertical="center" wrapText="1" readingOrder="1"/>
    </xf>
    <xf numFmtId="0" fontId="25" fillId="0" borderId="92" xfId="12" applyFont="1" applyBorder="1" applyAlignment="1">
      <alignment horizontal="left" vertical="center" wrapText="1" readingOrder="1"/>
    </xf>
    <xf numFmtId="0" fontId="23" fillId="0" borderId="93" xfId="12" applyFont="1" applyBorder="1" applyAlignment="1">
      <alignment horizontal="left" wrapText="1"/>
    </xf>
    <xf numFmtId="0" fontId="23" fillId="0" borderId="0" xfId="12" applyFont="1" applyAlignment="1">
      <alignment horizontal="left" wrapText="1"/>
    </xf>
    <xf numFmtId="0" fontId="23" fillId="0" borderId="92" xfId="12" applyFont="1" applyBorder="1" applyAlignment="1">
      <alignment horizontal="left" wrapText="1"/>
    </xf>
    <xf numFmtId="0" fontId="41" fillId="3" borderId="101" xfId="12" applyFont="1" applyFill="1" applyBorder="1" applyAlignment="1">
      <alignment horizontal="left" vertical="top" wrapText="1" readingOrder="1"/>
    </xf>
    <xf numFmtId="0" fontId="41" fillId="3" borderId="0" xfId="12" applyFont="1" applyFill="1" applyAlignment="1">
      <alignment horizontal="left" vertical="top" wrapText="1" readingOrder="1"/>
    </xf>
    <xf numFmtId="0" fontId="41" fillId="3" borderId="100" xfId="12" applyFont="1" applyFill="1" applyBorder="1" applyAlignment="1">
      <alignment horizontal="left" vertical="top" wrapText="1" readingOrder="1"/>
    </xf>
    <xf numFmtId="0" fontId="23" fillId="3" borderId="101" xfId="12" applyFont="1" applyFill="1" applyBorder="1" applyAlignment="1">
      <alignment horizontal="left" vertical="top" wrapText="1" readingOrder="1"/>
    </xf>
    <xf numFmtId="0" fontId="23" fillId="3" borderId="0" xfId="12" applyFont="1" applyFill="1" applyAlignment="1">
      <alignment horizontal="left" vertical="top" wrapText="1" readingOrder="1"/>
    </xf>
    <xf numFmtId="0" fontId="23" fillId="3" borderId="100" xfId="12" applyFont="1" applyFill="1" applyBorder="1" applyAlignment="1">
      <alignment horizontal="left" vertical="top" wrapText="1" readingOrder="1"/>
    </xf>
    <xf numFmtId="0" fontId="23" fillId="3" borderId="101" xfId="12" applyFont="1" applyFill="1" applyBorder="1" applyAlignment="1">
      <alignment horizontal="left" vertical="center" wrapText="1" readingOrder="1"/>
    </xf>
    <xf numFmtId="0" fontId="23" fillId="3" borderId="0" xfId="12" applyFont="1" applyFill="1" applyAlignment="1">
      <alignment horizontal="left" vertical="center" wrapText="1" readingOrder="1"/>
    </xf>
    <xf numFmtId="0" fontId="23" fillId="3" borderId="100" xfId="12" applyFont="1" applyFill="1" applyBorder="1" applyAlignment="1">
      <alignment horizontal="left" vertical="center" wrapText="1" readingOrder="1"/>
    </xf>
    <xf numFmtId="0" fontId="23" fillId="3" borderId="101" xfId="12" applyFont="1" applyFill="1" applyBorder="1" applyAlignment="1">
      <alignment horizontal="left" wrapText="1"/>
    </xf>
    <xf numFmtId="0" fontId="23" fillId="3" borderId="0" xfId="12" applyFont="1" applyFill="1" applyAlignment="1">
      <alignment horizontal="left" wrapText="1"/>
    </xf>
    <xf numFmtId="0" fontId="23" fillId="3" borderId="100" xfId="12" applyFont="1" applyFill="1" applyBorder="1" applyAlignment="1">
      <alignment horizontal="left" wrapText="1"/>
    </xf>
  </cellXfs>
  <cellStyles count="16">
    <cellStyle name="Comma" xfId="15" builtinId="3"/>
    <cellStyle name="Currency" xfId="1" builtinId="4"/>
    <cellStyle name="Currency 2" xfId="3" xr:uid="{31C8308D-1934-48AD-8A94-4E92CDEC086F}"/>
    <cellStyle name="Hyperlink" xfId="7" builtinId="8"/>
    <cellStyle name="Hyperlink 2" xfId="4" xr:uid="{C1026E6E-485B-4A4F-9815-3ABBA47FB22A}"/>
    <cellStyle name="Hyperlink 3" xfId="6" xr:uid="{14146C0B-F538-40CB-8DE1-CE2A286C0A60}"/>
    <cellStyle name="Normal" xfId="0" builtinId="0"/>
    <cellStyle name="Normal 10 6 2" xfId="13" xr:uid="{0E083ED4-05B4-40D9-A66C-664F72528AB6}"/>
    <cellStyle name="Normal 2 2" xfId="11" xr:uid="{C269311C-5C18-479B-9609-FE752907B43A}"/>
    <cellStyle name="Normal 2 2 2" xfId="12" xr:uid="{4E421733-8452-4B25-B942-3E843BC3441F}"/>
    <cellStyle name="Normal 3" xfId="9" xr:uid="{321B5482-7777-410A-87E5-42E4900A7912}"/>
    <cellStyle name="Normal 4" xfId="8" xr:uid="{DC31CF48-ECB7-4756-9298-C3A8A454C1D6}"/>
    <cellStyle name="Normal 6" xfId="10" xr:uid="{AE8FAC62-BAFC-4AFD-B60D-8D50E259CCAA}"/>
    <cellStyle name="Percent" xfId="5" builtinId="5"/>
    <cellStyle name="Percent 2" xfId="2" xr:uid="{6CBB2D07-11B6-4A78-8D00-FF689E70A23D}"/>
    <cellStyle name="Percent 2 2" xfId="14" xr:uid="{75388141-9A1E-4C53-8090-E092845BC988}"/>
  </cellStyles>
  <dxfs count="0"/>
  <tableStyles count="0" defaultTableStyle="TableStyleMedium2" defaultPivotStyle="PivotStyleLight16"/>
  <colors>
    <mruColors>
      <color rgb="FFF8CBB1"/>
      <color rgb="FFFF33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9.xml"/><Relationship Id="rId18" Type="http://schemas.openxmlformats.org/officeDocument/2006/relationships/worksheet" Target="worksheets/sheet14.xml"/><Relationship Id="rId26" Type="http://schemas.openxmlformats.org/officeDocument/2006/relationships/worksheet" Target="worksheets/sheet22.xml"/><Relationship Id="rId39" Type="http://schemas.openxmlformats.org/officeDocument/2006/relationships/worksheet" Target="worksheets/sheet35.xml"/><Relationship Id="rId21" Type="http://schemas.openxmlformats.org/officeDocument/2006/relationships/worksheet" Target="worksheets/sheet17.xml"/><Relationship Id="rId34" Type="http://schemas.openxmlformats.org/officeDocument/2006/relationships/worksheet" Target="worksheets/sheet30.xml"/><Relationship Id="rId42" Type="http://schemas.openxmlformats.org/officeDocument/2006/relationships/worksheet" Target="worksheets/sheet38.xml"/><Relationship Id="rId47" Type="http://schemas.openxmlformats.org/officeDocument/2006/relationships/worksheet" Target="worksheets/sheet43.xml"/><Relationship Id="rId50" Type="http://schemas.openxmlformats.org/officeDocument/2006/relationships/worksheet" Target="worksheets/sheet46.xml"/><Relationship Id="rId55" Type="http://schemas.openxmlformats.org/officeDocument/2006/relationships/worksheet" Target="worksheets/sheet51.xml"/><Relationship Id="rId63" Type="http://schemas.openxmlformats.org/officeDocument/2006/relationships/styles" Target="styles.xml"/><Relationship Id="rId7" Type="http://schemas.openxmlformats.org/officeDocument/2006/relationships/worksheet" Target="worksheets/sheet6.xml"/><Relationship Id="rId2" Type="http://schemas.openxmlformats.org/officeDocument/2006/relationships/worksheet" Target="worksheets/sheet2.xml"/><Relationship Id="rId16" Type="http://schemas.openxmlformats.org/officeDocument/2006/relationships/worksheet" Target="worksheets/sheet12.xml"/><Relationship Id="rId20" Type="http://schemas.openxmlformats.org/officeDocument/2006/relationships/worksheet" Target="worksheets/sheet16.xml"/><Relationship Id="rId29" Type="http://schemas.openxmlformats.org/officeDocument/2006/relationships/worksheet" Target="worksheets/sheet25.xml"/><Relationship Id="rId41" Type="http://schemas.openxmlformats.org/officeDocument/2006/relationships/worksheet" Target="worksheets/sheet37.xml"/><Relationship Id="rId54" Type="http://schemas.openxmlformats.org/officeDocument/2006/relationships/worksheet" Target="worksheets/sheet50.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hartsheet" Target="chartsheets/sheet1.xml"/><Relationship Id="rId11" Type="http://schemas.openxmlformats.org/officeDocument/2006/relationships/worksheet" Target="worksheets/sheet7.xml"/><Relationship Id="rId24" Type="http://schemas.openxmlformats.org/officeDocument/2006/relationships/worksheet" Target="worksheets/sheet20.xml"/><Relationship Id="rId32" Type="http://schemas.openxmlformats.org/officeDocument/2006/relationships/worksheet" Target="worksheets/sheet28.xml"/><Relationship Id="rId37" Type="http://schemas.openxmlformats.org/officeDocument/2006/relationships/worksheet" Target="worksheets/sheet33.xml"/><Relationship Id="rId40" Type="http://schemas.openxmlformats.org/officeDocument/2006/relationships/worksheet" Target="worksheets/sheet36.xml"/><Relationship Id="rId45" Type="http://schemas.openxmlformats.org/officeDocument/2006/relationships/worksheet" Target="worksheets/sheet41.xml"/><Relationship Id="rId53" Type="http://schemas.openxmlformats.org/officeDocument/2006/relationships/worksheet" Target="worksheets/sheet49.xml"/><Relationship Id="rId58" Type="http://schemas.openxmlformats.org/officeDocument/2006/relationships/worksheet" Target="worksheets/sheet54.xml"/><Relationship Id="rId5" Type="http://schemas.openxmlformats.org/officeDocument/2006/relationships/worksheet" Target="worksheets/sheet5.xml"/><Relationship Id="rId15" Type="http://schemas.openxmlformats.org/officeDocument/2006/relationships/worksheet" Target="worksheets/sheet11.xml"/><Relationship Id="rId23" Type="http://schemas.openxmlformats.org/officeDocument/2006/relationships/worksheet" Target="worksheets/sheet19.xml"/><Relationship Id="rId28" Type="http://schemas.openxmlformats.org/officeDocument/2006/relationships/worksheet" Target="worksheets/sheet24.xml"/><Relationship Id="rId36" Type="http://schemas.openxmlformats.org/officeDocument/2006/relationships/worksheet" Target="worksheets/sheet32.xml"/><Relationship Id="rId49" Type="http://schemas.openxmlformats.org/officeDocument/2006/relationships/worksheet" Target="worksheets/sheet45.xml"/><Relationship Id="rId57" Type="http://schemas.openxmlformats.org/officeDocument/2006/relationships/worksheet" Target="worksheets/sheet53.xml"/><Relationship Id="rId61" Type="http://schemas.openxmlformats.org/officeDocument/2006/relationships/externalLink" Target="externalLinks/externalLink1.xml"/><Relationship Id="rId10" Type="http://schemas.openxmlformats.org/officeDocument/2006/relationships/chartsheet" Target="chartsheets/sheet4.xml"/><Relationship Id="rId19" Type="http://schemas.openxmlformats.org/officeDocument/2006/relationships/worksheet" Target="worksheets/sheet15.xml"/><Relationship Id="rId31" Type="http://schemas.openxmlformats.org/officeDocument/2006/relationships/worksheet" Target="worksheets/sheet27.xml"/><Relationship Id="rId44" Type="http://schemas.openxmlformats.org/officeDocument/2006/relationships/worksheet" Target="worksheets/sheet40.xml"/><Relationship Id="rId52" Type="http://schemas.openxmlformats.org/officeDocument/2006/relationships/worksheet" Target="worksheets/sheet48.xml"/><Relationship Id="rId60" Type="http://schemas.openxmlformats.org/officeDocument/2006/relationships/worksheet" Target="worksheets/sheet56.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chartsheet" Target="chartsheets/sheet3.xml"/><Relationship Id="rId14" Type="http://schemas.openxmlformats.org/officeDocument/2006/relationships/worksheet" Target="worksheets/sheet10.xml"/><Relationship Id="rId22" Type="http://schemas.openxmlformats.org/officeDocument/2006/relationships/worksheet" Target="worksheets/sheet18.xml"/><Relationship Id="rId27" Type="http://schemas.openxmlformats.org/officeDocument/2006/relationships/worksheet" Target="worksheets/sheet23.xml"/><Relationship Id="rId30" Type="http://schemas.openxmlformats.org/officeDocument/2006/relationships/worksheet" Target="worksheets/sheet26.xml"/><Relationship Id="rId35" Type="http://schemas.openxmlformats.org/officeDocument/2006/relationships/worksheet" Target="worksheets/sheet31.xml"/><Relationship Id="rId43" Type="http://schemas.openxmlformats.org/officeDocument/2006/relationships/worksheet" Target="worksheets/sheet39.xml"/><Relationship Id="rId48" Type="http://schemas.openxmlformats.org/officeDocument/2006/relationships/worksheet" Target="worksheets/sheet44.xml"/><Relationship Id="rId56" Type="http://schemas.openxmlformats.org/officeDocument/2006/relationships/worksheet" Target="worksheets/sheet52.xml"/><Relationship Id="rId64" Type="http://schemas.openxmlformats.org/officeDocument/2006/relationships/sharedStrings" Target="sharedStrings.xml"/><Relationship Id="rId8" Type="http://schemas.openxmlformats.org/officeDocument/2006/relationships/chartsheet" Target="chartsheets/sheet2.xml"/><Relationship Id="rId51" Type="http://schemas.openxmlformats.org/officeDocument/2006/relationships/worksheet" Target="worksheets/sheet47.xml"/><Relationship Id="rId3" Type="http://schemas.openxmlformats.org/officeDocument/2006/relationships/worksheet" Target="worksheets/sheet3.xml"/><Relationship Id="rId12" Type="http://schemas.openxmlformats.org/officeDocument/2006/relationships/worksheet" Target="worksheets/sheet8.xml"/><Relationship Id="rId17" Type="http://schemas.openxmlformats.org/officeDocument/2006/relationships/worksheet" Target="worksheets/sheet13.xml"/><Relationship Id="rId25" Type="http://schemas.openxmlformats.org/officeDocument/2006/relationships/worksheet" Target="worksheets/sheet21.xml"/><Relationship Id="rId33" Type="http://schemas.openxmlformats.org/officeDocument/2006/relationships/worksheet" Target="worksheets/sheet29.xml"/><Relationship Id="rId38" Type="http://schemas.openxmlformats.org/officeDocument/2006/relationships/worksheet" Target="worksheets/sheet34.xml"/><Relationship Id="rId46" Type="http://schemas.openxmlformats.org/officeDocument/2006/relationships/worksheet" Target="worksheets/sheet42.xml"/><Relationship Id="rId59" Type="http://schemas.openxmlformats.org/officeDocument/2006/relationships/worksheet" Target="worksheets/sheet5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5.xml"/><Relationship Id="rId1" Type="http://schemas.microsoft.com/office/2011/relationships/chartStyle" Target="style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92871880775512"/>
          <c:y val="2.287886741430048E-2"/>
          <c:w val="0.85891228312877987"/>
          <c:h val="0.82153121768869797"/>
        </c:manualLayout>
      </c:layout>
      <c:barChart>
        <c:barDir val="col"/>
        <c:grouping val="stacked"/>
        <c:varyColors val="0"/>
        <c:ser>
          <c:idx val="3"/>
          <c:order val="0"/>
          <c:tx>
            <c:strRef>
              <c:f>'Report_Figure 7 Graph Data'!$C$11</c:f>
              <c:strCache>
                <c:ptCount val="1"/>
                <c:pt idx="0">
                  <c:v>Battery - 4 Hours_PJM</c:v>
                </c:pt>
              </c:strCache>
            </c:strRef>
          </c:tx>
          <c:spPr>
            <a:solidFill>
              <a:srgbClr val="00B050"/>
            </a:solidFill>
            <a:ln>
              <a:noFill/>
            </a:ln>
            <a:effectLst/>
          </c:spPr>
          <c:invertIfNegative val="0"/>
          <c:cat>
            <c:numRef>
              <c:f>'Report_Figure 7 Graph Data'!$A$12:$A$17</c:f>
              <c:numCache>
                <c:formatCode>General</c:formatCode>
                <c:ptCount val="6"/>
                <c:pt idx="0">
                  <c:v>2030</c:v>
                </c:pt>
                <c:pt idx="1">
                  <c:v>2031</c:v>
                </c:pt>
                <c:pt idx="2">
                  <c:v>2032</c:v>
                </c:pt>
                <c:pt idx="3">
                  <c:v>2033</c:v>
                </c:pt>
                <c:pt idx="4">
                  <c:v>2034</c:v>
                </c:pt>
                <c:pt idx="5">
                  <c:v>2035</c:v>
                </c:pt>
              </c:numCache>
            </c:numRef>
          </c:cat>
          <c:val>
            <c:numRef>
              <c:f>'Report_Figure 7 Graph Data'!$C$12:$C$17</c:f>
              <c:numCache>
                <c:formatCode>General</c:formatCode>
                <c:ptCount val="6"/>
                <c:pt idx="0">
                  <c:v>430</c:v>
                </c:pt>
                <c:pt idx="1">
                  <c:v>880</c:v>
                </c:pt>
                <c:pt idx="2">
                  <c:v>1180</c:v>
                </c:pt>
                <c:pt idx="3">
                  <c:v>1480</c:v>
                </c:pt>
                <c:pt idx="4">
                  <c:v>1855</c:v>
                </c:pt>
                <c:pt idx="5">
                  <c:v>2230</c:v>
                </c:pt>
              </c:numCache>
            </c:numRef>
          </c:val>
          <c:extLst>
            <c:ext xmlns:c16="http://schemas.microsoft.com/office/drawing/2014/chart" uri="{C3380CC4-5D6E-409C-BE32-E72D297353CC}">
              <c16:uniqueId val="{00000000-CCBE-4E61-BE31-1D3D4F95545A}"/>
            </c:ext>
          </c:extLst>
        </c:ser>
        <c:ser>
          <c:idx val="4"/>
          <c:order val="1"/>
          <c:tx>
            <c:strRef>
              <c:f>'Report_Figure 7 Graph Data'!$B$11</c:f>
              <c:strCache>
                <c:ptCount val="1"/>
                <c:pt idx="0">
                  <c:v>Battery - 4 Hours_MISO</c:v>
                </c:pt>
              </c:strCache>
            </c:strRef>
          </c:tx>
          <c:spPr>
            <a:solidFill>
              <a:schemeClr val="accent5"/>
            </a:solidFill>
            <a:ln>
              <a:noFill/>
            </a:ln>
            <a:effectLst/>
          </c:spPr>
          <c:invertIfNegative val="0"/>
          <c:cat>
            <c:numRef>
              <c:f>'Report_Figure 7 Graph Data'!$A$12:$A$17</c:f>
              <c:numCache>
                <c:formatCode>General</c:formatCode>
                <c:ptCount val="6"/>
                <c:pt idx="0">
                  <c:v>2030</c:v>
                </c:pt>
                <c:pt idx="1">
                  <c:v>2031</c:v>
                </c:pt>
                <c:pt idx="2">
                  <c:v>2032</c:v>
                </c:pt>
                <c:pt idx="3">
                  <c:v>2033</c:v>
                </c:pt>
                <c:pt idx="4">
                  <c:v>2034</c:v>
                </c:pt>
                <c:pt idx="5">
                  <c:v>2035</c:v>
                </c:pt>
              </c:numCache>
            </c:numRef>
          </c:cat>
          <c:val>
            <c:numRef>
              <c:f>'Report_Figure 7 Graph Data'!$B$12:$B$17</c:f>
              <c:numCache>
                <c:formatCode>General</c:formatCode>
                <c:ptCount val="6"/>
                <c:pt idx="0">
                  <c:v>1030</c:v>
                </c:pt>
                <c:pt idx="1">
                  <c:v>2080</c:v>
                </c:pt>
                <c:pt idx="2">
                  <c:v>2780</c:v>
                </c:pt>
                <c:pt idx="3">
                  <c:v>3480</c:v>
                </c:pt>
                <c:pt idx="4">
                  <c:v>4355</c:v>
                </c:pt>
                <c:pt idx="5">
                  <c:v>5230</c:v>
                </c:pt>
              </c:numCache>
            </c:numRef>
          </c:val>
          <c:extLst>
            <c:ext xmlns:c16="http://schemas.microsoft.com/office/drawing/2014/chart" uri="{C3380CC4-5D6E-409C-BE32-E72D297353CC}">
              <c16:uniqueId val="{00000001-CCBE-4E61-BE31-1D3D4F95545A}"/>
            </c:ext>
          </c:extLst>
        </c:ser>
        <c:ser>
          <c:idx val="1"/>
          <c:order val="2"/>
          <c:tx>
            <c:strRef>
              <c:f>'Report_Figure 7 Graph Data'!$E$11</c:f>
              <c:strCache>
                <c:ptCount val="1"/>
                <c:pt idx="0">
                  <c:v>Battery - 10 Hours_PJM</c:v>
                </c:pt>
              </c:strCache>
            </c:strRef>
          </c:tx>
          <c:spPr>
            <a:solidFill>
              <a:schemeClr val="accent2"/>
            </a:solidFill>
            <a:ln>
              <a:noFill/>
            </a:ln>
            <a:effectLst/>
          </c:spPr>
          <c:invertIfNegative val="0"/>
          <c:cat>
            <c:numRef>
              <c:f>'Report_Figure 7 Graph Data'!$A$12:$A$17</c:f>
              <c:numCache>
                <c:formatCode>General</c:formatCode>
                <c:ptCount val="6"/>
                <c:pt idx="0">
                  <c:v>2030</c:v>
                </c:pt>
                <c:pt idx="1">
                  <c:v>2031</c:v>
                </c:pt>
                <c:pt idx="2">
                  <c:v>2032</c:v>
                </c:pt>
                <c:pt idx="3">
                  <c:v>2033</c:v>
                </c:pt>
                <c:pt idx="4">
                  <c:v>2034</c:v>
                </c:pt>
                <c:pt idx="5">
                  <c:v>2035</c:v>
                </c:pt>
              </c:numCache>
            </c:numRef>
          </c:cat>
          <c:val>
            <c:numRef>
              <c:f>'Report_Figure 7 Graph Data'!$E$12:$E$17</c:f>
              <c:numCache>
                <c:formatCode>General</c:formatCode>
                <c:ptCount val="6"/>
                <c:pt idx="0">
                  <c:v>20</c:v>
                </c:pt>
                <c:pt idx="1">
                  <c:v>20</c:v>
                </c:pt>
                <c:pt idx="2">
                  <c:v>20</c:v>
                </c:pt>
                <c:pt idx="3">
                  <c:v>20</c:v>
                </c:pt>
                <c:pt idx="4">
                  <c:v>20</c:v>
                </c:pt>
                <c:pt idx="5">
                  <c:v>20</c:v>
                </c:pt>
              </c:numCache>
            </c:numRef>
          </c:val>
          <c:extLst>
            <c:ext xmlns:c16="http://schemas.microsoft.com/office/drawing/2014/chart" uri="{C3380CC4-5D6E-409C-BE32-E72D297353CC}">
              <c16:uniqueId val="{00000002-CCBE-4E61-BE31-1D3D4F95545A}"/>
            </c:ext>
          </c:extLst>
        </c:ser>
        <c:ser>
          <c:idx val="2"/>
          <c:order val="3"/>
          <c:tx>
            <c:strRef>
              <c:f>'Report_Figure 7 Graph Data'!$D$11</c:f>
              <c:strCache>
                <c:ptCount val="1"/>
                <c:pt idx="0">
                  <c:v>Battery - 10 Hours_MISO</c:v>
                </c:pt>
              </c:strCache>
            </c:strRef>
          </c:tx>
          <c:spPr>
            <a:solidFill>
              <a:schemeClr val="accent3"/>
            </a:solidFill>
            <a:ln>
              <a:noFill/>
            </a:ln>
            <a:effectLst/>
          </c:spPr>
          <c:invertIfNegative val="0"/>
          <c:cat>
            <c:numRef>
              <c:f>'Report_Figure 7 Graph Data'!$A$12:$A$17</c:f>
              <c:numCache>
                <c:formatCode>General</c:formatCode>
                <c:ptCount val="6"/>
                <c:pt idx="0">
                  <c:v>2030</c:v>
                </c:pt>
                <c:pt idx="1">
                  <c:v>2031</c:v>
                </c:pt>
                <c:pt idx="2">
                  <c:v>2032</c:v>
                </c:pt>
                <c:pt idx="3">
                  <c:v>2033</c:v>
                </c:pt>
                <c:pt idx="4">
                  <c:v>2034</c:v>
                </c:pt>
                <c:pt idx="5">
                  <c:v>2035</c:v>
                </c:pt>
              </c:numCache>
            </c:numRef>
          </c:cat>
          <c:val>
            <c:numRef>
              <c:f>'Report_Figure 7 Graph Data'!$D$12:$D$17</c:f>
              <c:numCache>
                <c:formatCode>General</c:formatCode>
                <c:ptCount val="6"/>
                <c:pt idx="0">
                  <c:v>20</c:v>
                </c:pt>
                <c:pt idx="1">
                  <c:v>20</c:v>
                </c:pt>
                <c:pt idx="2">
                  <c:v>20</c:v>
                </c:pt>
                <c:pt idx="3">
                  <c:v>20</c:v>
                </c:pt>
                <c:pt idx="4">
                  <c:v>20</c:v>
                </c:pt>
                <c:pt idx="5">
                  <c:v>20</c:v>
                </c:pt>
              </c:numCache>
            </c:numRef>
          </c:val>
          <c:extLst>
            <c:ext xmlns:c16="http://schemas.microsoft.com/office/drawing/2014/chart" uri="{C3380CC4-5D6E-409C-BE32-E72D297353CC}">
              <c16:uniqueId val="{00000003-CCBE-4E61-BE31-1D3D4F95545A}"/>
            </c:ext>
          </c:extLst>
        </c:ser>
        <c:dLbls>
          <c:showLegendKey val="0"/>
          <c:showVal val="0"/>
          <c:showCatName val="0"/>
          <c:showSerName val="0"/>
          <c:showPercent val="0"/>
          <c:showBubbleSize val="0"/>
        </c:dLbls>
        <c:gapWidth val="150"/>
        <c:overlap val="100"/>
        <c:axId val="431421871"/>
        <c:axId val="1478796367"/>
      </c:barChart>
      <c:catAx>
        <c:axId val="431421871"/>
        <c:scaling>
          <c:orientation val="minMax"/>
        </c:scaling>
        <c:delete val="0"/>
        <c:axPos val="b"/>
        <c:title>
          <c:tx>
            <c:rich>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US" sz="1400" b="1"/>
                  <a:t>Online</a:t>
                </a:r>
                <a:r>
                  <a:rPr lang="en-US" sz="1400" b="1" baseline="0"/>
                  <a:t> Year</a:t>
                </a:r>
                <a:endParaRPr lang="en-US" sz="1400" b="1"/>
              </a:p>
            </c:rich>
          </c:tx>
          <c:layout>
            <c:manualLayout>
              <c:xMode val="edge"/>
              <c:yMode val="edge"/>
              <c:x val="0.48851114901464815"/>
              <c:y val="0.8883833611707627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1478796367"/>
        <c:crosses val="autoZero"/>
        <c:auto val="1"/>
        <c:lblAlgn val="ctr"/>
        <c:lblOffset val="100"/>
        <c:noMultiLvlLbl val="0"/>
      </c:catAx>
      <c:valAx>
        <c:axId val="14787963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US" sz="1400" b="1"/>
                  <a:t>MW</a:t>
                </a:r>
              </a:p>
            </c:rich>
          </c:tx>
          <c:layout>
            <c:manualLayout>
              <c:xMode val="edge"/>
              <c:yMode val="edge"/>
              <c:x val="2.1895384541356276E-2"/>
              <c:y val="0.40240706275351945"/>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4314218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046471994570071E-2"/>
          <c:y val="9.7751796176993033E-2"/>
          <c:w val="0.90161695723098623"/>
          <c:h val="0.66705208250483838"/>
        </c:manualLayout>
      </c:layout>
      <c:lineChart>
        <c:grouping val="standard"/>
        <c:varyColors val="0"/>
        <c:ser>
          <c:idx val="0"/>
          <c:order val="0"/>
          <c:tx>
            <c:v> Nationwide</c:v>
          </c:tx>
          <c:spPr>
            <a:ln>
              <a:solidFill>
                <a:schemeClr val="accent1"/>
              </a:solidFill>
              <a:prstDash val="sysDash"/>
            </a:ln>
          </c:spPr>
          <c:marker>
            <c:symbol val="circle"/>
            <c:size val="7"/>
            <c:spPr>
              <a:solidFill>
                <a:schemeClr val="bg1"/>
              </a:solidFill>
              <a:ln>
                <a:solidFill>
                  <a:schemeClr val="accent1"/>
                </a:solidFill>
              </a:ln>
            </c:spPr>
          </c:marker>
          <c:cat>
            <c:multiLvlStrRef>
              <c:f>'LCOE vs. PPA Price'!$A$30:$C$43</c:f>
              <c:multiLvlStrCache>
                <c:ptCount val="14"/>
                <c:lvl>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lvl>
                <c:lvl>
                  <c:pt idx="0">
                    <c:v>10</c:v>
                  </c:pt>
                  <c:pt idx="1">
                    <c:v>28</c:v>
                  </c:pt>
                  <c:pt idx="2">
                    <c:v>39</c:v>
                  </c:pt>
                  <c:pt idx="3">
                    <c:v>38</c:v>
                  </c:pt>
                  <c:pt idx="4">
                    <c:v>63</c:v>
                  </c:pt>
                  <c:pt idx="5">
                    <c:v>85</c:v>
                  </c:pt>
                  <c:pt idx="6">
                    <c:v>145</c:v>
                  </c:pt>
                  <c:pt idx="7">
                    <c:v>160</c:v>
                  </c:pt>
                  <c:pt idx="8">
                    <c:v>93</c:v>
                  </c:pt>
                  <c:pt idx="9">
                    <c:v>99</c:v>
                  </c:pt>
                  <c:pt idx="10">
                    <c:v>159</c:v>
                  </c:pt>
                  <c:pt idx="11">
                    <c:v>123</c:v>
                  </c:pt>
                  <c:pt idx="12">
                    <c:v>59</c:v>
                  </c:pt>
                  <c:pt idx="13">
                    <c:v>TBD</c:v>
                  </c:pt>
                </c:lvl>
                <c:lvl>
                  <c:pt idx="0">
                    <c:v>175</c:v>
                  </c:pt>
                  <c:pt idx="1">
                    <c:v>423</c:v>
                  </c:pt>
                  <c:pt idx="2">
                    <c:v>894</c:v>
                  </c:pt>
                  <c:pt idx="3">
                    <c:v>1,344</c:v>
                  </c:pt>
                  <c:pt idx="4">
                    <c:v>3,166</c:v>
                  </c:pt>
                  <c:pt idx="5">
                    <c:v>2,840</c:v>
                  </c:pt>
                  <c:pt idx="6">
                    <c:v>7,377</c:v>
                  </c:pt>
                  <c:pt idx="7">
                    <c:v>3,996</c:v>
                  </c:pt>
                  <c:pt idx="8">
                    <c:v>3,929</c:v>
                  </c:pt>
                  <c:pt idx="9">
                    <c:v>4,401</c:v>
                  </c:pt>
                  <c:pt idx="10">
                    <c:v>9,481</c:v>
                  </c:pt>
                  <c:pt idx="11">
                    <c:v>11,203</c:v>
                  </c:pt>
                  <c:pt idx="12">
                    <c:v>4,622</c:v>
                  </c:pt>
                  <c:pt idx="13">
                    <c:v>TBD</c:v>
                  </c:pt>
                </c:lvl>
              </c:multiLvlStrCache>
            </c:multiLvlStrRef>
          </c:cat>
          <c:val>
            <c:numRef>
              <c:f>'LCOE vs. PPA Price'!$E$30:$E$43</c:f>
              <c:numCache>
                <c:formatCode>0.00</c:formatCode>
                <c:ptCount val="14"/>
                <c:pt idx="0">
                  <c:v>254.7717783991688</c:v>
                </c:pt>
                <c:pt idx="1">
                  <c:v>233.2635281065194</c:v>
                </c:pt>
                <c:pt idx="2">
                  <c:v>172.7456797911893</c:v>
                </c:pt>
                <c:pt idx="3">
                  <c:v>161.04270391292886</c:v>
                </c:pt>
                <c:pt idx="4">
                  <c:v>147.40045785497804</c:v>
                </c:pt>
                <c:pt idx="5">
                  <c:v>111.78021483972056</c:v>
                </c:pt>
                <c:pt idx="6">
                  <c:v>86.009370792434325</c:v>
                </c:pt>
                <c:pt idx="7">
                  <c:v>82.515740509985676</c:v>
                </c:pt>
                <c:pt idx="8">
                  <c:v>65.772088794954414</c:v>
                </c:pt>
                <c:pt idx="9">
                  <c:v>56.907919203698718</c:v>
                </c:pt>
                <c:pt idx="10">
                  <c:v>49.459164506710906</c:v>
                </c:pt>
                <c:pt idx="11">
                  <c:v>42.338787810421387</c:v>
                </c:pt>
                <c:pt idx="12">
                  <c:v>39.390566436764765</c:v>
                </c:pt>
              </c:numCache>
            </c:numRef>
          </c:val>
          <c:smooth val="0"/>
          <c:extLst>
            <c:ext xmlns:c16="http://schemas.microsoft.com/office/drawing/2014/chart" uri="{C3380CC4-5D6E-409C-BE32-E72D297353CC}">
              <c16:uniqueId val="{00000000-80BB-440E-99E1-E0DFD6797385}"/>
            </c:ext>
          </c:extLst>
        </c:ser>
        <c:ser>
          <c:idx val="1"/>
          <c:order val="1"/>
          <c:spPr>
            <a:ln>
              <a:solidFill>
                <a:schemeClr val="accent1"/>
              </a:solidFill>
            </a:ln>
          </c:spPr>
          <c:marker>
            <c:symbol val="circle"/>
            <c:size val="7"/>
            <c:spPr>
              <a:solidFill>
                <a:schemeClr val="bg1"/>
              </a:solidFill>
              <a:ln>
                <a:solidFill>
                  <a:schemeClr val="accent1"/>
                </a:solidFill>
              </a:ln>
            </c:spPr>
          </c:marker>
          <c:cat>
            <c:multiLvlStrRef>
              <c:f>'LCOE vs. PPA Price'!$A$30:$C$43</c:f>
              <c:multiLvlStrCache>
                <c:ptCount val="14"/>
                <c:lvl>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lvl>
                <c:lvl>
                  <c:pt idx="0">
                    <c:v>10</c:v>
                  </c:pt>
                  <c:pt idx="1">
                    <c:v>28</c:v>
                  </c:pt>
                  <c:pt idx="2">
                    <c:v>39</c:v>
                  </c:pt>
                  <c:pt idx="3">
                    <c:v>38</c:v>
                  </c:pt>
                  <c:pt idx="4">
                    <c:v>63</c:v>
                  </c:pt>
                  <c:pt idx="5">
                    <c:v>85</c:v>
                  </c:pt>
                  <c:pt idx="6">
                    <c:v>145</c:v>
                  </c:pt>
                  <c:pt idx="7">
                    <c:v>160</c:v>
                  </c:pt>
                  <c:pt idx="8">
                    <c:v>93</c:v>
                  </c:pt>
                  <c:pt idx="9">
                    <c:v>99</c:v>
                  </c:pt>
                  <c:pt idx="10">
                    <c:v>159</c:v>
                  </c:pt>
                  <c:pt idx="11">
                    <c:v>123</c:v>
                  </c:pt>
                  <c:pt idx="12">
                    <c:v>59</c:v>
                  </c:pt>
                  <c:pt idx="13">
                    <c:v>TBD</c:v>
                  </c:pt>
                </c:lvl>
                <c:lvl>
                  <c:pt idx="0">
                    <c:v>175</c:v>
                  </c:pt>
                  <c:pt idx="1">
                    <c:v>423</c:v>
                  </c:pt>
                  <c:pt idx="2">
                    <c:v>894</c:v>
                  </c:pt>
                  <c:pt idx="3">
                    <c:v>1,344</c:v>
                  </c:pt>
                  <c:pt idx="4">
                    <c:v>3,166</c:v>
                  </c:pt>
                  <c:pt idx="5">
                    <c:v>2,840</c:v>
                  </c:pt>
                  <c:pt idx="6">
                    <c:v>7,377</c:v>
                  </c:pt>
                  <c:pt idx="7">
                    <c:v>3,996</c:v>
                  </c:pt>
                  <c:pt idx="8">
                    <c:v>3,929</c:v>
                  </c:pt>
                  <c:pt idx="9">
                    <c:v>4,401</c:v>
                  </c:pt>
                  <c:pt idx="10">
                    <c:v>9,481</c:v>
                  </c:pt>
                  <c:pt idx="11">
                    <c:v>11,203</c:v>
                  </c:pt>
                  <c:pt idx="12">
                    <c:v>4,622</c:v>
                  </c:pt>
                  <c:pt idx="13">
                    <c:v>TBD</c:v>
                  </c:pt>
                </c:lvl>
              </c:multiLvlStrCache>
            </c:multiLvlStrRef>
          </c:cat>
          <c:val>
            <c:numRef>
              <c:f>'LCOE vs. PPA Price'!$H$30:$H$43</c:f>
              <c:numCache>
                <c:formatCode>0.00</c:formatCode>
                <c:ptCount val="14"/>
                <c:pt idx="0">
                  <c:v>169.29333049213628</c:v>
                </c:pt>
                <c:pt idx="1">
                  <c:v>155.5877222412991</c:v>
                </c:pt>
                <c:pt idx="2">
                  <c:v>116.55212111520439</c:v>
                </c:pt>
                <c:pt idx="3">
                  <c:v>108.09866225535767</c:v>
                </c:pt>
                <c:pt idx="4">
                  <c:v>99.079520709508046</c:v>
                </c:pt>
                <c:pt idx="5">
                  <c:v>76.398406643036111</c:v>
                </c:pt>
                <c:pt idx="6">
                  <c:v>59.637070853445735</c:v>
                </c:pt>
                <c:pt idx="7">
                  <c:v>57.570016796264333</c:v>
                </c:pt>
                <c:pt idx="8">
                  <c:v>48.364555458248972</c:v>
                </c:pt>
                <c:pt idx="9">
                  <c:v>41.887683169363797</c:v>
                </c:pt>
                <c:pt idx="10">
                  <c:v>36.500465422921401</c:v>
                </c:pt>
                <c:pt idx="11">
                  <c:v>31.3574703403279</c:v>
                </c:pt>
                <c:pt idx="12">
                  <c:v>29.342271684241137</c:v>
                </c:pt>
              </c:numCache>
            </c:numRef>
          </c:val>
          <c:smooth val="0"/>
          <c:extLst>
            <c:ext xmlns:c16="http://schemas.microsoft.com/office/drawing/2014/chart" uri="{C3380CC4-5D6E-409C-BE32-E72D297353CC}">
              <c16:uniqueId val="{00000001-80BB-440E-99E1-E0DFD6797385}"/>
            </c:ext>
          </c:extLst>
        </c:ser>
        <c:ser>
          <c:idx val="2"/>
          <c:order val="2"/>
          <c:spPr>
            <a:ln w="19050">
              <a:solidFill>
                <a:schemeClr val="accent2"/>
              </a:solidFill>
            </a:ln>
          </c:spPr>
          <c:marker>
            <c:symbol val="none"/>
          </c:marker>
          <c:cat>
            <c:multiLvlStrRef>
              <c:f>'LCOE vs. PPA Price'!$A$30:$C$43</c:f>
              <c:multiLvlStrCache>
                <c:ptCount val="14"/>
                <c:lvl>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lvl>
                <c:lvl>
                  <c:pt idx="0">
                    <c:v>10</c:v>
                  </c:pt>
                  <c:pt idx="1">
                    <c:v>28</c:v>
                  </c:pt>
                  <c:pt idx="2">
                    <c:v>39</c:v>
                  </c:pt>
                  <c:pt idx="3">
                    <c:v>38</c:v>
                  </c:pt>
                  <c:pt idx="4">
                    <c:v>63</c:v>
                  </c:pt>
                  <c:pt idx="5">
                    <c:v>85</c:v>
                  </c:pt>
                  <c:pt idx="6">
                    <c:v>145</c:v>
                  </c:pt>
                  <c:pt idx="7">
                    <c:v>160</c:v>
                  </c:pt>
                  <c:pt idx="8">
                    <c:v>93</c:v>
                  </c:pt>
                  <c:pt idx="9">
                    <c:v>99</c:v>
                  </c:pt>
                  <c:pt idx="10">
                    <c:v>159</c:v>
                  </c:pt>
                  <c:pt idx="11">
                    <c:v>123</c:v>
                  </c:pt>
                  <c:pt idx="12">
                    <c:v>59</c:v>
                  </c:pt>
                  <c:pt idx="13">
                    <c:v>TBD</c:v>
                  </c:pt>
                </c:lvl>
                <c:lvl>
                  <c:pt idx="0">
                    <c:v>175</c:v>
                  </c:pt>
                  <c:pt idx="1">
                    <c:v>423</c:v>
                  </c:pt>
                  <c:pt idx="2">
                    <c:v>894</c:v>
                  </c:pt>
                  <c:pt idx="3">
                    <c:v>1,344</c:v>
                  </c:pt>
                  <c:pt idx="4">
                    <c:v>3,166</c:v>
                  </c:pt>
                  <c:pt idx="5">
                    <c:v>2,840</c:v>
                  </c:pt>
                  <c:pt idx="6">
                    <c:v>7,377</c:v>
                  </c:pt>
                  <c:pt idx="7">
                    <c:v>3,996</c:v>
                  </c:pt>
                  <c:pt idx="8">
                    <c:v>3,929</c:v>
                  </c:pt>
                  <c:pt idx="9">
                    <c:v>4,401</c:v>
                  </c:pt>
                  <c:pt idx="10">
                    <c:v>9,481</c:v>
                  </c:pt>
                  <c:pt idx="11">
                    <c:v>11,203</c:v>
                  </c:pt>
                  <c:pt idx="12">
                    <c:v>4,622</c:v>
                  </c:pt>
                  <c:pt idx="13">
                    <c:v>TBD</c:v>
                  </c:pt>
                </c:lvl>
              </c:multiLvlStrCache>
            </c:multiLvlStrRef>
          </c:cat>
          <c:val>
            <c:numRef>
              <c:f>'LCOE vs. PPA Price'!$L$30:$L$43</c:f>
              <c:numCache>
                <c:formatCode>0.00</c:formatCode>
                <c:ptCount val="14"/>
                <c:pt idx="0">
                  <c:v>184.71406038238223</c:v>
                </c:pt>
                <c:pt idx="1">
                  <c:v>198.78453959186777</c:v>
                </c:pt>
                <c:pt idx="2">
                  <c:v>151.03216775644077</c:v>
                </c:pt>
                <c:pt idx="3">
                  <c:v>137.80335838261453</c:v>
                </c:pt>
                <c:pt idx="4">
                  <c:v>140.16872317958794</c:v>
                </c:pt>
                <c:pt idx="5">
                  <c:v>103.05443711502049</c:v>
                </c:pt>
                <c:pt idx="6">
                  <c:v>63.869659601342008</c:v>
                </c:pt>
                <c:pt idx="7">
                  <c:v>52.554135887103847</c:v>
                </c:pt>
                <c:pt idx="8">
                  <c:v>49.499462648186622</c:v>
                </c:pt>
                <c:pt idx="9">
                  <c:v>39.084634025075438</c:v>
                </c:pt>
                <c:pt idx="10">
                  <c:v>30.490437098217651</c:v>
                </c:pt>
                <c:pt idx="11">
                  <c:v>24.916367460106905</c:v>
                </c:pt>
                <c:pt idx="12">
                  <c:v>22.265237003089563</c:v>
                </c:pt>
                <c:pt idx="13">
                  <c:v>22.665356066842012</c:v>
                </c:pt>
              </c:numCache>
            </c:numRef>
          </c:val>
          <c:smooth val="0"/>
          <c:extLst>
            <c:ext xmlns:c16="http://schemas.microsoft.com/office/drawing/2014/chart" uri="{C3380CC4-5D6E-409C-BE32-E72D297353CC}">
              <c16:uniqueId val="{00000002-80BB-440E-99E1-E0DFD6797385}"/>
            </c:ext>
          </c:extLst>
        </c:ser>
        <c:dLbls>
          <c:showLegendKey val="0"/>
          <c:showVal val="0"/>
          <c:showCatName val="0"/>
          <c:showSerName val="0"/>
          <c:showPercent val="0"/>
          <c:showBubbleSize val="0"/>
        </c:dLbls>
        <c:marker val="1"/>
        <c:smooth val="0"/>
        <c:axId val="556871000"/>
        <c:axId val="556863944"/>
      </c:lineChart>
      <c:catAx>
        <c:axId val="556871000"/>
        <c:scaling>
          <c:orientation val="minMax"/>
        </c:scaling>
        <c:delete val="0"/>
        <c:axPos val="b"/>
        <c:numFmt formatCode="General" sourceLinked="1"/>
        <c:majorTickMark val="out"/>
        <c:minorTickMark val="none"/>
        <c:tickLblPos val="nextTo"/>
        <c:spPr>
          <a:ln w="3175">
            <a:noFill/>
            <a:prstDash val="solid"/>
          </a:ln>
        </c:spPr>
        <c:txPr>
          <a:bodyPr rot="0" vert="horz"/>
          <a:lstStyle/>
          <a:p>
            <a:pPr>
              <a:defRPr b="1"/>
            </a:pPr>
            <a:endParaRPr lang="en-US"/>
          </a:p>
        </c:txPr>
        <c:crossAx val="556863944"/>
        <c:crosses val="autoZero"/>
        <c:auto val="1"/>
        <c:lblAlgn val="ctr"/>
        <c:lblOffset val="50"/>
        <c:noMultiLvlLbl val="1"/>
      </c:catAx>
      <c:valAx>
        <c:axId val="556863944"/>
        <c:scaling>
          <c:orientation val="minMax"/>
          <c:min val="0"/>
        </c:scaling>
        <c:delete val="0"/>
        <c:axPos val="l"/>
        <c:majorGridlines>
          <c:spPr>
            <a:ln w="3175">
              <a:solidFill>
                <a:schemeClr val="bg1">
                  <a:lumMod val="75000"/>
                </a:schemeClr>
              </a:solidFill>
            </a:ln>
          </c:spPr>
        </c:majorGridlines>
        <c:numFmt formatCode="#,##0" sourceLinked="0"/>
        <c:majorTickMark val="out"/>
        <c:minorTickMark val="none"/>
        <c:tickLblPos val="nextTo"/>
        <c:spPr>
          <a:noFill/>
          <a:ln w="3175">
            <a:noFill/>
            <a:prstDash val="solid"/>
          </a:ln>
        </c:spPr>
        <c:txPr>
          <a:bodyPr rot="0" vert="horz"/>
          <a:lstStyle/>
          <a:p>
            <a:pPr>
              <a:defRPr b="1"/>
            </a:pPr>
            <a:endParaRPr lang="en-US"/>
          </a:p>
        </c:txPr>
        <c:crossAx val="556871000"/>
        <c:crosses val="autoZero"/>
        <c:crossBetween val="between"/>
        <c:majorUnit val="40"/>
      </c:valAx>
      <c:spPr>
        <a:noFill/>
        <a:ln w="25400">
          <a:noFill/>
        </a:ln>
      </c:spPr>
    </c:plotArea>
    <c:plotVisOnly val="1"/>
    <c:dispBlanksAs val="gap"/>
    <c:showDLblsOverMax val="0"/>
  </c:chart>
  <c:spPr>
    <a:solidFill>
      <a:schemeClr val="bg1"/>
    </a:solidFill>
    <a:ln w="9525">
      <a:noFill/>
    </a:ln>
  </c:spPr>
  <c:txPr>
    <a:bodyPr/>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printSettings>
    <c:headerFooter alignWithMargins="0"/>
    <c:pageMargins b="1" l="0.75" r="0.75" t="1" header="0.5" footer="0.5"/>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04147114186484E-2"/>
          <c:y val="8.9334287759484612E-2"/>
          <c:w val="0.90162186166123159"/>
          <c:h val="0.67546959092234682"/>
        </c:manualLayout>
      </c:layout>
      <c:lineChart>
        <c:grouping val="standard"/>
        <c:varyColors val="0"/>
        <c:ser>
          <c:idx val="0"/>
          <c:order val="0"/>
          <c:tx>
            <c:v> Nationwide</c:v>
          </c:tx>
          <c:spPr>
            <a:ln>
              <a:solidFill>
                <a:schemeClr val="accent1"/>
              </a:solidFill>
              <a:prstDash val="sysDash"/>
            </a:ln>
          </c:spPr>
          <c:marker>
            <c:symbol val="circle"/>
            <c:size val="7"/>
            <c:spPr>
              <a:solidFill>
                <a:schemeClr val="bg1"/>
              </a:solidFill>
              <a:ln>
                <a:solidFill>
                  <a:schemeClr val="accent1"/>
                </a:solidFill>
              </a:ln>
            </c:spPr>
          </c:marker>
          <c:cat>
            <c:multiLvlStrRef>
              <c:f>'LCOE vs. PPA Price'!$A$30:$C$43</c:f>
              <c:multiLvlStrCache>
                <c:ptCount val="14"/>
                <c:lvl>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lvl>
                <c:lvl>
                  <c:pt idx="0">
                    <c:v>10</c:v>
                  </c:pt>
                  <c:pt idx="1">
                    <c:v>28</c:v>
                  </c:pt>
                  <c:pt idx="2">
                    <c:v>39</c:v>
                  </c:pt>
                  <c:pt idx="3">
                    <c:v>38</c:v>
                  </c:pt>
                  <c:pt idx="4">
                    <c:v>63</c:v>
                  </c:pt>
                  <c:pt idx="5">
                    <c:v>85</c:v>
                  </c:pt>
                  <c:pt idx="6">
                    <c:v>145</c:v>
                  </c:pt>
                  <c:pt idx="7">
                    <c:v>160</c:v>
                  </c:pt>
                  <c:pt idx="8">
                    <c:v>93</c:v>
                  </c:pt>
                  <c:pt idx="9">
                    <c:v>99</c:v>
                  </c:pt>
                  <c:pt idx="10">
                    <c:v>159</c:v>
                  </c:pt>
                  <c:pt idx="11">
                    <c:v>123</c:v>
                  </c:pt>
                  <c:pt idx="12">
                    <c:v>59</c:v>
                  </c:pt>
                  <c:pt idx="13">
                    <c:v>TBD</c:v>
                  </c:pt>
                </c:lvl>
                <c:lvl>
                  <c:pt idx="0">
                    <c:v>175</c:v>
                  </c:pt>
                  <c:pt idx="1">
                    <c:v>423</c:v>
                  </c:pt>
                  <c:pt idx="2">
                    <c:v>894</c:v>
                  </c:pt>
                  <c:pt idx="3">
                    <c:v>1,344</c:v>
                  </c:pt>
                  <c:pt idx="4">
                    <c:v>3,166</c:v>
                  </c:pt>
                  <c:pt idx="5">
                    <c:v>2,840</c:v>
                  </c:pt>
                  <c:pt idx="6">
                    <c:v>7,377</c:v>
                  </c:pt>
                  <c:pt idx="7">
                    <c:v>3,996</c:v>
                  </c:pt>
                  <c:pt idx="8">
                    <c:v>3,929</c:v>
                  </c:pt>
                  <c:pt idx="9">
                    <c:v>4,401</c:v>
                  </c:pt>
                  <c:pt idx="10">
                    <c:v>9,481</c:v>
                  </c:pt>
                  <c:pt idx="11">
                    <c:v>11,203</c:v>
                  </c:pt>
                  <c:pt idx="12">
                    <c:v>4,622</c:v>
                  </c:pt>
                  <c:pt idx="13">
                    <c:v>TBD</c:v>
                  </c:pt>
                </c:lvl>
              </c:multiLvlStrCache>
            </c:multiLvlStrRef>
          </c:cat>
          <c:val>
            <c:numRef>
              <c:f>'LCOE vs. PPA Price'!$F$30:$F$43</c:f>
              <c:numCache>
                <c:formatCode>0.00</c:formatCode>
                <c:ptCount val="14"/>
                <c:pt idx="0">
                  <c:v>243.28343398120433</c:v>
                </c:pt>
                <c:pt idx="1">
                  <c:v>225.77540211411443</c:v>
                </c:pt>
                <c:pt idx="2">
                  <c:v>164.43366773382471</c:v>
                </c:pt>
                <c:pt idx="3">
                  <c:v>151.71784466209979</c:v>
                </c:pt>
                <c:pt idx="4">
                  <c:v>145.26002114214927</c:v>
                </c:pt>
                <c:pt idx="5">
                  <c:v>109.34406258792184</c:v>
                </c:pt>
                <c:pt idx="6">
                  <c:v>82.484646983776912</c:v>
                </c:pt>
                <c:pt idx="7">
                  <c:v>80.418651057823823</c:v>
                </c:pt>
                <c:pt idx="8">
                  <c:v>65.142027344016086</c:v>
                </c:pt>
                <c:pt idx="9">
                  <c:v>55.642154005232797</c:v>
                </c:pt>
                <c:pt idx="10">
                  <c:v>47.845113058159967</c:v>
                </c:pt>
                <c:pt idx="11">
                  <c:v>41.311348628667623</c:v>
                </c:pt>
                <c:pt idx="12">
                  <c:v>38.788120950915207</c:v>
                </c:pt>
              </c:numCache>
            </c:numRef>
          </c:val>
          <c:smooth val="0"/>
          <c:extLst>
            <c:ext xmlns:c16="http://schemas.microsoft.com/office/drawing/2014/chart" uri="{C3380CC4-5D6E-409C-BE32-E72D297353CC}">
              <c16:uniqueId val="{00000000-8C4B-492B-BE84-73D99EB1F2D2}"/>
            </c:ext>
          </c:extLst>
        </c:ser>
        <c:ser>
          <c:idx val="1"/>
          <c:order val="1"/>
          <c:spPr>
            <a:ln>
              <a:solidFill>
                <a:schemeClr val="accent1"/>
              </a:solidFill>
            </a:ln>
          </c:spPr>
          <c:marker>
            <c:symbol val="circle"/>
            <c:size val="7"/>
            <c:spPr>
              <a:solidFill>
                <a:schemeClr val="bg1"/>
              </a:solidFill>
              <a:ln>
                <a:solidFill>
                  <a:schemeClr val="accent1"/>
                </a:solidFill>
              </a:ln>
            </c:spPr>
          </c:marker>
          <c:cat>
            <c:multiLvlStrRef>
              <c:f>'LCOE vs. PPA Price'!$A$30:$C$43</c:f>
              <c:multiLvlStrCache>
                <c:ptCount val="14"/>
                <c:lvl>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lvl>
                <c:lvl>
                  <c:pt idx="0">
                    <c:v>10</c:v>
                  </c:pt>
                  <c:pt idx="1">
                    <c:v>28</c:v>
                  </c:pt>
                  <c:pt idx="2">
                    <c:v>39</c:v>
                  </c:pt>
                  <c:pt idx="3">
                    <c:v>38</c:v>
                  </c:pt>
                  <c:pt idx="4">
                    <c:v>63</c:v>
                  </c:pt>
                  <c:pt idx="5">
                    <c:v>85</c:v>
                  </c:pt>
                  <c:pt idx="6">
                    <c:v>145</c:v>
                  </c:pt>
                  <c:pt idx="7">
                    <c:v>160</c:v>
                  </c:pt>
                  <c:pt idx="8">
                    <c:v>93</c:v>
                  </c:pt>
                  <c:pt idx="9">
                    <c:v>99</c:v>
                  </c:pt>
                  <c:pt idx="10">
                    <c:v>159</c:v>
                  </c:pt>
                  <c:pt idx="11">
                    <c:v>123</c:v>
                  </c:pt>
                  <c:pt idx="12">
                    <c:v>59</c:v>
                  </c:pt>
                  <c:pt idx="13">
                    <c:v>TBD</c:v>
                  </c:pt>
                </c:lvl>
                <c:lvl>
                  <c:pt idx="0">
                    <c:v>175</c:v>
                  </c:pt>
                  <c:pt idx="1">
                    <c:v>423</c:v>
                  </c:pt>
                  <c:pt idx="2">
                    <c:v>894</c:v>
                  </c:pt>
                  <c:pt idx="3">
                    <c:v>1,344</c:v>
                  </c:pt>
                  <c:pt idx="4">
                    <c:v>3,166</c:v>
                  </c:pt>
                  <c:pt idx="5">
                    <c:v>2,840</c:v>
                  </c:pt>
                  <c:pt idx="6">
                    <c:v>7,377</c:v>
                  </c:pt>
                  <c:pt idx="7">
                    <c:v>3,996</c:v>
                  </c:pt>
                  <c:pt idx="8">
                    <c:v>3,929</c:v>
                  </c:pt>
                  <c:pt idx="9">
                    <c:v>4,401</c:v>
                  </c:pt>
                  <c:pt idx="10">
                    <c:v>9,481</c:v>
                  </c:pt>
                  <c:pt idx="11">
                    <c:v>11,203</c:v>
                  </c:pt>
                  <c:pt idx="12">
                    <c:v>4,622</c:v>
                  </c:pt>
                  <c:pt idx="13">
                    <c:v>TBD</c:v>
                  </c:pt>
                </c:lvl>
              </c:multiLvlStrCache>
            </c:multiLvlStrRef>
          </c:cat>
          <c:val>
            <c:numRef>
              <c:f>'LCOE vs. PPA Price'!$I$30:$I$43</c:f>
              <c:numCache>
                <c:formatCode>0.00</c:formatCode>
                <c:ptCount val="14"/>
                <c:pt idx="0">
                  <c:v>161.84262831496289</c:v>
                </c:pt>
                <c:pt idx="1">
                  <c:v>150.60753032819525</c:v>
                </c:pt>
                <c:pt idx="2">
                  <c:v>111.07482805022744</c:v>
                </c:pt>
                <c:pt idx="3">
                  <c:v>101.84733287128211</c:v>
                </c:pt>
                <c:pt idx="4">
                  <c:v>97.576511482957102</c:v>
                </c:pt>
                <c:pt idx="5">
                  <c:v>74.586874837648637</c:v>
                </c:pt>
                <c:pt idx="6">
                  <c:v>57.217295213721734</c:v>
                </c:pt>
                <c:pt idx="7">
                  <c:v>56.084627213855327</c:v>
                </c:pt>
                <c:pt idx="8">
                  <c:v>47.835330975814308</c:v>
                </c:pt>
                <c:pt idx="9">
                  <c:v>40.956032522248854</c:v>
                </c:pt>
                <c:pt idx="10">
                  <c:v>35.327288800741456</c:v>
                </c:pt>
                <c:pt idx="11">
                  <c:v>30.584070897078615</c:v>
                </c:pt>
                <c:pt idx="12">
                  <c:v>28.922258362656692</c:v>
                </c:pt>
              </c:numCache>
            </c:numRef>
          </c:val>
          <c:smooth val="0"/>
          <c:extLst>
            <c:ext xmlns:c16="http://schemas.microsoft.com/office/drawing/2014/chart" uri="{C3380CC4-5D6E-409C-BE32-E72D297353CC}">
              <c16:uniqueId val="{00000001-8C4B-492B-BE84-73D99EB1F2D2}"/>
            </c:ext>
          </c:extLst>
        </c:ser>
        <c:ser>
          <c:idx val="2"/>
          <c:order val="2"/>
          <c:spPr>
            <a:ln w="19050">
              <a:solidFill>
                <a:schemeClr val="accent2"/>
              </a:solidFill>
            </a:ln>
          </c:spPr>
          <c:marker>
            <c:symbol val="none"/>
          </c:marker>
          <c:cat>
            <c:multiLvlStrRef>
              <c:f>'LCOE vs. PPA Price'!$A$30:$C$43</c:f>
              <c:multiLvlStrCache>
                <c:ptCount val="14"/>
                <c:lvl>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lvl>
                <c:lvl>
                  <c:pt idx="0">
                    <c:v>10</c:v>
                  </c:pt>
                  <c:pt idx="1">
                    <c:v>28</c:v>
                  </c:pt>
                  <c:pt idx="2">
                    <c:v>39</c:v>
                  </c:pt>
                  <c:pt idx="3">
                    <c:v>38</c:v>
                  </c:pt>
                  <c:pt idx="4">
                    <c:v>63</c:v>
                  </c:pt>
                  <c:pt idx="5">
                    <c:v>85</c:v>
                  </c:pt>
                  <c:pt idx="6">
                    <c:v>145</c:v>
                  </c:pt>
                  <c:pt idx="7">
                    <c:v>160</c:v>
                  </c:pt>
                  <c:pt idx="8">
                    <c:v>93</c:v>
                  </c:pt>
                  <c:pt idx="9">
                    <c:v>99</c:v>
                  </c:pt>
                  <c:pt idx="10">
                    <c:v>159</c:v>
                  </c:pt>
                  <c:pt idx="11">
                    <c:v>123</c:v>
                  </c:pt>
                  <c:pt idx="12">
                    <c:v>59</c:v>
                  </c:pt>
                  <c:pt idx="13">
                    <c:v>TBD</c:v>
                  </c:pt>
                </c:lvl>
                <c:lvl>
                  <c:pt idx="0">
                    <c:v>175</c:v>
                  </c:pt>
                  <c:pt idx="1">
                    <c:v>423</c:v>
                  </c:pt>
                  <c:pt idx="2">
                    <c:v>894</c:v>
                  </c:pt>
                  <c:pt idx="3">
                    <c:v>1,344</c:v>
                  </c:pt>
                  <c:pt idx="4">
                    <c:v>3,166</c:v>
                  </c:pt>
                  <c:pt idx="5">
                    <c:v>2,840</c:v>
                  </c:pt>
                  <c:pt idx="6">
                    <c:v>7,377</c:v>
                  </c:pt>
                  <c:pt idx="7">
                    <c:v>3,996</c:v>
                  </c:pt>
                  <c:pt idx="8">
                    <c:v>3,929</c:v>
                  </c:pt>
                  <c:pt idx="9">
                    <c:v>4,401</c:v>
                  </c:pt>
                  <c:pt idx="10">
                    <c:v>9,481</c:v>
                  </c:pt>
                  <c:pt idx="11">
                    <c:v>11,203</c:v>
                  </c:pt>
                  <c:pt idx="12">
                    <c:v>4,622</c:v>
                  </c:pt>
                  <c:pt idx="13">
                    <c:v>TBD</c:v>
                  </c:pt>
                </c:lvl>
              </c:multiLvlStrCache>
            </c:multiLvlStrRef>
          </c:cat>
          <c:val>
            <c:numRef>
              <c:f>'LCOE vs. PPA Price'!$M$30:$M$43</c:f>
              <c:numCache>
                <c:formatCode>0.00</c:formatCode>
                <c:ptCount val="14"/>
                <c:pt idx="0">
                  <c:v>180.80023941412725</c:v>
                </c:pt>
                <c:pt idx="1">
                  <c:v>191.30393858826443</c:v>
                </c:pt>
                <c:pt idx="2">
                  <c:v>149.15506987612935</c:v>
                </c:pt>
                <c:pt idx="3">
                  <c:v>138.2845240246105</c:v>
                </c:pt>
                <c:pt idx="4">
                  <c:v>139.42253274593</c:v>
                </c:pt>
                <c:pt idx="5">
                  <c:v>103.51630658867613</c:v>
                </c:pt>
                <c:pt idx="6">
                  <c:v>63.905874244234447</c:v>
                </c:pt>
                <c:pt idx="7">
                  <c:v>51.967378188958854</c:v>
                </c:pt>
                <c:pt idx="8">
                  <c:v>47.778352254963423</c:v>
                </c:pt>
                <c:pt idx="9">
                  <c:v>38.091212947421269</c:v>
                </c:pt>
                <c:pt idx="10">
                  <c:v>30.137826594710759</c:v>
                </c:pt>
                <c:pt idx="11">
                  <c:v>24.409140381687173</c:v>
                </c:pt>
                <c:pt idx="12">
                  <c:v>21.657558570126536</c:v>
                </c:pt>
                <c:pt idx="13">
                  <c:v>21.645372240411675</c:v>
                </c:pt>
              </c:numCache>
            </c:numRef>
          </c:val>
          <c:smooth val="0"/>
          <c:extLst>
            <c:ext xmlns:c16="http://schemas.microsoft.com/office/drawing/2014/chart" uri="{C3380CC4-5D6E-409C-BE32-E72D297353CC}">
              <c16:uniqueId val="{00000002-8C4B-492B-BE84-73D99EB1F2D2}"/>
            </c:ext>
          </c:extLst>
        </c:ser>
        <c:dLbls>
          <c:showLegendKey val="0"/>
          <c:showVal val="0"/>
          <c:showCatName val="0"/>
          <c:showSerName val="0"/>
          <c:showPercent val="0"/>
          <c:showBubbleSize val="0"/>
        </c:dLbls>
        <c:marker val="1"/>
        <c:smooth val="0"/>
        <c:axId val="556871392"/>
        <c:axId val="556872568"/>
      </c:lineChart>
      <c:catAx>
        <c:axId val="556871392"/>
        <c:scaling>
          <c:orientation val="minMax"/>
        </c:scaling>
        <c:delete val="0"/>
        <c:axPos val="b"/>
        <c:numFmt formatCode="General" sourceLinked="1"/>
        <c:majorTickMark val="out"/>
        <c:minorTickMark val="none"/>
        <c:tickLblPos val="nextTo"/>
        <c:spPr>
          <a:ln w="3175">
            <a:noFill/>
            <a:prstDash val="solid"/>
          </a:ln>
        </c:spPr>
        <c:txPr>
          <a:bodyPr rot="0" vert="horz"/>
          <a:lstStyle/>
          <a:p>
            <a:pPr>
              <a:defRPr b="1"/>
            </a:pPr>
            <a:endParaRPr lang="en-US"/>
          </a:p>
        </c:txPr>
        <c:crossAx val="556872568"/>
        <c:crosses val="autoZero"/>
        <c:auto val="1"/>
        <c:lblAlgn val="ctr"/>
        <c:lblOffset val="50"/>
        <c:noMultiLvlLbl val="1"/>
      </c:catAx>
      <c:valAx>
        <c:axId val="556872568"/>
        <c:scaling>
          <c:orientation val="minMax"/>
          <c:min val="0"/>
        </c:scaling>
        <c:delete val="0"/>
        <c:axPos val="l"/>
        <c:majorGridlines>
          <c:spPr>
            <a:ln w="3175">
              <a:solidFill>
                <a:schemeClr val="bg1">
                  <a:lumMod val="75000"/>
                </a:schemeClr>
              </a:solidFill>
            </a:ln>
          </c:spPr>
        </c:majorGridlines>
        <c:numFmt formatCode="#,##0" sourceLinked="0"/>
        <c:majorTickMark val="out"/>
        <c:minorTickMark val="none"/>
        <c:tickLblPos val="nextTo"/>
        <c:spPr>
          <a:noFill/>
          <a:ln w="3175">
            <a:noFill/>
            <a:prstDash val="solid"/>
          </a:ln>
        </c:spPr>
        <c:txPr>
          <a:bodyPr rot="0" vert="horz"/>
          <a:lstStyle/>
          <a:p>
            <a:pPr>
              <a:defRPr b="1"/>
            </a:pPr>
            <a:endParaRPr lang="en-US"/>
          </a:p>
        </c:txPr>
        <c:crossAx val="556871392"/>
        <c:crosses val="autoZero"/>
        <c:crossBetween val="between"/>
        <c:majorUnit val="40"/>
      </c:valAx>
      <c:spPr>
        <a:noFill/>
        <a:ln w="25400">
          <a:noFill/>
        </a:ln>
      </c:spPr>
    </c:plotArea>
    <c:plotVisOnly val="1"/>
    <c:dispBlanksAs val="gap"/>
    <c:showDLblsOverMax val="0"/>
  </c:chart>
  <c:spPr>
    <a:solidFill>
      <a:schemeClr val="bg1"/>
    </a:solidFill>
    <a:ln w="9525">
      <a:noFill/>
    </a:ln>
  </c:spPr>
  <c:txPr>
    <a:bodyPr/>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printSettings>
    <c:headerFooter alignWithMargins="0"/>
    <c:pageMargins b="1" l="0.75" r="0.75" t="1" header="0.5" footer="0.5"/>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371424725755434E-2"/>
          <c:y val="0.11458671309302418"/>
          <c:w val="0.93529191062655626"/>
          <c:h val="0.69614872261570315"/>
        </c:manualLayout>
      </c:layout>
      <c:barChart>
        <c:barDir val="col"/>
        <c:grouping val="stacked"/>
        <c:varyColors val="0"/>
        <c:ser>
          <c:idx val="0"/>
          <c:order val="0"/>
          <c:tx>
            <c:v> Nationwide</c:v>
          </c:tx>
          <c:spPr>
            <a:solidFill>
              <a:schemeClr val="accent1">
                <a:lumMod val="60000"/>
                <a:lumOff val="40000"/>
              </a:schemeClr>
            </a:solidFill>
            <a:ln w="12700">
              <a:noFill/>
              <a:prstDash val="solid"/>
            </a:ln>
          </c:spPr>
          <c:invertIfNegative val="0"/>
          <c:dPt>
            <c:idx val="19"/>
            <c:invertIfNegative val="0"/>
            <c:bubble3D val="0"/>
            <c:spPr>
              <a:solidFill>
                <a:schemeClr val="accent6"/>
              </a:solidFill>
              <a:ln w="12700">
                <a:noFill/>
                <a:prstDash val="solid"/>
              </a:ln>
            </c:spPr>
            <c:extLst>
              <c:ext xmlns:c16="http://schemas.microsoft.com/office/drawing/2014/chart" uri="{C3380CC4-5D6E-409C-BE32-E72D297353CC}">
                <c16:uniqueId val="{00000001-E773-4339-B1A7-DED441DF0D4B}"/>
              </c:ext>
            </c:extLst>
          </c:dPt>
          <c:dPt>
            <c:idx val="20"/>
            <c:invertIfNegative val="0"/>
            <c:bubble3D val="0"/>
            <c:spPr>
              <a:solidFill>
                <a:schemeClr val="accent6"/>
              </a:solidFill>
              <a:ln w="12700">
                <a:noFill/>
                <a:prstDash val="solid"/>
              </a:ln>
            </c:spPr>
            <c:extLst>
              <c:ext xmlns:c16="http://schemas.microsoft.com/office/drawing/2014/chart" uri="{C3380CC4-5D6E-409C-BE32-E72D297353CC}">
                <c16:uniqueId val="{00000003-E773-4339-B1A7-DED441DF0D4B}"/>
              </c:ext>
            </c:extLst>
          </c:dPt>
          <c:dLbls>
            <c:spPr>
              <a:noFill/>
              <a:ln>
                <a:noFill/>
              </a:ln>
              <a:effectLst/>
            </c:spPr>
            <c:txPr>
              <a:bodyPr wrap="square" lIns="38100" tIns="19050" rIns="38100" bIns="19050" anchor="ctr">
                <a:spAutoFit/>
              </a:bodyPr>
              <a:lstStyle/>
              <a:p>
                <a:pPr>
                  <a:defRPr b="0">
                    <a:solidFill>
                      <a:sysClr val="windowText" lastClr="000000"/>
                    </a:solidFil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'Wind LCOE Over Time'!$A$28:$A$48</c:f>
              <c:strCache>
                <c:ptCount val="21"/>
                <c:pt idx="0">
                  <c:v>1998-99</c:v>
                </c:pt>
                <c:pt idx="1">
                  <c:v>2000-01</c:v>
                </c:pt>
                <c:pt idx="2">
                  <c:v>2002-03</c:v>
                </c:pt>
                <c:pt idx="3">
                  <c:v>2004-05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strCache>
            </c:strRef>
          </c:cat>
          <c:val>
            <c:numRef>
              <c:f>'Wind LCOE Over Time'!$B$28:$B$48</c:f>
              <c:numCache>
                <c:formatCode>0</c:formatCode>
                <c:ptCount val="21"/>
                <c:pt idx="0">
                  <c:v>114.08964046143466</c:v>
                </c:pt>
                <c:pt idx="1">
                  <c:v>96.197472316754158</c:v>
                </c:pt>
                <c:pt idx="2">
                  <c:v>89.811857590445342</c:v>
                </c:pt>
                <c:pt idx="3">
                  <c:v>76.199571207436819</c:v>
                </c:pt>
                <c:pt idx="4">
                  <c:v>88.991149108703212</c:v>
                </c:pt>
                <c:pt idx="5">
                  <c:v>88.800824495775828</c:v>
                </c:pt>
                <c:pt idx="6">
                  <c:v>97.802850672996684</c:v>
                </c:pt>
                <c:pt idx="7">
                  <c:v>105.09877306287333</c:v>
                </c:pt>
                <c:pt idx="8">
                  <c:v>101.76854591433974</c:v>
                </c:pt>
                <c:pt idx="9">
                  <c:v>102.23670308556474</c:v>
                </c:pt>
                <c:pt idx="10">
                  <c:v>83.828148117385581</c:v>
                </c:pt>
                <c:pt idx="11">
                  <c:v>65.425831781336967</c:v>
                </c:pt>
                <c:pt idx="12">
                  <c:v>55.901743846279672</c:v>
                </c:pt>
                <c:pt idx="13">
                  <c:v>51.385121354923008</c:v>
                </c:pt>
                <c:pt idx="14">
                  <c:v>46.499265930713605</c:v>
                </c:pt>
                <c:pt idx="15">
                  <c:v>43.810809093845457</c:v>
                </c:pt>
                <c:pt idx="16">
                  <c:v>36.090970537831616</c:v>
                </c:pt>
                <c:pt idx="17">
                  <c:v>38.424358188025423</c:v>
                </c:pt>
                <c:pt idx="18">
                  <c:v>37.286324194627468</c:v>
                </c:pt>
                <c:pt idx="19">
                  <c:v>38.191768207852412</c:v>
                </c:pt>
                <c:pt idx="20">
                  <c:v>32.037738834205079</c:v>
                </c:pt>
              </c:numCache>
            </c:numRef>
          </c:val>
          <c:extLst>
            <c:ext xmlns:c16="http://schemas.microsoft.com/office/drawing/2014/chart" uri="{C3380CC4-5D6E-409C-BE32-E72D297353CC}">
              <c16:uniqueId val="{00000004-E773-4339-B1A7-DED441DF0D4B}"/>
            </c:ext>
          </c:extLst>
        </c:ser>
        <c:dLbls>
          <c:showLegendKey val="0"/>
          <c:showVal val="0"/>
          <c:showCatName val="0"/>
          <c:showSerName val="0"/>
          <c:showPercent val="0"/>
          <c:showBubbleSize val="0"/>
        </c:dLbls>
        <c:gapWidth val="30"/>
        <c:overlap val="100"/>
        <c:axId val="161262592"/>
        <c:axId val="161268480"/>
      </c:barChart>
      <c:catAx>
        <c:axId val="161262592"/>
        <c:scaling>
          <c:orientation val="minMax"/>
        </c:scaling>
        <c:delete val="0"/>
        <c:axPos val="b"/>
        <c:numFmt formatCode="General" sourceLinked="1"/>
        <c:majorTickMark val="out"/>
        <c:minorTickMark val="none"/>
        <c:tickLblPos val="nextTo"/>
        <c:spPr>
          <a:ln w="3175">
            <a:noFill/>
            <a:prstDash val="solid"/>
          </a:ln>
        </c:spPr>
        <c:txPr>
          <a:bodyPr rot="-5400000" vert="horz"/>
          <a:lstStyle/>
          <a:p>
            <a:pPr>
              <a:defRPr/>
            </a:pPr>
            <a:endParaRPr lang="en-US"/>
          </a:p>
        </c:txPr>
        <c:crossAx val="161268480"/>
        <c:crosses val="autoZero"/>
        <c:auto val="1"/>
        <c:lblAlgn val="ctr"/>
        <c:lblOffset val="50"/>
        <c:tickLblSkip val="1"/>
        <c:tickMarkSkip val="1"/>
        <c:noMultiLvlLbl val="1"/>
      </c:catAx>
      <c:valAx>
        <c:axId val="161268480"/>
        <c:scaling>
          <c:orientation val="minMax"/>
          <c:min val="0"/>
        </c:scaling>
        <c:delete val="0"/>
        <c:axPos val="l"/>
        <c:majorGridlines>
          <c:spPr>
            <a:ln w="3175">
              <a:solidFill>
                <a:schemeClr val="bg1">
                  <a:lumMod val="75000"/>
                </a:schemeClr>
              </a:solidFill>
            </a:ln>
          </c:spPr>
        </c:majorGridlines>
        <c:numFmt formatCode="#,##0" sourceLinked="0"/>
        <c:majorTickMark val="out"/>
        <c:minorTickMark val="none"/>
        <c:tickLblPos val="nextTo"/>
        <c:spPr>
          <a:noFill/>
          <a:ln w="3175">
            <a:noFill/>
            <a:prstDash val="solid"/>
          </a:ln>
        </c:spPr>
        <c:txPr>
          <a:bodyPr rot="0" vert="horz"/>
          <a:lstStyle/>
          <a:p>
            <a:pPr>
              <a:defRPr/>
            </a:pPr>
            <a:endParaRPr lang="en-US"/>
          </a:p>
        </c:txPr>
        <c:crossAx val="161262592"/>
        <c:crosses val="autoZero"/>
        <c:crossBetween val="between"/>
        <c:majorUnit val="20"/>
      </c:valAx>
      <c:spPr>
        <a:noFill/>
        <a:ln w="25400">
          <a:noFill/>
        </a:ln>
      </c:spPr>
    </c:plotArea>
    <c:plotVisOnly val="1"/>
    <c:dispBlanksAs val="gap"/>
    <c:showDLblsOverMax val="0"/>
  </c:chart>
  <c:spPr>
    <a:solidFill>
      <a:schemeClr val="bg1"/>
    </a:solidFill>
    <a:ln w="9525">
      <a:noFill/>
    </a:ln>
  </c:spPr>
  <c:txPr>
    <a:bodyPr/>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printSettings>
    <c:headerFooter alignWithMargins="0"/>
    <c:pageMargins b="1" l="0.75" r="0.75" t="1" header="0.5" footer="0.5"/>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50817686250757E-2"/>
          <c:y val="0.11458671309302418"/>
          <c:w val="0.93315515848980413"/>
          <c:h val="0.69614872261570315"/>
        </c:manualLayout>
      </c:layout>
      <c:barChart>
        <c:barDir val="col"/>
        <c:grouping val="stacked"/>
        <c:varyColors val="0"/>
        <c:ser>
          <c:idx val="0"/>
          <c:order val="0"/>
          <c:tx>
            <c:v> Nationwide</c:v>
          </c:tx>
          <c:spPr>
            <a:solidFill>
              <a:schemeClr val="accent1">
                <a:lumMod val="60000"/>
                <a:lumOff val="40000"/>
              </a:schemeClr>
            </a:solidFill>
            <a:ln w="12700">
              <a:noFill/>
              <a:prstDash val="solid"/>
            </a:ln>
          </c:spPr>
          <c:invertIfNegative val="0"/>
          <c:dPt>
            <c:idx val="19"/>
            <c:invertIfNegative val="0"/>
            <c:bubble3D val="0"/>
            <c:spPr>
              <a:solidFill>
                <a:schemeClr val="accent6"/>
              </a:solidFill>
              <a:ln w="12700">
                <a:noFill/>
                <a:prstDash val="solid"/>
              </a:ln>
            </c:spPr>
            <c:extLst>
              <c:ext xmlns:c16="http://schemas.microsoft.com/office/drawing/2014/chart" uri="{C3380CC4-5D6E-409C-BE32-E72D297353CC}">
                <c16:uniqueId val="{00000001-DDA2-42A5-B527-96975D387DD7}"/>
              </c:ext>
            </c:extLst>
          </c:dPt>
          <c:dPt>
            <c:idx val="20"/>
            <c:invertIfNegative val="0"/>
            <c:bubble3D val="0"/>
            <c:spPr>
              <a:solidFill>
                <a:schemeClr val="accent6"/>
              </a:solidFill>
              <a:ln w="12700">
                <a:noFill/>
                <a:prstDash val="solid"/>
              </a:ln>
            </c:spPr>
            <c:extLst>
              <c:ext xmlns:c16="http://schemas.microsoft.com/office/drawing/2014/chart" uri="{C3380CC4-5D6E-409C-BE32-E72D297353CC}">
                <c16:uniqueId val="{00000003-DDA2-42A5-B527-96975D387DD7}"/>
              </c:ext>
            </c:extLst>
          </c:dPt>
          <c:cat>
            <c:strRef>
              <c:f>'Wind LCOE Over Time'!$A$28:$A$48</c:f>
              <c:strCache>
                <c:ptCount val="21"/>
                <c:pt idx="0">
                  <c:v>1998-99</c:v>
                </c:pt>
                <c:pt idx="1">
                  <c:v>2000-01</c:v>
                </c:pt>
                <c:pt idx="2">
                  <c:v>2002-03</c:v>
                </c:pt>
                <c:pt idx="3">
                  <c:v>2004-05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strCache>
            </c:strRef>
          </c:cat>
          <c:val>
            <c:numRef>
              <c:f>'Wind LCOE Over Time'!$B$28:$B$48</c:f>
              <c:numCache>
                <c:formatCode>0</c:formatCode>
                <c:ptCount val="21"/>
                <c:pt idx="0">
                  <c:v>114.08964046143466</c:v>
                </c:pt>
                <c:pt idx="1">
                  <c:v>96.197472316754158</c:v>
                </c:pt>
                <c:pt idx="2">
                  <c:v>89.811857590445342</c:v>
                </c:pt>
                <c:pt idx="3">
                  <c:v>76.199571207436819</c:v>
                </c:pt>
                <c:pt idx="4">
                  <c:v>88.991149108703212</c:v>
                </c:pt>
                <c:pt idx="5">
                  <c:v>88.800824495775828</c:v>
                </c:pt>
                <c:pt idx="6">
                  <c:v>97.802850672996684</c:v>
                </c:pt>
                <c:pt idx="7">
                  <c:v>105.09877306287333</c:v>
                </c:pt>
                <c:pt idx="8">
                  <c:v>101.76854591433974</c:v>
                </c:pt>
                <c:pt idx="9">
                  <c:v>102.23670308556474</c:v>
                </c:pt>
                <c:pt idx="10">
                  <c:v>83.828148117385581</c:v>
                </c:pt>
                <c:pt idx="11">
                  <c:v>65.425831781336967</c:v>
                </c:pt>
                <c:pt idx="12">
                  <c:v>55.901743846279672</c:v>
                </c:pt>
                <c:pt idx="13">
                  <c:v>51.385121354923008</c:v>
                </c:pt>
                <c:pt idx="14">
                  <c:v>46.499265930713605</c:v>
                </c:pt>
                <c:pt idx="15">
                  <c:v>43.810809093845457</c:v>
                </c:pt>
                <c:pt idx="16">
                  <c:v>36.090970537831616</c:v>
                </c:pt>
                <c:pt idx="17">
                  <c:v>38.424358188025423</c:v>
                </c:pt>
                <c:pt idx="18">
                  <c:v>37.286324194627468</c:v>
                </c:pt>
                <c:pt idx="19">
                  <c:v>38.191768207852412</c:v>
                </c:pt>
                <c:pt idx="20">
                  <c:v>32.037738834205079</c:v>
                </c:pt>
              </c:numCache>
            </c:numRef>
          </c:val>
          <c:extLst>
            <c:ext xmlns:c16="http://schemas.microsoft.com/office/drawing/2014/chart" uri="{C3380CC4-5D6E-409C-BE32-E72D297353CC}">
              <c16:uniqueId val="{00000004-DDA2-42A5-B527-96975D387DD7}"/>
            </c:ext>
          </c:extLst>
        </c:ser>
        <c:dLbls>
          <c:showLegendKey val="0"/>
          <c:showVal val="0"/>
          <c:showCatName val="0"/>
          <c:showSerName val="0"/>
          <c:showPercent val="0"/>
          <c:showBubbleSize val="0"/>
        </c:dLbls>
        <c:gapWidth val="30"/>
        <c:overlap val="100"/>
        <c:axId val="161262592"/>
        <c:axId val="161268480"/>
      </c:barChart>
      <c:lineChart>
        <c:grouping val="standard"/>
        <c:varyColors val="0"/>
        <c:ser>
          <c:idx val="8"/>
          <c:order val="1"/>
          <c:tx>
            <c:v> NYISO</c:v>
          </c:tx>
          <c:spPr>
            <a:ln w="19050">
              <a:solidFill>
                <a:schemeClr val="accent5"/>
              </a:solidFill>
            </a:ln>
          </c:spPr>
          <c:marker>
            <c:symbol val="none"/>
          </c:marker>
          <c:dPt>
            <c:idx val="4"/>
            <c:bubble3D val="0"/>
            <c:spPr>
              <a:ln w="19050">
                <a:solidFill>
                  <a:schemeClr val="accent5"/>
                </a:solidFill>
                <a:prstDash val="sysDot"/>
              </a:ln>
            </c:spPr>
            <c:extLst>
              <c:ext xmlns:c16="http://schemas.microsoft.com/office/drawing/2014/chart" uri="{C3380CC4-5D6E-409C-BE32-E72D297353CC}">
                <c16:uniqueId val="{00000006-DDA2-42A5-B527-96975D387DD7}"/>
              </c:ext>
            </c:extLst>
          </c:dPt>
          <c:dPt>
            <c:idx val="9"/>
            <c:bubble3D val="0"/>
            <c:spPr>
              <a:ln w="19050">
                <a:solidFill>
                  <a:schemeClr val="accent5"/>
                </a:solidFill>
                <a:prstDash val="sysDot"/>
              </a:ln>
            </c:spPr>
            <c:extLst>
              <c:ext xmlns:c16="http://schemas.microsoft.com/office/drawing/2014/chart" uri="{C3380CC4-5D6E-409C-BE32-E72D297353CC}">
                <c16:uniqueId val="{00000008-DDA2-42A5-B527-96975D387DD7}"/>
              </c:ext>
            </c:extLst>
          </c:dPt>
          <c:dPt>
            <c:idx val="12"/>
            <c:bubble3D val="0"/>
            <c:spPr>
              <a:ln w="19050">
                <a:solidFill>
                  <a:schemeClr val="accent5"/>
                </a:solidFill>
                <a:prstDash val="sysDot"/>
              </a:ln>
            </c:spPr>
            <c:extLst>
              <c:ext xmlns:c16="http://schemas.microsoft.com/office/drawing/2014/chart" uri="{C3380CC4-5D6E-409C-BE32-E72D297353CC}">
                <c16:uniqueId val="{0000000A-DDA2-42A5-B527-96975D387DD7}"/>
              </c:ext>
            </c:extLst>
          </c:dPt>
          <c:dPt>
            <c:idx val="14"/>
            <c:bubble3D val="0"/>
            <c:spPr>
              <a:ln w="19050">
                <a:solidFill>
                  <a:schemeClr val="accent5"/>
                </a:solidFill>
                <a:prstDash val="sysDot"/>
              </a:ln>
            </c:spPr>
            <c:extLst>
              <c:ext xmlns:c16="http://schemas.microsoft.com/office/drawing/2014/chart" uri="{C3380CC4-5D6E-409C-BE32-E72D297353CC}">
                <c16:uniqueId val="{0000000C-DDA2-42A5-B527-96975D387DD7}"/>
              </c:ext>
            </c:extLst>
          </c:dPt>
          <c:dPt>
            <c:idx val="16"/>
            <c:bubble3D val="0"/>
            <c:spPr>
              <a:ln w="19050">
                <a:solidFill>
                  <a:schemeClr val="accent5"/>
                </a:solidFill>
                <a:prstDash val="sysDot"/>
              </a:ln>
            </c:spPr>
            <c:extLst>
              <c:ext xmlns:c16="http://schemas.microsoft.com/office/drawing/2014/chart" uri="{C3380CC4-5D6E-409C-BE32-E72D297353CC}">
                <c16:uniqueId val="{0000000E-DDA2-42A5-B527-96975D387DD7}"/>
              </c:ext>
            </c:extLst>
          </c:dPt>
          <c:dPt>
            <c:idx val="19"/>
            <c:bubble3D val="0"/>
            <c:spPr>
              <a:ln w="19050">
                <a:solidFill>
                  <a:schemeClr val="accent5"/>
                </a:solidFill>
                <a:prstDash val="sysDot"/>
              </a:ln>
            </c:spPr>
            <c:extLst>
              <c:ext xmlns:c16="http://schemas.microsoft.com/office/drawing/2014/chart" uri="{C3380CC4-5D6E-409C-BE32-E72D297353CC}">
                <c16:uniqueId val="{00000010-DDA2-42A5-B527-96975D387DD7}"/>
              </c:ext>
            </c:extLst>
          </c:dPt>
          <c:cat>
            <c:strRef>
              <c:f>'Wind LCOE Over Time'!$A$28:$A$48</c:f>
              <c:strCache>
                <c:ptCount val="21"/>
                <c:pt idx="0">
                  <c:v>1998-99</c:v>
                </c:pt>
                <c:pt idx="1">
                  <c:v>2000-01</c:v>
                </c:pt>
                <c:pt idx="2">
                  <c:v>2002-03</c:v>
                </c:pt>
                <c:pt idx="3">
                  <c:v>2004-05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strCache>
            </c:strRef>
          </c:cat>
          <c:val>
            <c:numRef>
              <c:f>'Wind LCOE Over Time'!$J$28:$J$48</c:f>
              <c:numCache>
                <c:formatCode>0</c:formatCode>
                <c:ptCount val="21"/>
                <c:pt idx="0">
                  <c:v>#N/A</c:v>
                </c:pt>
                <c:pt idx="1">
                  <c:v>132.61586353141155</c:v>
                </c:pt>
                <c:pt idx="2">
                  <c:v>#N/A</c:v>
                </c:pt>
                <c:pt idx="3">
                  <c:v>#N/A</c:v>
                </c:pt>
                <c:pt idx="4">
                  <c:v>86.420883429928395</c:v>
                </c:pt>
                <c:pt idx="5">
                  <c:v>117.55114475234296</c:v>
                </c:pt>
                <c:pt idx="6">
                  <c:v>164.5560795118466</c:v>
                </c:pt>
                <c:pt idx="7">
                  <c:v>155.64430064596084</c:v>
                </c:pt>
                <c:pt idx="8">
                  <c:v>#N/A</c:v>
                </c:pt>
                <c:pt idx="9">
                  <c:v>129.36948738410337</c:v>
                </c:pt>
                <c:pt idx="10">
                  <c:v>108.57688248341587</c:v>
                </c:pt>
                <c:pt idx="11">
                  <c:v>#N/A</c:v>
                </c:pt>
                <c:pt idx="12">
                  <c:v>82.010882231236266</c:v>
                </c:pt>
                <c:pt idx="13">
                  <c:v>#N/A</c:v>
                </c:pt>
                <c:pt idx="14">
                  <c:v>73.084828171290951</c:v>
                </c:pt>
                <c:pt idx="15">
                  <c:v>#N/A</c:v>
                </c:pt>
                <c:pt idx="16">
                  <c:v>57.748301709030336</c:v>
                </c:pt>
                <c:pt idx="17">
                  <c:v>#N/A</c:v>
                </c:pt>
                <c:pt idx="18">
                  <c:v>#N/A</c:v>
                </c:pt>
                <c:pt idx="19">
                  <c:v>58.470717528509581</c:v>
                </c:pt>
                <c:pt idx="20">
                  <c:v>#N/A</c:v>
                </c:pt>
              </c:numCache>
            </c:numRef>
          </c:val>
          <c:smooth val="0"/>
          <c:extLst>
            <c:ext xmlns:c16="http://schemas.microsoft.com/office/drawing/2014/chart" uri="{C3380CC4-5D6E-409C-BE32-E72D297353CC}">
              <c16:uniqueId val="{00000011-DDA2-42A5-B527-96975D387DD7}"/>
            </c:ext>
          </c:extLst>
        </c:ser>
        <c:ser>
          <c:idx val="7"/>
          <c:order val="2"/>
          <c:tx>
            <c:v> CAISO</c:v>
          </c:tx>
          <c:spPr>
            <a:ln w="19050">
              <a:solidFill>
                <a:schemeClr val="accent4">
                  <a:lumMod val="75000"/>
                </a:schemeClr>
              </a:solidFill>
            </a:ln>
          </c:spPr>
          <c:marker>
            <c:symbol val="none"/>
          </c:marker>
          <c:dPt>
            <c:idx val="6"/>
            <c:bubble3D val="0"/>
            <c:spPr>
              <a:ln w="19050">
                <a:solidFill>
                  <a:schemeClr val="accent4">
                    <a:lumMod val="75000"/>
                  </a:schemeClr>
                </a:solidFill>
                <a:prstDash val="sysDot"/>
              </a:ln>
            </c:spPr>
            <c:extLst>
              <c:ext xmlns:c16="http://schemas.microsoft.com/office/drawing/2014/chart" uri="{C3380CC4-5D6E-409C-BE32-E72D297353CC}">
                <c16:uniqueId val="{00000013-DDA2-42A5-B527-96975D387DD7}"/>
              </c:ext>
            </c:extLst>
          </c:dPt>
          <c:dPt>
            <c:idx val="15"/>
            <c:bubble3D val="0"/>
            <c:spPr>
              <a:ln w="19050">
                <a:solidFill>
                  <a:schemeClr val="accent4">
                    <a:lumMod val="75000"/>
                  </a:schemeClr>
                </a:solidFill>
                <a:prstDash val="sysDot"/>
              </a:ln>
            </c:spPr>
            <c:extLst>
              <c:ext xmlns:c16="http://schemas.microsoft.com/office/drawing/2014/chart" uri="{C3380CC4-5D6E-409C-BE32-E72D297353CC}">
                <c16:uniqueId val="{00000015-DDA2-42A5-B527-96975D387DD7}"/>
              </c:ext>
            </c:extLst>
          </c:dPt>
          <c:cat>
            <c:strRef>
              <c:f>'Wind LCOE Over Time'!$A$28:$A$48</c:f>
              <c:strCache>
                <c:ptCount val="21"/>
                <c:pt idx="0">
                  <c:v>1998-99</c:v>
                </c:pt>
                <c:pt idx="1">
                  <c:v>2000-01</c:v>
                </c:pt>
                <c:pt idx="2">
                  <c:v>2002-03</c:v>
                </c:pt>
                <c:pt idx="3">
                  <c:v>2004-05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strCache>
            </c:strRef>
          </c:cat>
          <c:val>
            <c:numRef>
              <c:f>'Wind LCOE Over Time'!$I$28:$I$48</c:f>
              <c:numCache>
                <c:formatCode>0</c:formatCode>
                <c:ptCount val="21"/>
                <c:pt idx="0">
                  <c:v>114.0752757210203</c:v>
                </c:pt>
                <c:pt idx="1">
                  <c:v>93.47797388118677</c:v>
                </c:pt>
                <c:pt idx="2">
                  <c:v>106.59174116186547</c:v>
                </c:pt>
                <c:pt idx="3">
                  <c:v>89.19687683745353</c:v>
                </c:pt>
                <c:pt idx="4">
                  <c:v>82.274636751547575</c:v>
                </c:pt>
                <c:pt idx="5">
                  <c:v>#N/A</c:v>
                </c:pt>
                <c:pt idx="6">
                  <c:v>75.947308933395789</c:v>
                </c:pt>
                <c:pt idx="7">
                  <c:v>113.05189590040276</c:v>
                </c:pt>
                <c:pt idx="8">
                  <c:v>123.43621462951133</c:v>
                </c:pt>
                <c:pt idx="9">
                  <c:v>136.13810643457336</c:v>
                </c:pt>
                <c:pt idx="10">
                  <c:v>107.34436351989007</c:v>
                </c:pt>
                <c:pt idx="11">
                  <c:v>97.629133451177808</c:v>
                </c:pt>
                <c:pt idx="12">
                  <c:v>81.293539650378605</c:v>
                </c:pt>
                <c:pt idx="13">
                  <c:v>73.796407878773124</c:v>
                </c:pt>
                <c:pt idx="14">
                  <c:v>#N/A</c:v>
                </c:pt>
                <c:pt idx="15">
                  <c:v>54.164343423568916</c:v>
                </c:pt>
                <c:pt idx="16">
                  <c:v>50.240234976881489</c:v>
                </c:pt>
                <c:pt idx="17">
                  <c:v>56.45665065781904</c:v>
                </c:pt>
                <c:pt idx="18">
                  <c:v>#N/A</c:v>
                </c:pt>
                <c:pt idx="19">
                  <c:v>#N/A</c:v>
                </c:pt>
                <c:pt idx="20">
                  <c:v>#N/A</c:v>
                </c:pt>
              </c:numCache>
            </c:numRef>
          </c:val>
          <c:smooth val="0"/>
          <c:extLst>
            <c:ext xmlns:c16="http://schemas.microsoft.com/office/drawing/2014/chart" uri="{C3380CC4-5D6E-409C-BE32-E72D297353CC}">
              <c16:uniqueId val="{00000016-DDA2-42A5-B527-96975D387DD7}"/>
            </c:ext>
          </c:extLst>
        </c:ser>
        <c:ser>
          <c:idx val="6"/>
          <c:order val="3"/>
          <c:tx>
            <c:v> ISO-NE</c:v>
          </c:tx>
          <c:spPr>
            <a:ln w="19050">
              <a:solidFill>
                <a:schemeClr val="accent1">
                  <a:lumMod val="60000"/>
                  <a:lumOff val="40000"/>
                </a:schemeClr>
              </a:solidFill>
            </a:ln>
          </c:spPr>
          <c:marker>
            <c:symbol val="none"/>
          </c:marker>
          <c:dPt>
            <c:idx val="7"/>
            <c:bubble3D val="0"/>
            <c:spPr>
              <a:ln w="19050">
                <a:solidFill>
                  <a:schemeClr val="accent1">
                    <a:lumMod val="60000"/>
                    <a:lumOff val="40000"/>
                  </a:schemeClr>
                </a:solidFill>
                <a:prstDash val="sysDot"/>
              </a:ln>
            </c:spPr>
            <c:extLst>
              <c:ext xmlns:c16="http://schemas.microsoft.com/office/drawing/2014/chart" uri="{C3380CC4-5D6E-409C-BE32-E72D297353CC}">
                <c16:uniqueId val="{00000018-DDA2-42A5-B527-96975D387DD7}"/>
              </c:ext>
            </c:extLst>
          </c:dPt>
          <c:dPt>
            <c:idx val="12"/>
            <c:bubble3D val="0"/>
            <c:spPr>
              <a:ln w="19050">
                <a:solidFill>
                  <a:schemeClr val="accent1">
                    <a:lumMod val="60000"/>
                    <a:lumOff val="40000"/>
                  </a:schemeClr>
                </a:solidFill>
                <a:prstDash val="sysDot"/>
              </a:ln>
            </c:spPr>
            <c:extLst>
              <c:ext xmlns:c16="http://schemas.microsoft.com/office/drawing/2014/chart" uri="{C3380CC4-5D6E-409C-BE32-E72D297353CC}">
                <c16:uniqueId val="{0000001A-DDA2-42A5-B527-96975D387DD7}"/>
              </c:ext>
            </c:extLst>
          </c:dPt>
          <c:dPt>
            <c:idx val="17"/>
            <c:bubble3D val="0"/>
            <c:spPr>
              <a:ln w="19050">
                <a:solidFill>
                  <a:schemeClr val="accent1">
                    <a:lumMod val="60000"/>
                    <a:lumOff val="40000"/>
                  </a:schemeClr>
                </a:solidFill>
                <a:prstDash val="sysDot"/>
              </a:ln>
            </c:spPr>
            <c:extLst>
              <c:ext xmlns:c16="http://schemas.microsoft.com/office/drawing/2014/chart" uri="{C3380CC4-5D6E-409C-BE32-E72D297353CC}">
                <c16:uniqueId val="{0000001C-DDA2-42A5-B527-96975D387DD7}"/>
              </c:ext>
            </c:extLst>
          </c:dPt>
          <c:cat>
            <c:strRef>
              <c:f>'Wind LCOE Over Time'!$A$28:$A$48</c:f>
              <c:strCache>
                <c:ptCount val="21"/>
                <c:pt idx="0">
                  <c:v>1998-99</c:v>
                </c:pt>
                <c:pt idx="1">
                  <c:v>2000-01</c:v>
                </c:pt>
                <c:pt idx="2">
                  <c:v>2002-03</c:v>
                </c:pt>
                <c:pt idx="3">
                  <c:v>2004-05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strCache>
            </c:strRef>
          </c:cat>
          <c:val>
            <c:numRef>
              <c:f>'Wind LCOE Over Time'!$H$28:$H$48</c:f>
              <c:numCache>
                <c:formatCode>0</c:formatCode>
                <c:ptCount val="21"/>
                <c:pt idx="0">
                  <c:v>#N/A</c:v>
                </c:pt>
                <c:pt idx="1">
                  <c:v>#N/A</c:v>
                </c:pt>
                <c:pt idx="2">
                  <c:v>#N/A</c:v>
                </c:pt>
                <c:pt idx="3">
                  <c:v>#N/A</c:v>
                </c:pt>
                <c:pt idx="4">
                  <c:v>103.32370746219617</c:v>
                </c:pt>
                <c:pt idx="5">
                  <c:v>#N/A</c:v>
                </c:pt>
                <c:pt idx="6">
                  <c:v>#N/A</c:v>
                </c:pt>
                <c:pt idx="7">
                  <c:v>128.46356402117814</c:v>
                </c:pt>
                <c:pt idx="8">
                  <c:v>131.52678549864089</c:v>
                </c:pt>
                <c:pt idx="9">
                  <c:v>124.84206587737353</c:v>
                </c:pt>
                <c:pt idx="10">
                  <c:v>104.00012520488583</c:v>
                </c:pt>
                <c:pt idx="11">
                  <c:v>#N/A</c:v>
                </c:pt>
                <c:pt idx="12">
                  <c:v>96.288654746439718</c:v>
                </c:pt>
                <c:pt idx="13">
                  <c:v>86.52444615875217</c:v>
                </c:pt>
                <c:pt idx="14">
                  <c:v>85.222821810187881</c:v>
                </c:pt>
                <c:pt idx="15">
                  <c:v>60.650049168969069</c:v>
                </c:pt>
                <c:pt idx="16">
                  <c:v>#N/A</c:v>
                </c:pt>
                <c:pt idx="17">
                  <c:v>67.118876155122919</c:v>
                </c:pt>
                <c:pt idx="18">
                  <c:v>60.552242584833266</c:v>
                </c:pt>
                <c:pt idx="19">
                  <c:v>#N/A</c:v>
                </c:pt>
                <c:pt idx="20">
                  <c:v>#N/A</c:v>
                </c:pt>
              </c:numCache>
            </c:numRef>
          </c:val>
          <c:smooth val="0"/>
          <c:extLst>
            <c:ext xmlns:c16="http://schemas.microsoft.com/office/drawing/2014/chart" uri="{C3380CC4-5D6E-409C-BE32-E72D297353CC}">
              <c16:uniqueId val="{0000001D-DDA2-42A5-B527-96975D387DD7}"/>
            </c:ext>
          </c:extLst>
        </c:ser>
        <c:ser>
          <c:idx val="4"/>
          <c:order val="4"/>
          <c:tx>
            <c:v> PJM</c:v>
          </c:tx>
          <c:spPr>
            <a:ln w="19050">
              <a:solidFill>
                <a:schemeClr val="accent6">
                  <a:lumMod val="60000"/>
                  <a:lumOff val="40000"/>
                </a:schemeClr>
              </a:solidFill>
              <a:prstDash val="solid"/>
            </a:ln>
          </c:spPr>
          <c:marker>
            <c:symbol val="none"/>
          </c:marker>
          <c:dPt>
            <c:idx val="6"/>
            <c:bubble3D val="0"/>
            <c:extLst>
              <c:ext xmlns:c16="http://schemas.microsoft.com/office/drawing/2014/chart" uri="{C3380CC4-5D6E-409C-BE32-E72D297353CC}">
                <c16:uniqueId val="{0000001E-DDA2-42A5-B527-96975D387DD7}"/>
              </c:ext>
            </c:extLst>
          </c:dPt>
          <c:dPt>
            <c:idx val="8"/>
            <c:bubble3D val="0"/>
            <c:extLst>
              <c:ext xmlns:c16="http://schemas.microsoft.com/office/drawing/2014/chart" uri="{C3380CC4-5D6E-409C-BE32-E72D297353CC}">
                <c16:uniqueId val="{0000001F-DDA2-42A5-B527-96975D387DD7}"/>
              </c:ext>
            </c:extLst>
          </c:dPt>
          <c:dPt>
            <c:idx val="12"/>
            <c:bubble3D val="0"/>
            <c:spPr>
              <a:ln w="19050">
                <a:solidFill>
                  <a:schemeClr val="accent6">
                    <a:lumMod val="60000"/>
                    <a:lumOff val="40000"/>
                  </a:schemeClr>
                </a:solidFill>
                <a:prstDash val="sysDot"/>
              </a:ln>
            </c:spPr>
            <c:extLst>
              <c:ext xmlns:c16="http://schemas.microsoft.com/office/drawing/2014/chart" uri="{C3380CC4-5D6E-409C-BE32-E72D297353CC}">
                <c16:uniqueId val="{00000021-DDA2-42A5-B527-96975D387DD7}"/>
              </c:ext>
            </c:extLst>
          </c:dPt>
          <c:cat>
            <c:strRef>
              <c:f>'Wind LCOE Over Time'!$A$28:$A$48</c:f>
              <c:strCache>
                <c:ptCount val="21"/>
                <c:pt idx="0">
                  <c:v>1998-99</c:v>
                </c:pt>
                <c:pt idx="1">
                  <c:v>2000-01</c:v>
                </c:pt>
                <c:pt idx="2">
                  <c:v>2002-03</c:v>
                </c:pt>
                <c:pt idx="3">
                  <c:v>2004-05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strCache>
            </c:strRef>
          </c:cat>
          <c:val>
            <c:numRef>
              <c:f>'Wind LCOE Over Time'!$G$28:$G$48</c:f>
              <c:numCache>
                <c:formatCode>0</c:formatCode>
                <c:ptCount val="21"/>
                <c:pt idx="0">
                  <c:v>#N/A</c:v>
                </c:pt>
                <c:pt idx="1">
                  <c:v>161.29484105715713</c:v>
                </c:pt>
                <c:pt idx="2">
                  <c:v>109.81075387332544</c:v>
                </c:pt>
                <c:pt idx="3">
                  <c:v>89.410471686536923</c:v>
                </c:pt>
                <c:pt idx="4">
                  <c:v>97.755994397152989</c:v>
                </c:pt>
                <c:pt idx="5">
                  <c:v>93.18510761554414</c:v>
                </c:pt>
                <c:pt idx="6">
                  <c:v>103.67639424650883</c:v>
                </c:pt>
                <c:pt idx="7">
                  <c:v>108.9389924871348</c:v>
                </c:pt>
                <c:pt idx="8">
                  <c:v>105.47418269656089</c:v>
                </c:pt>
                <c:pt idx="9">
                  <c:v>124.27927328604825</c:v>
                </c:pt>
                <c:pt idx="10">
                  <c:v>80.375230398628446</c:v>
                </c:pt>
                <c:pt idx="11">
                  <c:v>#N/A</c:v>
                </c:pt>
                <c:pt idx="12">
                  <c:v>66.257657394019972</c:v>
                </c:pt>
                <c:pt idx="13">
                  <c:v>62.339955563641666</c:v>
                </c:pt>
                <c:pt idx="14">
                  <c:v>56.248893271546471</c:v>
                </c:pt>
                <c:pt idx="15">
                  <c:v>50.583171438443657</c:v>
                </c:pt>
                <c:pt idx="16">
                  <c:v>44.355673893838954</c:v>
                </c:pt>
                <c:pt idx="17">
                  <c:v>41.594218510239287</c:v>
                </c:pt>
                <c:pt idx="18">
                  <c:v>40.065583308887689</c:v>
                </c:pt>
                <c:pt idx="19">
                  <c:v>46.053668259943713</c:v>
                </c:pt>
                <c:pt idx="20">
                  <c:v>#N/A</c:v>
                </c:pt>
              </c:numCache>
            </c:numRef>
          </c:val>
          <c:smooth val="0"/>
          <c:extLst>
            <c:ext xmlns:c16="http://schemas.microsoft.com/office/drawing/2014/chart" uri="{C3380CC4-5D6E-409C-BE32-E72D297353CC}">
              <c16:uniqueId val="{00000022-DDA2-42A5-B527-96975D387DD7}"/>
            </c:ext>
          </c:extLst>
        </c:ser>
        <c:ser>
          <c:idx val="5"/>
          <c:order val="5"/>
          <c:tx>
            <c:v> West (non-ISO)</c:v>
          </c:tx>
          <c:spPr>
            <a:ln w="19050">
              <a:solidFill>
                <a:schemeClr val="accent2">
                  <a:lumMod val="60000"/>
                  <a:lumOff val="40000"/>
                </a:schemeClr>
              </a:solidFill>
              <a:prstDash val="solid"/>
            </a:ln>
          </c:spPr>
          <c:marker>
            <c:symbol val="none"/>
          </c:marker>
          <c:dPt>
            <c:idx val="13"/>
            <c:bubble3D val="0"/>
            <c:extLst>
              <c:ext xmlns:c16="http://schemas.microsoft.com/office/drawing/2014/chart" uri="{C3380CC4-5D6E-409C-BE32-E72D297353CC}">
                <c16:uniqueId val="{00000023-DDA2-42A5-B527-96975D387DD7}"/>
              </c:ext>
            </c:extLst>
          </c:dPt>
          <c:dPt>
            <c:idx val="14"/>
            <c:bubble3D val="0"/>
            <c:extLst>
              <c:ext xmlns:c16="http://schemas.microsoft.com/office/drawing/2014/chart" uri="{C3380CC4-5D6E-409C-BE32-E72D297353CC}">
                <c16:uniqueId val="{00000024-DDA2-42A5-B527-96975D387DD7}"/>
              </c:ext>
            </c:extLst>
          </c:dPt>
          <c:dPt>
            <c:idx val="16"/>
            <c:bubble3D val="0"/>
            <c:extLst>
              <c:ext xmlns:c16="http://schemas.microsoft.com/office/drawing/2014/chart" uri="{C3380CC4-5D6E-409C-BE32-E72D297353CC}">
                <c16:uniqueId val="{00000025-DDA2-42A5-B527-96975D387DD7}"/>
              </c:ext>
            </c:extLst>
          </c:dPt>
          <c:cat>
            <c:strRef>
              <c:f>'Wind LCOE Over Time'!$A$28:$A$48</c:f>
              <c:strCache>
                <c:ptCount val="21"/>
                <c:pt idx="0">
                  <c:v>1998-99</c:v>
                </c:pt>
                <c:pt idx="1">
                  <c:v>2000-01</c:v>
                </c:pt>
                <c:pt idx="2">
                  <c:v>2002-03</c:v>
                </c:pt>
                <c:pt idx="3">
                  <c:v>2004-05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strCache>
            </c:strRef>
          </c:cat>
          <c:val>
            <c:numRef>
              <c:f>'Wind LCOE Over Time'!$F$28:$F$48</c:f>
              <c:numCache>
                <c:formatCode>0</c:formatCode>
                <c:ptCount val="21"/>
                <c:pt idx="0">
                  <c:v>98.916700739775976</c:v>
                </c:pt>
                <c:pt idx="1">
                  <c:v>100.01304548461982</c:v>
                </c:pt>
                <c:pt idx="2">
                  <c:v>88.002383729000371</c:v>
                </c:pt>
                <c:pt idx="3">
                  <c:v>82.824895069504578</c:v>
                </c:pt>
                <c:pt idx="4">
                  <c:v>102.10940575042673</c:v>
                </c:pt>
                <c:pt idx="5">
                  <c:v>95.438221728696021</c:v>
                </c:pt>
                <c:pt idx="6">
                  <c:v>92.249890050208208</c:v>
                </c:pt>
                <c:pt idx="7">
                  <c:v>114.78299094185456</c:v>
                </c:pt>
                <c:pt idx="8">
                  <c:v>108.37620518813328</c:v>
                </c:pt>
                <c:pt idx="9">
                  <c:v>101.75714291659625</c:v>
                </c:pt>
                <c:pt idx="10">
                  <c:v>101.27207623331182</c:v>
                </c:pt>
                <c:pt idx="11">
                  <c:v>61.730523531461706</c:v>
                </c:pt>
                <c:pt idx="12">
                  <c:v>60.707260203060223</c:v>
                </c:pt>
                <c:pt idx="13">
                  <c:v>49.0230561201504</c:v>
                </c:pt>
                <c:pt idx="14">
                  <c:v>50.5583785631528</c:v>
                </c:pt>
                <c:pt idx="15">
                  <c:v>44.34686404446942</c:v>
                </c:pt>
                <c:pt idx="16">
                  <c:v>36.653699317127085</c:v>
                </c:pt>
                <c:pt idx="17">
                  <c:v>42.095693712314286</c:v>
                </c:pt>
                <c:pt idx="18">
                  <c:v>38.285756590887551</c:v>
                </c:pt>
                <c:pt idx="19">
                  <c:v>38.181735361338816</c:v>
                </c:pt>
                <c:pt idx="20">
                  <c:v>52.69306642307248</c:v>
                </c:pt>
              </c:numCache>
            </c:numRef>
          </c:val>
          <c:smooth val="0"/>
          <c:extLst>
            <c:ext xmlns:c16="http://schemas.microsoft.com/office/drawing/2014/chart" uri="{C3380CC4-5D6E-409C-BE32-E72D297353CC}">
              <c16:uniqueId val="{00000026-DDA2-42A5-B527-96975D387DD7}"/>
            </c:ext>
          </c:extLst>
        </c:ser>
        <c:ser>
          <c:idx val="3"/>
          <c:order val="6"/>
          <c:tx>
            <c:v> MISO</c:v>
          </c:tx>
          <c:spPr>
            <a:ln w="19050">
              <a:solidFill>
                <a:schemeClr val="accent3">
                  <a:lumMod val="75000"/>
                </a:schemeClr>
              </a:solidFill>
              <a:prstDash val="solid"/>
            </a:ln>
          </c:spPr>
          <c:marker>
            <c:symbol val="none"/>
          </c:marker>
          <c:dPt>
            <c:idx val="3"/>
            <c:bubble3D val="0"/>
            <c:extLst>
              <c:ext xmlns:c16="http://schemas.microsoft.com/office/drawing/2014/chart" uri="{C3380CC4-5D6E-409C-BE32-E72D297353CC}">
                <c16:uniqueId val="{00000027-DDA2-42A5-B527-96975D387DD7}"/>
              </c:ext>
            </c:extLst>
          </c:dPt>
          <c:dPt>
            <c:idx val="4"/>
            <c:bubble3D val="0"/>
            <c:extLst>
              <c:ext xmlns:c16="http://schemas.microsoft.com/office/drawing/2014/chart" uri="{C3380CC4-5D6E-409C-BE32-E72D297353CC}">
                <c16:uniqueId val="{00000028-DDA2-42A5-B527-96975D387DD7}"/>
              </c:ext>
            </c:extLst>
          </c:dPt>
          <c:dPt>
            <c:idx val="5"/>
            <c:bubble3D val="0"/>
            <c:extLst>
              <c:ext xmlns:c16="http://schemas.microsoft.com/office/drawing/2014/chart" uri="{C3380CC4-5D6E-409C-BE32-E72D297353CC}">
                <c16:uniqueId val="{00000029-DDA2-42A5-B527-96975D387DD7}"/>
              </c:ext>
            </c:extLst>
          </c:dPt>
          <c:dPt>
            <c:idx val="6"/>
            <c:bubble3D val="0"/>
            <c:extLst>
              <c:ext xmlns:c16="http://schemas.microsoft.com/office/drawing/2014/chart" uri="{C3380CC4-5D6E-409C-BE32-E72D297353CC}">
                <c16:uniqueId val="{0000002A-DDA2-42A5-B527-96975D387DD7}"/>
              </c:ext>
            </c:extLst>
          </c:dPt>
          <c:dPt>
            <c:idx val="12"/>
            <c:bubble3D val="0"/>
            <c:extLst>
              <c:ext xmlns:c16="http://schemas.microsoft.com/office/drawing/2014/chart" uri="{C3380CC4-5D6E-409C-BE32-E72D297353CC}">
                <c16:uniqueId val="{0000002B-DDA2-42A5-B527-96975D387DD7}"/>
              </c:ext>
            </c:extLst>
          </c:dPt>
          <c:cat>
            <c:strRef>
              <c:f>'Wind LCOE Over Time'!$A$28:$A$48</c:f>
              <c:strCache>
                <c:ptCount val="21"/>
                <c:pt idx="0">
                  <c:v>1998-99</c:v>
                </c:pt>
                <c:pt idx="1">
                  <c:v>2000-01</c:v>
                </c:pt>
                <c:pt idx="2">
                  <c:v>2002-03</c:v>
                </c:pt>
                <c:pt idx="3">
                  <c:v>2004-05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strCache>
            </c:strRef>
          </c:cat>
          <c:val>
            <c:numRef>
              <c:f>'Wind LCOE Over Time'!$E$28:$E$48</c:f>
              <c:numCache>
                <c:formatCode>0</c:formatCode>
                <c:ptCount val="21"/>
                <c:pt idx="0">
                  <c:v>117.72747253352097</c:v>
                </c:pt>
                <c:pt idx="1">
                  <c:v>104.91843329431953</c:v>
                </c:pt>
                <c:pt idx="2">
                  <c:v>81.819226590203201</c:v>
                </c:pt>
                <c:pt idx="3">
                  <c:v>75.990837523469168</c:v>
                </c:pt>
                <c:pt idx="4">
                  <c:v>75.424898201679994</c:v>
                </c:pt>
                <c:pt idx="5">
                  <c:v>78.930613557287629</c:v>
                </c:pt>
                <c:pt idx="6">
                  <c:v>94.601134426731434</c:v>
                </c:pt>
                <c:pt idx="7">
                  <c:v>96.507039589755351</c:v>
                </c:pt>
                <c:pt idx="8">
                  <c:v>93.974273299916447</c:v>
                </c:pt>
                <c:pt idx="9">
                  <c:v>96.807061572579798</c:v>
                </c:pt>
                <c:pt idx="10">
                  <c:v>70.255415460469308</c:v>
                </c:pt>
                <c:pt idx="11">
                  <c:v>63.090214601021799</c:v>
                </c:pt>
                <c:pt idx="12">
                  <c:v>61.58481407136091</c:v>
                </c:pt>
                <c:pt idx="13">
                  <c:v>49.542183386748533</c:v>
                </c:pt>
                <c:pt idx="14">
                  <c:v>45.342652271699137</c:v>
                </c:pt>
                <c:pt idx="15">
                  <c:v>42.476486171563607</c:v>
                </c:pt>
                <c:pt idx="16">
                  <c:v>36.661026460622239</c:v>
                </c:pt>
                <c:pt idx="17">
                  <c:v>35.689766538678711</c:v>
                </c:pt>
                <c:pt idx="18">
                  <c:v>37.59181362809688</c:v>
                </c:pt>
                <c:pt idx="19">
                  <c:v>39.022830558580779</c:v>
                </c:pt>
                <c:pt idx="20">
                  <c:v>42.007361409857857</c:v>
                </c:pt>
              </c:numCache>
            </c:numRef>
          </c:val>
          <c:smooth val="0"/>
          <c:extLst>
            <c:ext xmlns:c16="http://schemas.microsoft.com/office/drawing/2014/chart" uri="{C3380CC4-5D6E-409C-BE32-E72D297353CC}">
              <c16:uniqueId val="{0000002C-DDA2-42A5-B527-96975D387DD7}"/>
            </c:ext>
          </c:extLst>
        </c:ser>
        <c:ser>
          <c:idx val="2"/>
          <c:order val="7"/>
          <c:tx>
            <c:v> SPP</c:v>
          </c:tx>
          <c:spPr>
            <a:ln w="19050">
              <a:solidFill>
                <a:schemeClr val="bg2">
                  <a:lumMod val="50000"/>
                </a:schemeClr>
              </a:solidFill>
              <a:prstDash val="solid"/>
            </a:ln>
          </c:spPr>
          <c:marker>
            <c:symbol val="none"/>
          </c:marker>
          <c:dPt>
            <c:idx val="2"/>
            <c:bubble3D val="0"/>
            <c:extLst>
              <c:ext xmlns:c16="http://schemas.microsoft.com/office/drawing/2014/chart" uri="{C3380CC4-5D6E-409C-BE32-E72D297353CC}">
                <c16:uniqueId val="{0000002D-DDA2-42A5-B527-96975D387DD7}"/>
              </c:ext>
            </c:extLst>
          </c:dPt>
          <c:dPt>
            <c:idx val="3"/>
            <c:bubble3D val="0"/>
            <c:extLst>
              <c:ext xmlns:c16="http://schemas.microsoft.com/office/drawing/2014/chart" uri="{C3380CC4-5D6E-409C-BE32-E72D297353CC}">
                <c16:uniqueId val="{0000002E-DDA2-42A5-B527-96975D387DD7}"/>
              </c:ext>
            </c:extLst>
          </c:dPt>
          <c:dPt>
            <c:idx val="5"/>
            <c:bubble3D val="0"/>
            <c:extLst>
              <c:ext xmlns:c16="http://schemas.microsoft.com/office/drawing/2014/chart" uri="{C3380CC4-5D6E-409C-BE32-E72D297353CC}">
                <c16:uniqueId val="{0000002F-DDA2-42A5-B527-96975D387DD7}"/>
              </c:ext>
            </c:extLst>
          </c:dPt>
          <c:cat>
            <c:strRef>
              <c:f>'Wind LCOE Over Time'!$A$28:$A$48</c:f>
              <c:strCache>
                <c:ptCount val="21"/>
                <c:pt idx="0">
                  <c:v>1998-99</c:v>
                </c:pt>
                <c:pt idx="1">
                  <c:v>2000-01</c:v>
                </c:pt>
                <c:pt idx="2">
                  <c:v>2002-03</c:v>
                </c:pt>
                <c:pt idx="3">
                  <c:v>2004-05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strCache>
            </c:strRef>
          </c:cat>
          <c:val>
            <c:numRef>
              <c:f>'Wind LCOE Over Time'!$D$28:$D$48</c:f>
              <c:numCache>
                <c:formatCode>0</c:formatCode>
                <c:ptCount val="21"/>
                <c:pt idx="0">
                  <c:v>#N/A</c:v>
                </c:pt>
                <c:pt idx="1">
                  <c:v>79.316507477558872</c:v>
                </c:pt>
                <c:pt idx="2">
                  <c:v>77.282095571621156</c:v>
                </c:pt>
                <c:pt idx="3">
                  <c:v>70.598067631306321</c:v>
                </c:pt>
                <c:pt idx="4">
                  <c:v>88.811503181148879</c:v>
                </c:pt>
                <c:pt idx="5">
                  <c:v>79.877019946517166</c:v>
                </c:pt>
                <c:pt idx="6">
                  <c:v>88.917821635579969</c:v>
                </c:pt>
                <c:pt idx="7">
                  <c:v>87.055688457375098</c:v>
                </c:pt>
                <c:pt idx="8">
                  <c:v>87.399724207206518</c:v>
                </c:pt>
                <c:pt idx="9">
                  <c:v>79.573247232553342</c:v>
                </c:pt>
                <c:pt idx="10">
                  <c:v>67.915666712573582</c:v>
                </c:pt>
                <c:pt idx="11">
                  <c:v>49.496099295179093</c:v>
                </c:pt>
                <c:pt idx="12">
                  <c:v>51.141119050085585</c:v>
                </c:pt>
                <c:pt idx="13">
                  <c:v>45.486491874026335</c:v>
                </c:pt>
                <c:pt idx="14">
                  <c:v>42.772822085405785</c:v>
                </c:pt>
                <c:pt idx="15">
                  <c:v>41.745168544950566</c:v>
                </c:pt>
                <c:pt idx="16">
                  <c:v>32.293077137293245</c:v>
                </c:pt>
                <c:pt idx="17">
                  <c:v>35.235493196221221</c:v>
                </c:pt>
                <c:pt idx="18">
                  <c:v>32.770159065597142</c:v>
                </c:pt>
                <c:pt idx="19">
                  <c:v>34.815771127478698</c:v>
                </c:pt>
                <c:pt idx="20">
                  <c:v>29.936712873071066</c:v>
                </c:pt>
              </c:numCache>
            </c:numRef>
          </c:val>
          <c:smooth val="0"/>
          <c:extLst>
            <c:ext xmlns:c16="http://schemas.microsoft.com/office/drawing/2014/chart" uri="{C3380CC4-5D6E-409C-BE32-E72D297353CC}">
              <c16:uniqueId val="{00000030-DDA2-42A5-B527-96975D387DD7}"/>
            </c:ext>
          </c:extLst>
        </c:ser>
        <c:ser>
          <c:idx val="1"/>
          <c:order val="8"/>
          <c:tx>
            <c:v> ERCOT</c:v>
          </c:tx>
          <c:spPr>
            <a:ln w="19050">
              <a:solidFill>
                <a:schemeClr val="tx1">
                  <a:lumMod val="75000"/>
                  <a:lumOff val="25000"/>
                </a:schemeClr>
              </a:solidFill>
            </a:ln>
          </c:spPr>
          <c:marker>
            <c:symbol val="none"/>
          </c:marker>
          <c:dPt>
            <c:idx val="12"/>
            <c:bubble3D val="0"/>
            <c:spPr>
              <a:ln w="19050">
                <a:solidFill>
                  <a:schemeClr val="tx1">
                    <a:lumMod val="75000"/>
                    <a:lumOff val="25000"/>
                  </a:schemeClr>
                </a:solidFill>
                <a:prstDash val="sysDot"/>
              </a:ln>
            </c:spPr>
            <c:extLst>
              <c:ext xmlns:c16="http://schemas.microsoft.com/office/drawing/2014/chart" uri="{C3380CC4-5D6E-409C-BE32-E72D297353CC}">
                <c16:uniqueId val="{00000032-DDA2-42A5-B527-96975D387DD7}"/>
              </c:ext>
            </c:extLst>
          </c:dPt>
          <c:cat>
            <c:strRef>
              <c:f>'Wind LCOE Over Time'!$A$28:$A$48</c:f>
              <c:strCache>
                <c:ptCount val="21"/>
                <c:pt idx="0">
                  <c:v>1998-99</c:v>
                </c:pt>
                <c:pt idx="1">
                  <c:v>2000-01</c:v>
                </c:pt>
                <c:pt idx="2">
                  <c:v>2002-03</c:v>
                </c:pt>
                <c:pt idx="3">
                  <c:v>2004-05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strCache>
            </c:strRef>
          </c:cat>
          <c:val>
            <c:numRef>
              <c:f>'Wind LCOE Over Time'!$C$28:$C$48</c:f>
              <c:numCache>
                <c:formatCode>0</c:formatCode>
                <c:ptCount val="21"/>
                <c:pt idx="0">
                  <c:v>115.28677340596496</c:v>
                </c:pt>
                <c:pt idx="1">
                  <c:v>95.056301158781565</c:v>
                </c:pt>
                <c:pt idx="2">
                  <c:v>80.921886631250274</c:v>
                </c:pt>
                <c:pt idx="3">
                  <c:v>71.40832297522573</c:v>
                </c:pt>
                <c:pt idx="4">
                  <c:v>88.343583879370698</c:v>
                </c:pt>
                <c:pt idx="5">
                  <c:v>90.598010531728079</c:v>
                </c:pt>
                <c:pt idx="6">
                  <c:v>98.445436754661628</c:v>
                </c:pt>
                <c:pt idx="7">
                  <c:v>97.511971210208813</c:v>
                </c:pt>
                <c:pt idx="8">
                  <c:v>101.08653172245479</c:v>
                </c:pt>
                <c:pt idx="9">
                  <c:v>92.540478886528987</c:v>
                </c:pt>
                <c:pt idx="10">
                  <c:v>91.740770899494706</c:v>
                </c:pt>
                <c:pt idx="11">
                  <c:v>#N/A</c:v>
                </c:pt>
                <c:pt idx="12">
                  <c:v>50.546360713253492</c:v>
                </c:pt>
                <c:pt idx="13">
                  <c:v>54.08660090052549</c:v>
                </c:pt>
                <c:pt idx="14">
                  <c:v>46.012604370742217</c:v>
                </c:pt>
                <c:pt idx="15">
                  <c:v>43.684254472634528</c:v>
                </c:pt>
                <c:pt idx="16">
                  <c:v>34.08164108611998</c:v>
                </c:pt>
                <c:pt idx="17">
                  <c:v>41.074958414317187</c:v>
                </c:pt>
                <c:pt idx="18">
                  <c:v>40.684450726994548</c:v>
                </c:pt>
                <c:pt idx="19">
                  <c:v>40.98797296222309</c:v>
                </c:pt>
                <c:pt idx="20">
                  <c:v>30.558582875314972</c:v>
                </c:pt>
              </c:numCache>
            </c:numRef>
          </c:val>
          <c:smooth val="0"/>
          <c:extLst>
            <c:ext xmlns:c16="http://schemas.microsoft.com/office/drawing/2014/chart" uri="{C3380CC4-5D6E-409C-BE32-E72D297353CC}">
              <c16:uniqueId val="{00000033-DDA2-42A5-B527-96975D387DD7}"/>
            </c:ext>
          </c:extLst>
        </c:ser>
        <c:dLbls>
          <c:showLegendKey val="0"/>
          <c:showVal val="0"/>
          <c:showCatName val="0"/>
          <c:showSerName val="0"/>
          <c:showPercent val="0"/>
          <c:showBubbleSize val="0"/>
        </c:dLbls>
        <c:marker val="1"/>
        <c:smooth val="0"/>
        <c:axId val="161262592"/>
        <c:axId val="161268480"/>
      </c:lineChart>
      <c:catAx>
        <c:axId val="161262592"/>
        <c:scaling>
          <c:orientation val="minMax"/>
        </c:scaling>
        <c:delete val="0"/>
        <c:axPos val="b"/>
        <c:numFmt formatCode="General" sourceLinked="1"/>
        <c:majorTickMark val="out"/>
        <c:minorTickMark val="none"/>
        <c:tickLblPos val="nextTo"/>
        <c:spPr>
          <a:ln w="3175">
            <a:noFill/>
            <a:prstDash val="solid"/>
          </a:ln>
        </c:spPr>
        <c:txPr>
          <a:bodyPr rot="-5400000" vert="horz"/>
          <a:lstStyle/>
          <a:p>
            <a:pPr>
              <a:defRPr/>
            </a:pPr>
            <a:endParaRPr lang="en-US"/>
          </a:p>
        </c:txPr>
        <c:crossAx val="161268480"/>
        <c:crosses val="autoZero"/>
        <c:auto val="1"/>
        <c:lblAlgn val="ctr"/>
        <c:lblOffset val="50"/>
        <c:tickLblSkip val="1"/>
        <c:tickMarkSkip val="1"/>
        <c:noMultiLvlLbl val="1"/>
      </c:catAx>
      <c:valAx>
        <c:axId val="161268480"/>
        <c:scaling>
          <c:orientation val="minMax"/>
          <c:max val="160"/>
          <c:min val="0"/>
        </c:scaling>
        <c:delete val="0"/>
        <c:axPos val="l"/>
        <c:majorGridlines>
          <c:spPr>
            <a:ln w="3175">
              <a:solidFill>
                <a:schemeClr val="bg1">
                  <a:lumMod val="75000"/>
                </a:schemeClr>
              </a:solidFill>
            </a:ln>
          </c:spPr>
        </c:majorGridlines>
        <c:numFmt formatCode="#,##0" sourceLinked="0"/>
        <c:majorTickMark val="out"/>
        <c:minorTickMark val="none"/>
        <c:tickLblPos val="nextTo"/>
        <c:spPr>
          <a:noFill/>
          <a:ln w="3175">
            <a:noFill/>
            <a:prstDash val="solid"/>
          </a:ln>
        </c:spPr>
        <c:txPr>
          <a:bodyPr rot="0" vert="horz"/>
          <a:lstStyle/>
          <a:p>
            <a:pPr>
              <a:defRPr/>
            </a:pPr>
            <a:endParaRPr lang="en-US"/>
          </a:p>
        </c:txPr>
        <c:crossAx val="161262592"/>
        <c:crosses val="autoZero"/>
        <c:crossBetween val="between"/>
      </c:valAx>
      <c:spPr>
        <a:noFill/>
        <a:ln w="25400">
          <a:noFill/>
        </a:ln>
      </c:spPr>
    </c:plotArea>
    <c:legend>
      <c:legendPos val="l"/>
      <c:layout>
        <c:manualLayout>
          <c:xMode val="edge"/>
          <c:yMode val="edge"/>
          <c:x val="0.77057193666530643"/>
          <c:y val="8.7260034904013961E-3"/>
          <c:w val="0.22089021846912221"/>
          <c:h val="0.49083183051331231"/>
        </c:manualLayout>
      </c:layout>
      <c:overlay val="1"/>
      <c:spPr>
        <a:solidFill>
          <a:schemeClr val="bg1">
            <a:alpha val="80000"/>
          </a:schemeClr>
        </a:solidFill>
        <a:ln w="3175">
          <a:solidFill>
            <a:schemeClr val="bg1">
              <a:lumMod val="75000"/>
            </a:schemeClr>
          </a:solidFill>
        </a:ln>
      </c:spPr>
    </c:legend>
    <c:plotVisOnly val="1"/>
    <c:dispBlanksAs val="gap"/>
    <c:showDLblsOverMax val="0"/>
  </c:chart>
  <c:spPr>
    <a:solidFill>
      <a:schemeClr val="bg1"/>
    </a:solidFill>
    <a:ln w="9525">
      <a:noFill/>
    </a:ln>
  </c:spPr>
  <c:txPr>
    <a:bodyPr/>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printSettings>
    <c:headerFooter alignWithMargins="0"/>
    <c:pageMargins b="1" l="0.75" r="0.75" t="1" header="0.5" footer="0.5"/>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371424725755434E-2"/>
          <c:y val="0.11458671309302418"/>
          <c:w val="0.93529191062655626"/>
          <c:h val="0.69614872261570315"/>
        </c:manualLayout>
      </c:layout>
      <c:barChart>
        <c:barDir val="col"/>
        <c:grouping val="stacked"/>
        <c:varyColors val="0"/>
        <c:ser>
          <c:idx val="0"/>
          <c:order val="0"/>
          <c:tx>
            <c:v> Nationwide</c:v>
          </c:tx>
          <c:spPr>
            <a:solidFill>
              <a:schemeClr val="accent1">
                <a:lumMod val="60000"/>
                <a:lumOff val="40000"/>
              </a:schemeClr>
            </a:solidFill>
            <a:ln w="12700">
              <a:noFill/>
              <a:prstDash val="solid"/>
            </a:ln>
          </c:spPr>
          <c:invertIfNegative val="0"/>
          <c:dPt>
            <c:idx val="19"/>
            <c:invertIfNegative val="0"/>
            <c:bubble3D val="0"/>
            <c:spPr>
              <a:solidFill>
                <a:schemeClr val="accent6"/>
              </a:solidFill>
              <a:ln w="12700">
                <a:noFill/>
                <a:prstDash val="solid"/>
              </a:ln>
            </c:spPr>
            <c:extLst>
              <c:ext xmlns:c16="http://schemas.microsoft.com/office/drawing/2014/chart" uri="{C3380CC4-5D6E-409C-BE32-E72D297353CC}">
                <c16:uniqueId val="{00000001-CB3E-41AF-9AC4-CEE850379762}"/>
              </c:ext>
            </c:extLst>
          </c:dPt>
          <c:dPt>
            <c:idx val="20"/>
            <c:invertIfNegative val="0"/>
            <c:bubble3D val="0"/>
            <c:spPr>
              <a:solidFill>
                <a:schemeClr val="accent6"/>
              </a:solidFill>
              <a:ln w="12700">
                <a:noFill/>
                <a:prstDash val="solid"/>
              </a:ln>
            </c:spPr>
            <c:extLst>
              <c:ext xmlns:c16="http://schemas.microsoft.com/office/drawing/2014/chart" uri="{C3380CC4-5D6E-409C-BE32-E72D297353CC}">
                <c16:uniqueId val="{00000003-CB3E-41AF-9AC4-CEE850379762}"/>
              </c:ext>
            </c:extLst>
          </c:dPt>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'Wind LCOE Over Time'!$A$28:$A$48</c:f>
              <c:strCache>
                <c:ptCount val="21"/>
                <c:pt idx="0">
                  <c:v>1998-99</c:v>
                </c:pt>
                <c:pt idx="1">
                  <c:v>2000-01</c:v>
                </c:pt>
                <c:pt idx="2">
                  <c:v>2002-03</c:v>
                </c:pt>
                <c:pt idx="3">
                  <c:v>2004-05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strCache>
            </c:strRef>
          </c:cat>
          <c:val>
            <c:numRef>
              <c:f>'Wind LCOE Over Time'!$B$28:$B$48</c:f>
              <c:numCache>
                <c:formatCode>0</c:formatCode>
                <c:ptCount val="21"/>
                <c:pt idx="0">
                  <c:v>114.08964046143466</c:v>
                </c:pt>
                <c:pt idx="1">
                  <c:v>96.197472316754158</c:v>
                </c:pt>
                <c:pt idx="2">
                  <c:v>89.811857590445342</c:v>
                </c:pt>
                <c:pt idx="3">
                  <c:v>76.199571207436819</c:v>
                </c:pt>
                <c:pt idx="4">
                  <c:v>88.991149108703212</c:v>
                </c:pt>
                <c:pt idx="5">
                  <c:v>88.800824495775828</c:v>
                </c:pt>
                <c:pt idx="6">
                  <c:v>97.802850672996684</c:v>
                </c:pt>
                <c:pt idx="7">
                  <c:v>105.09877306287333</c:v>
                </c:pt>
                <c:pt idx="8">
                  <c:v>101.76854591433974</c:v>
                </c:pt>
                <c:pt idx="9">
                  <c:v>102.23670308556474</c:v>
                </c:pt>
                <c:pt idx="10">
                  <c:v>83.828148117385581</c:v>
                </c:pt>
                <c:pt idx="11">
                  <c:v>65.425831781336967</c:v>
                </c:pt>
                <c:pt idx="12">
                  <c:v>55.901743846279672</c:v>
                </c:pt>
                <c:pt idx="13">
                  <c:v>51.385121354923008</c:v>
                </c:pt>
                <c:pt idx="14">
                  <c:v>46.499265930713605</c:v>
                </c:pt>
                <c:pt idx="15">
                  <c:v>43.810809093845457</c:v>
                </c:pt>
                <c:pt idx="16">
                  <c:v>36.090970537831616</c:v>
                </c:pt>
                <c:pt idx="17">
                  <c:v>38.424358188025423</c:v>
                </c:pt>
                <c:pt idx="18">
                  <c:v>37.286324194627468</c:v>
                </c:pt>
                <c:pt idx="19">
                  <c:v>38.191768207852412</c:v>
                </c:pt>
                <c:pt idx="20">
                  <c:v>32.037738834205079</c:v>
                </c:pt>
              </c:numCache>
            </c:numRef>
          </c:val>
          <c:extLst>
            <c:ext xmlns:c16="http://schemas.microsoft.com/office/drawing/2014/chart" uri="{C3380CC4-5D6E-409C-BE32-E72D297353CC}">
              <c16:uniqueId val="{00000004-CB3E-41AF-9AC4-CEE850379762}"/>
            </c:ext>
          </c:extLst>
        </c:ser>
        <c:dLbls>
          <c:showLegendKey val="0"/>
          <c:showVal val="0"/>
          <c:showCatName val="0"/>
          <c:showSerName val="0"/>
          <c:showPercent val="0"/>
          <c:showBubbleSize val="0"/>
        </c:dLbls>
        <c:gapWidth val="30"/>
        <c:overlap val="100"/>
        <c:axId val="161262592"/>
        <c:axId val="161268480"/>
      </c:barChart>
      <c:catAx>
        <c:axId val="161262592"/>
        <c:scaling>
          <c:orientation val="minMax"/>
        </c:scaling>
        <c:delete val="0"/>
        <c:axPos val="b"/>
        <c:numFmt formatCode="General" sourceLinked="1"/>
        <c:majorTickMark val="out"/>
        <c:minorTickMark val="none"/>
        <c:tickLblPos val="nextTo"/>
        <c:spPr>
          <a:ln w="3175">
            <a:noFill/>
            <a:prstDash val="solid"/>
          </a:ln>
        </c:spPr>
        <c:txPr>
          <a:bodyPr rot="-5400000" vert="horz"/>
          <a:lstStyle/>
          <a:p>
            <a:pPr>
              <a:defRPr/>
            </a:pPr>
            <a:endParaRPr lang="en-US"/>
          </a:p>
        </c:txPr>
        <c:crossAx val="161268480"/>
        <c:crosses val="autoZero"/>
        <c:auto val="1"/>
        <c:lblAlgn val="ctr"/>
        <c:lblOffset val="50"/>
        <c:tickLblSkip val="1"/>
        <c:tickMarkSkip val="1"/>
        <c:noMultiLvlLbl val="1"/>
      </c:catAx>
      <c:valAx>
        <c:axId val="161268480"/>
        <c:scaling>
          <c:orientation val="minMax"/>
          <c:max val="160"/>
          <c:min val="0"/>
        </c:scaling>
        <c:delete val="0"/>
        <c:axPos val="l"/>
        <c:majorGridlines>
          <c:spPr>
            <a:ln w="3175">
              <a:solidFill>
                <a:schemeClr val="bg1">
                  <a:lumMod val="75000"/>
                </a:schemeClr>
              </a:solidFill>
            </a:ln>
          </c:spPr>
        </c:majorGridlines>
        <c:numFmt formatCode="#,##0" sourceLinked="0"/>
        <c:majorTickMark val="out"/>
        <c:minorTickMark val="none"/>
        <c:tickLblPos val="nextTo"/>
        <c:spPr>
          <a:noFill/>
          <a:ln w="3175">
            <a:noFill/>
            <a:prstDash val="solid"/>
          </a:ln>
        </c:spPr>
        <c:txPr>
          <a:bodyPr rot="0" vert="horz"/>
          <a:lstStyle/>
          <a:p>
            <a:pPr>
              <a:defRPr/>
            </a:pPr>
            <a:endParaRPr lang="en-US"/>
          </a:p>
        </c:txPr>
        <c:crossAx val="161262592"/>
        <c:crosses val="autoZero"/>
        <c:crossBetween val="between"/>
        <c:majorUnit val="20"/>
      </c:valAx>
      <c:spPr>
        <a:noFill/>
        <a:ln w="25400">
          <a:noFill/>
        </a:ln>
      </c:spPr>
    </c:plotArea>
    <c:plotVisOnly val="1"/>
    <c:dispBlanksAs val="gap"/>
    <c:showDLblsOverMax val="0"/>
  </c:chart>
  <c:spPr>
    <a:solidFill>
      <a:schemeClr val="bg1"/>
    </a:solidFill>
    <a:ln w="9525">
      <a:noFill/>
    </a:ln>
  </c:spPr>
  <c:txPr>
    <a:bodyPr/>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printSettings>
    <c:headerFooter alignWithMargins="0"/>
    <c:pageMargins b="1" l="0.75" r="0.75" t="1" header="0.5" footer="0.5"/>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50817686250757E-2"/>
          <c:y val="6.0232730301806078E-2"/>
          <c:w val="0.91708490164545176"/>
          <c:h val="0.88508336970640711"/>
        </c:manualLayout>
      </c:layout>
      <c:bubbleChart>
        <c:varyColors val="0"/>
        <c:ser>
          <c:idx val="0"/>
          <c:order val="0"/>
          <c:spPr>
            <a:noFill/>
            <a:ln w="3175">
              <a:solidFill>
                <a:schemeClr val="tx1">
                  <a:lumMod val="50000"/>
                  <a:lumOff val="50000"/>
                </a:schemeClr>
              </a:solidFill>
            </a:ln>
            <a:effectLst/>
          </c:spPr>
          <c:invertIfNegative val="0"/>
          <c:xVal>
            <c:numRef>
              <c:f>'Wind LCOE Over Time'!$P$28:$P$1048</c:f>
              <c:numCache>
                <c:formatCode>General</c:formatCode>
                <c:ptCount val="102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3</c:v>
                </c:pt>
                <c:pt idx="64">
                  <c:v>3</c:v>
                </c:pt>
                <c:pt idx="65">
                  <c:v>3</c:v>
                </c:pt>
                <c:pt idx="66">
                  <c:v>3</c:v>
                </c:pt>
                <c:pt idx="67">
                  <c:v>3</c:v>
                </c:pt>
                <c:pt idx="68">
                  <c:v>3</c:v>
                </c:pt>
                <c:pt idx="69">
                  <c:v>3</c:v>
                </c:pt>
                <c:pt idx="70">
                  <c:v>3</c:v>
                </c:pt>
                <c:pt idx="71">
                  <c:v>3</c:v>
                </c:pt>
                <c:pt idx="72">
                  <c:v>3</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5</c:v>
                </c:pt>
                <c:pt idx="98">
                  <c:v>5</c:v>
                </c:pt>
                <c:pt idx="99">
                  <c:v>5</c:v>
                </c:pt>
                <c:pt idx="100">
                  <c:v>5</c:v>
                </c:pt>
                <c:pt idx="101">
                  <c:v>5</c:v>
                </c:pt>
                <c:pt idx="102">
                  <c:v>5</c:v>
                </c:pt>
                <c:pt idx="103">
                  <c:v>5</c:v>
                </c:pt>
                <c:pt idx="104">
                  <c:v>5</c:v>
                </c:pt>
                <c:pt idx="105">
                  <c:v>5</c:v>
                </c:pt>
                <c:pt idx="106">
                  <c:v>5</c:v>
                </c:pt>
                <c:pt idx="107">
                  <c:v>5</c:v>
                </c:pt>
                <c:pt idx="108">
                  <c:v>5</c:v>
                </c:pt>
                <c:pt idx="109">
                  <c:v>5</c:v>
                </c:pt>
                <c:pt idx="110">
                  <c:v>5</c:v>
                </c:pt>
                <c:pt idx="111">
                  <c:v>5</c:v>
                </c:pt>
                <c:pt idx="112">
                  <c:v>5</c:v>
                </c:pt>
                <c:pt idx="113">
                  <c:v>5</c:v>
                </c:pt>
                <c:pt idx="114">
                  <c:v>5</c:v>
                </c:pt>
                <c:pt idx="115">
                  <c:v>5</c:v>
                </c:pt>
                <c:pt idx="116">
                  <c:v>6</c:v>
                </c:pt>
                <c:pt idx="117">
                  <c:v>6</c:v>
                </c:pt>
                <c:pt idx="118">
                  <c:v>6</c:v>
                </c:pt>
                <c:pt idx="119">
                  <c:v>6</c:v>
                </c:pt>
                <c:pt idx="120">
                  <c:v>6</c:v>
                </c:pt>
                <c:pt idx="121">
                  <c:v>6</c:v>
                </c:pt>
                <c:pt idx="122">
                  <c:v>6</c:v>
                </c:pt>
                <c:pt idx="123">
                  <c:v>6</c:v>
                </c:pt>
                <c:pt idx="124">
                  <c:v>6</c:v>
                </c:pt>
                <c:pt idx="125">
                  <c:v>6</c:v>
                </c:pt>
                <c:pt idx="126">
                  <c:v>6</c:v>
                </c:pt>
                <c:pt idx="127">
                  <c:v>6</c:v>
                </c:pt>
                <c:pt idx="128">
                  <c:v>6</c:v>
                </c:pt>
                <c:pt idx="129">
                  <c:v>6</c:v>
                </c:pt>
                <c:pt idx="130">
                  <c:v>6</c:v>
                </c:pt>
                <c:pt idx="131">
                  <c:v>6</c:v>
                </c:pt>
                <c:pt idx="132">
                  <c:v>6</c:v>
                </c:pt>
                <c:pt idx="133">
                  <c:v>6</c:v>
                </c:pt>
                <c:pt idx="134">
                  <c:v>6</c:v>
                </c:pt>
                <c:pt idx="135">
                  <c:v>6</c:v>
                </c:pt>
                <c:pt idx="136">
                  <c:v>6</c:v>
                </c:pt>
                <c:pt idx="137">
                  <c:v>6</c:v>
                </c:pt>
                <c:pt idx="138">
                  <c:v>6</c:v>
                </c:pt>
                <c:pt idx="139">
                  <c:v>6</c:v>
                </c:pt>
                <c:pt idx="140">
                  <c:v>6</c:v>
                </c:pt>
                <c:pt idx="141">
                  <c:v>6</c:v>
                </c:pt>
                <c:pt idx="142">
                  <c:v>6</c:v>
                </c:pt>
                <c:pt idx="143">
                  <c:v>6</c:v>
                </c:pt>
                <c:pt idx="144">
                  <c:v>6</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8</c:v>
                </c:pt>
                <c:pt idx="209">
                  <c:v>8</c:v>
                </c:pt>
                <c:pt idx="210">
                  <c:v>8</c:v>
                </c:pt>
                <c:pt idx="211">
                  <c:v>8</c:v>
                </c:pt>
                <c:pt idx="212">
                  <c:v>8</c:v>
                </c:pt>
                <c:pt idx="213">
                  <c:v>8</c:v>
                </c:pt>
                <c:pt idx="214">
                  <c:v>8</c:v>
                </c:pt>
                <c:pt idx="215">
                  <c:v>8</c:v>
                </c:pt>
                <c:pt idx="216">
                  <c:v>8</c:v>
                </c:pt>
                <c:pt idx="217">
                  <c:v>8</c:v>
                </c:pt>
                <c:pt idx="218">
                  <c:v>8</c:v>
                </c:pt>
                <c:pt idx="219">
                  <c:v>8</c:v>
                </c:pt>
                <c:pt idx="220">
                  <c:v>8</c:v>
                </c:pt>
                <c:pt idx="221">
                  <c:v>8</c:v>
                </c:pt>
                <c:pt idx="222">
                  <c:v>8</c:v>
                </c:pt>
                <c:pt idx="223">
                  <c:v>8</c:v>
                </c:pt>
                <c:pt idx="224">
                  <c:v>8</c:v>
                </c:pt>
                <c:pt idx="225">
                  <c:v>8</c:v>
                </c:pt>
                <c:pt idx="226">
                  <c:v>8</c:v>
                </c:pt>
                <c:pt idx="227">
                  <c:v>8</c:v>
                </c:pt>
                <c:pt idx="228">
                  <c:v>8</c:v>
                </c:pt>
                <c:pt idx="229">
                  <c:v>8</c:v>
                </c:pt>
                <c:pt idx="230">
                  <c:v>8</c:v>
                </c:pt>
                <c:pt idx="231">
                  <c:v>8</c:v>
                </c:pt>
                <c:pt idx="232">
                  <c:v>8</c:v>
                </c:pt>
                <c:pt idx="233">
                  <c:v>8</c:v>
                </c:pt>
                <c:pt idx="234">
                  <c:v>8</c:v>
                </c:pt>
                <c:pt idx="235">
                  <c:v>8</c:v>
                </c:pt>
                <c:pt idx="236">
                  <c:v>8</c:v>
                </c:pt>
                <c:pt idx="237">
                  <c:v>8</c:v>
                </c:pt>
                <c:pt idx="238">
                  <c:v>8</c:v>
                </c:pt>
                <c:pt idx="239">
                  <c:v>8</c:v>
                </c:pt>
                <c:pt idx="240">
                  <c:v>8</c:v>
                </c:pt>
                <c:pt idx="241">
                  <c:v>8</c:v>
                </c:pt>
                <c:pt idx="242">
                  <c:v>8</c:v>
                </c:pt>
                <c:pt idx="243">
                  <c:v>8</c:v>
                </c:pt>
                <c:pt idx="244">
                  <c:v>8</c:v>
                </c:pt>
                <c:pt idx="245">
                  <c:v>8</c:v>
                </c:pt>
                <c:pt idx="246">
                  <c:v>8</c:v>
                </c:pt>
                <c:pt idx="247">
                  <c:v>8</c:v>
                </c:pt>
                <c:pt idx="248">
                  <c:v>8</c:v>
                </c:pt>
                <c:pt idx="249">
                  <c:v>8</c:v>
                </c:pt>
                <c:pt idx="250">
                  <c:v>8</c:v>
                </c:pt>
                <c:pt idx="251">
                  <c:v>8</c:v>
                </c:pt>
                <c:pt idx="252">
                  <c:v>8</c:v>
                </c:pt>
                <c:pt idx="253">
                  <c:v>8</c:v>
                </c:pt>
                <c:pt idx="254">
                  <c:v>8</c:v>
                </c:pt>
                <c:pt idx="255">
                  <c:v>8</c:v>
                </c:pt>
                <c:pt idx="256">
                  <c:v>8</c:v>
                </c:pt>
                <c:pt idx="257">
                  <c:v>8</c:v>
                </c:pt>
                <c:pt idx="258">
                  <c:v>8</c:v>
                </c:pt>
                <c:pt idx="259">
                  <c:v>8</c:v>
                </c:pt>
                <c:pt idx="260">
                  <c:v>8</c:v>
                </c:pt>
                <c:pt idx="261">
                  <c:v>8</c:v>
                </c:pt>
                <c:pt idx="262">
                  <c:v>8</c:v>
                </c:pt>
                <c:pt idx="263">
                  <c:v>8</c:v>
                </c:pt>
                <c:pt idx="264">
                  <c:v>8</c:v>
                </c:pt>
                <c:pt idx="265">
                  <c:v>8</c:v>
                </c:pt>
                <c:pt idx="266">
                  <c:v>8</c:v>
                </c:pt>
                <c:pt idx="267">
                  <c:v>8</c:v>
                </c:pt>
                <c:pt idx="268">
                  <c:v>8</c:v>
                </c:pt>
                <c:pt idx="269">
                  <c:v>8</c:v>
                </c:pt>
                <c:pt idx="270">
                  <c:v>8</c:v>
                </c:pt>
                <c:pt idx="271">
                  <c:v>8</c:v>
                </c:pt>
                <c:pt idx="272">
                  <c:v>8</c:v>
                </c:pt>
                <c:pt idx="273">
                  <c:v>8</c:v>
                </c:pt>
                <c:pt idx="274">
                  <c:v>8</c:v>
                </c:pt>
                <c:pt idx="275">
                  <c:v>8</c:v>
                </c:pt>
                <c:pt idx="276">
                  <c:v>8</c:v>
                </c:pt>
                <c:pt idx="277">
                  <c:v>8</c:v>
                </c:pt>
                <c:pt idx="278">
                  <c:v>8</c:v>
                </c:pt>
                <c:pt idx="279">
                  <c:v>8</c:v>
                </c:pt>
                <c:pt idx="280">
                  <c:v>8</c:v>
                </c:pt>
                <c:pt idx="281">
                  <c:v>8</c:v>
                </c:pt>
                <c:pt idx="282">
                  <c:v>8</c:v>
                </c:pt>
                <c:pt idx="283">
                  <c:v>8</c:v>
                </c:pt>
                <c:pt idx="284">
                  <c:v>8</c:v>
                </c:pt>
                <c:pt idx="285">
                  <c:v>8</c:v>
                </c:pt>
                <c:pt idx="286">
                  <c:v>8</c:v>
                </c:pt>
                <c:pt idx="287">
                  <c:v>8</c:v>
                </c:pt>
                <c:pt idx="288">
                  <c:v>8</c:v>
                </c:pt>
                <c:pt idx="289">
                  <c:v>8</c:v>
                </c:pt>
                <c:pt idx="290">
                  <c:v>8</c:v>
                </c:pt>
                <c:pt idx="291">
                  <c:v>8</c:v>
                </c:pt>
                <c:pt idx="292">
                  <c:v>8</c:v>
                </c:pt>
                <c:pt idx="293">
                  <c:v>8</c:v>
                </c:pt>
                <c:pt idx="294">
                  <c:v>8</c:v>
                </c:pt>
                <c:pt idx="295">
                  <c:v>8</c:v>
                </c:pt>
                <c:pt idx="296">
                  <c:v>8</c:v>
                </c:pt>
                <c:pt idx="297">
                  <c:v>8</c:v>
                </c:pt>
                <c:pt idx="298">
                  <c:v>8</c:v>
                </c:pt>
                <c:pt idx="299">
                  <c:v>8</c:v>
                </c:pt>
                <c:pt idx="300">
                  <c:v>8</c:v>
                </c:pt>
                <c:pt idx="301">
                  <c:v>8</c:v>
                </c:pt>
                <c:pt idx="302">
                  <c:v>8</c:v>
                </c:pt>
                <c:pt idx="303">
                  <c:v>8</c:v>
                </c:pt>
                <c:pt idx="304">
                  <c:v>8</c:v>
                </c:pt>
                <c:pt idx="305">
                  <c:v>9</c:v>
                </c:pt>
                <c:pt idx="306">
                  <c:v>9</c:v>
                </c:pt>
                <c:pt idx="307">
                  <c:v>9</c:v>
                </c:pt>
                <c:pt idx="308">
                  <c:v>9</c:v>
                </c:pt>
                <c:pt idx="309">
                  <c:v>9</c:v>
                </c:pt>
                <c:pt idx="310">
                  <c:v>9</c:v>
                </c:pt>
                <c:pt idx="311">
                  <c:v>9</c:v>
                </c:pt>
                <c:pt idx="312">
                  <c:v>9</c:v>
                </c:pt>
                <c:pt idx="313">
                  <c:v>9</c:v>
                </c:pt>
                <c:pt idx="314">
                  <c:v>9</c:v>
                </c:pt>
                <c:pt idx="315">
                  <c:v>9</c:v>
                </c:pt>
                <c:pt idx="316">
                  <c:v>9</c:v>
                </c:pt>
                <c:pt idx="317">
                  <c:v>9</c:v>
                </c:pt>
                <c:pt idx="318">
                  <c:v>9</c:v>
                </c:pt>
                <c:pt idx="319">
                  <c:v>9</c:v>
                </c:pt>
                <c:pt idx="320">
                  <c:v>9</c:v>
                </c:pt>
                <c:pt idx="321">
                  <c:v>9</c:v>
                </c:pt>
                <c:pt idx="322">
                  <c:v>9</c:v>
                </c:pt>
                <c:pt idx="323">
                  <c:v>9</c:v>
                </c:pt>
                <c:pt idx="324">
                  <c:v>9</c:v>
                </c:pt>
                <c:pt idx="325">
                  <c:v>9</c:v>
                </c:pt>
                <c:pt idx="326">
                  <c:v>9</c:v>
                </c:pt>
                <c:pt idx="327">
                  <c:v>9</c:v>
                </c:pt>
                <c:pt idx="328">
                  <c:v>9</c:v>
                </c:pt>
                <c:pt idx="329">
                  <c:v>9</c:v>
                </c:pt>
                <c:pt idx="330">
                  <c:v>9</c:v>
                </c:pt>
                <c:pt idx="331">
                  <c:v>9</c:v>
                </c:pt>
                <c:pt idx="332">
                  <c:v>9</c:v>
                </c:pt>
                <c:pt idx="333">
                  <c:v>9</c:v>
                </c:pt>
                <c:pt idx="334">
                  <c:v>9</c:v>
                </c:pt>
                <c:pt idx="335">
                  <c:v>9</c:v>
                </c:pt>
                <c:pt idx="336">
                  <c:v>9</c:v>
                </c:pt>
                <c:pt idx="337">
                  <c:v>9</c:v>
                </c:pt>
                <c:pt idx="338">
                  <c:v>9</c:v>
                </c:pt>
                <c:pt idx="339">
                  <c:v>9</c:v>
                </c:pt>
                <c:pt idx="340">
                  <c:v>9</c:v>
                </c:pt>
                <c:pt idx="341">
                  <c:v>9</c:v>
                </c:pt>
                <c:pt idx="342">
                  <c:v>9</c:v>
                </c:pt>
                <c:pt idx="343">
                  <c:v>9</c:v>
                </c:pt>
                <c:pt idx="344">
                  <c:v>9</c:v>
                </c:pt>
                <c:pt idx="345">
                  <c:v>9</c:v>
                </c:pt>
                <c:pt idx="346">
                  <c:v>9</c:v>
                </c:pt>
                <c:pt idx="347">
                  <c:v>9</c:v>
                </c:pt>
                <c:pt idx="348">
                  <c:v>9</c:v>
                </c:pt>
                <c:pt idx="349">
                  <c:v>9</c:v>
                </c:pt>
                <c:pt idx="350">
                  <c:v>9</c:v>
                </c:pt>
                <c:pt idx="351">
                  <c:v>9</c:v>
                </c:pt>
                <c:pt idx="352">
                  <c:v>9</c:v>
                </c:pt>
                <c:pt idx="353">
                  <c:v>9</c:v>
                </c:pt>
                <c:pt idx="354">
                  <c:v>9</c:v>
                </c:pt>
                <c:pt idx="355">
                  <c:v>9</c:v>
                </c:pt>
                <c:pt idx="356">
                  <c:v>9</c:v>
                </c:pt>
                <c:pt idx="357">
                  <c:v>9</c:v>
                </c:pt>
                <c:pt idx="358">
                  <c:v>9</c:v>
                </c:pt>
                <c:pt idx="359">
                  <c:v>9</c:v>
                </c:pt>
                <c:pt idx="360">
                  <c:v>9</c:v>
                </c:pt>
                <c:pt idx="361">
                  <c:v>9</c:v>
                </c:pt>
                <c:pt idx="362">
                  <c:v>10</c:v>
                </c:pt>
                <c:pt idx="363">
                  <c:v>10</c:v>
                </c:pt>
                <c:pt idx="364">
                  <c:v>10</c:v>
                </c:pt>
                <c:pt idx="365">
                  <c:v>10</c:v>
                </c:pt>
                <c:pt idx="366">
                  <c:v>10</c:v>
                </c:pt>
                <c:pt idx="367">
                  <c:v>10</c:v>
                </c:pt>
                <c:pt idx="368">
                  <c:v>10</c:v>
                </c:pt>
                <c:pt idx="369">
                  <c:v>10</c:v>
                </c:pt>
                <c:pt idx="370">
                  <c:v>10</c:v>
                </c:pt>
                <c:pt idx="371">
                  <c:v>10</c:v>
                </c:pt>
                <c:pt idx="372">
                  <c:v>10</c:v>
                </c:pt>
                <c:pt idx="373">
                  <c:v>10</c:v>
                </c:pt>
                <c:pt idx="374">
                  <c:v>10</c:v>
                </c:pt>
                <c:pt idx="375">
                  <c:v>10</c:v>
                </c:pt>
                <c:pt idx="376">
                  <c:v>10</c:v>
                </c:pt>
                <c:pt idx="377">
                  <c:v>10</c:v>
                </c:pt>
                <c:pt idx="378">
                  <c:v>10</c:v>
                </c:pt>
                <c:pt idx="379">
                  <c:v>10</c:v>
                </c:pt>
                <c:pt idx="380">
                  <c:v>10</c:v>
                </c:pt>
                <c:pt idx="381">
                  <c:v>10</c:v>
                </c:pt>
                <c:pt idx="382">
                  <c:v>10</c:v>
                </c:pt>
                <c:pt idx="383">
                  <c:v>10</c:v>
                </c:pt>
                <c:pt idx="384">
                  <c:v>10</c:v>
                </c:pt>
                <c:pt idx="385">
                  <c:v>10</c:v>
                </c:pt>
                <c:pt idx="386">
                  <c:v>10</c:v>
                </c:pt>
                <c:pt idx="387">
                  <c:v>10</c:v>
                </c:pt>
                <c:pt idx="388">
                  <c:v>10</c:v>
                </c:pt>
                <c:pt idx="389">
                  <c:v>10</c:v>
                </c:pt>
                <c:pt idx="390">
                  <c:v>10</c:v>
                </c:pt>
                <c:pt idx="391">
                  <c:v>10</c:v>
                </c:pt>
                <c:pt idx="392">
                  <c:v>10</c:v>
                </c:pt>
                <c:pt idx="393">
                  <c:v>10</c:v>
                </c:pt>
                <c:pt idx="394">
                  <c:v>10</c:v>
                </c:pt>
                <c:pt idx="395">
                  <c:v>10</c:v>
                </c:pt>
                <c:pt idx="396">
                  <c:v>10</c:v>
                </c:pt>
                <c:pt idx="397">
                  <c:v>10</c:v>
                </c:pt>
                <c:pt idx="398">
                  <c:v>10</c:v>
                </c:pt>
                <c:pt idx="399">
                  <c:v>10</c:v>
                </c:pt>
                <c:pt idx="400">
                  <c:v>10</c:v>
                </c:pt>
                <c:pt idx="401">
                  <c:v>10</c:v>
                </c:pt>
                <c:pt idx="402">
                  <c:v>10</c:v>
                </c:pt>
                <c:pt idx="403">
                  <c:v>10</c:v>
                </c:pt>
                <c:pt idx="404">
                  <c:v>10</c:v>
                </c:pt>
                <c:pt idx="405">
                  <c:v>10</c:v>
                </c:pt>
                <c:pt idx="406">
                  <c:v>10</c:v>
                </c:pt>
                <c:pt idx="407">
                  <c:v>10</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pt idx="425">
                  <c:v>10</c:v>
                </c:pt>
                <c:pt idx="426">
                  <c:v>10</c:v>
                </c:pt>
                <c:pt idx="427">
                  <c:v>10</c:v>
                </c:pt>
                <c:pt idx="428">
                  <c:v>10</c:v>
                </c:pt>
                <c:pt idx="429">
                  <c:v>11</c:v>
                </c:pt>
                <c:pt idx="430">
                  <c:v>11</c:v>
                </c:pt>
                <c:pt idx="431">
                  <c:v>11</c:v>
                </c:pt>
                <c:pt idx="432">
                  <c:v>11</c:v>
                </c:pt>
                <c:pt idx="433">
                  <c:v>11</c:v>
                </c:pt>
                <c:pt idx="434">
                  <c:v>11</c:v>
                </c:pt>
                <c:pt idx="435">
                  <c:v>11</c:v>
                </c:pt>
                <c:pt idx="436">
                  <c:v>11</c:v>
                </c:pt>
                <c:pt idx="437">
                  <c:v>11</c:v>
                </c:pt>
                <c:pt idx="438">
                  <c:v>11</c:v>
                </c:pt>
                <c:pt idx="439">
                  <c:v>11</c:v>
                </c:pt>
                <c:pt idx="440">
                  <c:v>11</c:v>
                </c:pt>
                <c:pt idx="441">
                  <c:v>11</c:v>
                </c:pt>
                <c:pt idx="442">
                  <c:v>11</c:v>
                </c:pt>
                <c:pt idx="443">
                  <c:v>11</c:v>
                </c:pt>
                <c:pt idx="444">
                  <c:v>11</c:v>
                </c:pt>
                <c:pt idx="445">
                  <c:v>11</c:v>
                </c:pt>
                <c:pt idx="446">
                  <c:v>11</c:v>
                </c:pt>
                <c:pt idx="447">
                  <c:v>11</c:v>
                </c:pt>
                <c:pt idx="448">
                  <c:v>11</c:v>
                </c:pt>
                <c:pt idx="449">
                  <c:v>11</c:v>
                </c:pt>
                <c:pt idx="450">
                  <c:v>11</c:v>
                </c:pt>
                <c:pt idx="451">
                  <c:v>11</c:v>
                </c:pt>
                <c:pt idx="452">
                  <c:v>11</c:v>
                </c:pt>
                <c:pt idx="453">
                  <c:v>11</c:v>
                </c:pt>
                <c:pt idx="454">
                  <c:v>11</c:v>
                </c:pt>
                <c:pt idx="455">
                  <c:v>11</c:v>
                </c:pt>
                <c:pt idx="456">
                  <c:v>11</c:v>
                </c:pt>
                <c:pt idx="457">
                  <c:v>11</c:v>
                </c:pt>
                <c:pt idx="458">
                  <c:v>11</c:v>
                </c:pt>
                <c:pt idx="459">
                  <c:v>11</c:v>
                </c:pt>
                <c:pt idx="460">
                  <c:v>11</c:v>
                </c:pt>
                <c:pt idx="461">
                  <c:v>11</c:v>
                </c:pt>
                <c:pt idx="462">
                  <c:v>11</c:v>
                </c:pt>
                <c:pt idx="463">
                  <c:v>11</c:v>
                </c:pt>
                <c:pt idx="464">
                  <c:v>11</c:v>
                </c:pt>
                <c:pt idx="465">
                  <c:v>11</c:v>
                </c:pt>
                <c:pt idx="466">
                  <c:v>11</c:v>
                </c:pt>
                <c:pt idx="467">
                  <c:v>11</c:v>
                </c:pt>
                <c:pt idx="468">
                  <c:v>11</c:v>
                </c:pt>
                <c:pt idx="469">
                  <c:v>11</c:v>
                </c:pt>
                <c:pt idx="470">
                  <c:v>11</c:v>
                </c:pt>
                <c:pt idx="471">
                  <c:v>11</c:v>
                </c:pt>
                <c:pt idx="472">
                  <c:v>11</c:v>
                </c:pt>
                <c:pt idx="473">
                  <c:v>11</c:v>
                </c:pt>
                <c:pt idx="474">
                  <c:v>11</c:v>
                </c:pt>
                <c:pt idx="475">
                  <c:v>11</c:v>
                </c:pt>
                <c:pt idx="476">
                  <c:v>11</c:v>
                </c:pt>
                <c:pt idx="477">
                  <c:v>11</c:v>
                </c:pt>
                <c:pt idx="478">
                  <c:v>11</c:v>
                </c:pt>
                <c:pt idx="479">
                  <c:v>11</c:v>
                </c:pt>
                <c:pt idx="480">
                  <c:v>11</c:v>
                </c:pt>
                <c:pt idx="481">
                  <c:v>11</c:v>
                </c:pt>
                <c:pt idx="482">
                  <c:v>11</c:v>
                </c:pt>
                <c:pt idx="483">
                  <c:v>11</c:v>
                </c:pt>
                <c:pt idx="484">
                  <c:v>11</c:v>
                </c:pt>
                <c:pt idx="485">
                  <c:v>11</c:v>
                </c:pt>
                <c:pt idx="486">
                  <c:v>11</c:v>
                </c:pt>
                <c:pt idx="487">
                  <c:v>11</c:v>
                </c:pt>
                <c:pt idx="488">
                  <c:v>11</c:v>
                </c:pt>
                <c:pt idx="489">
                  <c:v>11</c:v>
                </c:pt>
                <c:pt idx="490">
                  <c:v>11</c:v>
                </c:pt>
                <c:pt idx="491">
                  <c:v>11</c:v>
                </c:pt>
                <c:pt idx="492">
                  <c:v>11</c:v>
                </c:pt>
                <c:pt idx="493">
                  <c:v>11</c:v>
                </c:pt>
                <c:pt idx="494">
                  <c:v>11</c:v>
                </c:pt>
                <c:pt idx="495">
                  <c:v>11</c:v>
                </c:pt>
                <c:pt idx="496">
                  <c:v>11</c:v>
                </c:pt>
                <c:pt idx="497">
                  <c:v>11</c:v>
                </c:pt>
                <c:pt idx="498">
                  <c:v>11</c:v>
                </c:pt>
                <c:pt idx="499">
                  <c:v>11</c:v>
                </c:pt>
                <c:pt idx="500">
                  <c:v>11</c:v>
                </c:pt>
                <c:pt idx="501">
                  <c:v>11</c:v>
                </c:pt>
                <c:pt idx="502">
                  <c:v>11</c:v>
                </c:pt>
                <c:pt idx="503">
                  <c:v>11</c:v>
                </c:pt>
                <c:pt idx="504">
                  <c:v>11</c:v>
                </c:pt>
                <c:pt idx="505">
                  <c:v>11</c:v>
                </c:pt>
                <c:pt idx="506">
                  <c:v>11</c:v>
                </c:pt>
                <c:pt idx="507">
                  <c:v>11</c:v>
                </c:pt>
                <c:pt idx="508">
                  <c:v>11</c:v>
                </c:pt>
                <c:pt idx="509">
                  <c:v>11</c:v>
                </c:pt>
                <c:pt idx="510">
                  <c:v>11</c:v>
                </c:pt>
                <c:pt idx="511">
                  <c:v>11</c:v>
                </c:pt>
                <c:pt idx="512">
                  <c:v>11</c:v>
                </c:pt>
                <c:pt idx="513">
                  <c:v>11</c:v>
                </c:pt>
                <c:pt idx="514">
                  <c:v>11</c:v>
                </c:pt>
                <c:pt idx="515">
                  <c:v>11</c:v>
                </c:pt>
                <c:pt idx="516">
                  <c:v>11</c:v>
                </c:pt>
                <c:pt idx="517">
                  <c:v>12</c:v>
                </c:pt>
                <c:pt idx="518">
                  <c:v>12</c:v>
                </c:pt>
                <c:pt idx="519">
                  <c:v>12</c:v>
                </c:pt>
                <c:pt idx="520">
                  <c:v>12</c:v>
                </c:pt>
                <c:pt idx="521">
                  <c:v>12</c:v>
                </c:pt>
                <c:pt idx="522">
                  <c:v>12</c:v>
                </c:pt>
                <c:pt idx="523">
                  <c:v>12</c:v>
                </c:pt>
                <c:pt idx="524">
                  <c:v>12</c:v>
                </c:pt>
                <c:pt idx="525">
                  <c:v>12</c:v>
                </c:pt>
                <c:pt idx="526">
                  <c:v>12</c:v>
                </c:pt>
                <c:pt idx="527">
                  <c:v>13</c:v>
                </c:pt>
                <c:pt idx="528">
                  <c:v>13</c:v>
                </c:pt>
                <c:pt idx="529">
                  <c:v>13</c:v>
                </c:pt>
                <c:pt idx="530">
                  <c:v>13</c:v>
                </c:pt>
                <c:pt idx="531">
                  <c:v>13</c:v>
                </c:pt>
                <c:pt idx="532">
                  <c:v>13</c:v>
                </c:pt>
                <c:pt idx="533">
                  <c:v>13</c:v>
                </c:pt>
                <c:pt idx="534">
                  <c:v>13</c:v>
                </c:pt>
                <c:pt idx="535">
                  <c:v>13</c:v>
                </c:pt>
                <c:pt idx="536">
                  <c:v>13</c:v>
                </c:pt>
                <c:pt idx="537">
                  <c:v>13</c:v>
                </c:pt>
                <c:pt idx="538">
                  <c:v>13</c:v>
                </c:pt>
                <c:pt idx="539">
                  <c:v>13</c:v>
                </c:pt>
                <c:pt idx="540">
                  <c:v>13</c:v>
                </c:pt>
                <c:pt idx="541">
                  <c:v>13</c:v>
                </c:pt>
                <c:pt idx="542">
                  <c:v>13</c:v>
                </c:pt>
                <c:pt idx="543">
                  <c:v>13</c:v>
                </c:pt>
                <c:pt idx="544">
                  <c:v>13</c:v>
                </c:pt>
                <c:pt idx="545">
                  <c:v>13</c:v>
                </c:pt>
                <c:pt idx="546">
                  <c:v>13</c:v>
                </c:pt>
                <c:pt idx="547">
                  <c:v>13</c:v>
                </c:pt>
                <c:pt idx="548">
                  <c:v>13</c:v>
                </c:pt>
                <c:pt idx="549">
                  <c:v>13</c:v>
                </c:pt>
                <c:pt idx="550">
                  <c:v>13</c:v>
                </c:pt>
                <c:pt idx="551">
                  <c:v>13</c:v>
                </c:pt>
                <c:pt idx="552">
                  <c:v>13</c:v>
                </c:pt>
                <c:pt idx="553">
                  <c:v>13</c:v>
                </c:pt>
                <c:pt idx="554">
                  <c:v>13</c:v>
                </c:pt>
                <c:pt idx="555">
                  <c:v>13</c:v>
                </c:pt>
                <c:pt idx="556">
                  <c:v>13</c:v>
                </c:pt>
                <c:pt idx="557">
                  <c:v>13</c:v>
                </c:pt>
                <c:pt idx="558">
                  <c:v>13</c:v>
                </c:pt>
                <c:pt idx="559">
                  <c:v>13</c:v>
                </c:pt>
                <c:pt idx="560">
                  <c:v>13</c:v>
                </c:pt>
                <c:pt idx="561">
                  <c:v>13</c:v>
                </c:pt>
                <c:pt idx="562">
                  <c:v>13</c:v>
                </c:pt>
                <c:pt idx="563">
                  <c:v>13</c:v>
                </c:pt>
                <c:pt idx="564">
                  <c:v>13</c:v>
                </c:pt>
                <c:pt idx="565">
                  <c:v>13</c:v>
                </c:pt>
                <c:pt idx="566">
                  <c:v>13</c:v>
                </c:pt>
                <c:pt idx="567">
                  <c:v>13</c:v>
                </c:pt>
                <c:pt idx="568">
                  <c:v>14</c:v>
                </c:pt>
                <c:pt idx="569">
                  <c:v>14</c:v>
                </c:pt>
                <c:pt idx="570">
                  <c:v>14</c:v>
                </c:pt>
                <c:pt idx="571">
                  <c:v>14</c:v>
                </c:pt>
                <c:pt idx="572">
                  <c:v>14</c:v>
                </c:pt>
                <c:pt idx="573">
                  <c:v>14</c:v>
                </c:pt>
                <c:pt idx="574">
                  <c:v>14</c:v>
                </c:pt>
                <c:pt idx="575">
                  <c:v>14</c:v>
                </c:pt>
                <c:pt idx="576">
                  <c:v>14</c:v>
                </c:pt>
                <c:pt idx="577">
                  <c:v>14</c:v>
                </c:pt>
                <c:pt idx="578">
                  <c:v>14</c:v>
                </c:pt>
                <c:pt idx="579">
                  <c:v>14</c:v>
                </c:pt>
                <c:pt idx="580">
                  <c:v>14</c:v>
                </c:pt>
                <c:pt idx="581">
                  <c:v>14</c:v>
                </c:pt>
                <c:pt idx="582">
                  <c:v>14</c:v>
                </c:pt>
                <c:pt idx="583">
                  <c:v>14</c:v>
                </c:pt>
                <c:pt idx="584">
                  <c:v>14</c:v>
                </c:pt>
                <c:pt idx="585">
                  <c:v>14</c:v>
                </c:pt>
                <c:pt idx="586">
                  <c:v>14</c:v>
                </c:pt>
                <c:pt idx="587">
                  <c:v>14</c:v>
                </c:pt>
                <c:pt idx="588">
                  <c:v>14</c:v>
                </c:pt>
                <c:pt idx="589">
                  <c:v>14</c:v>
                </c:pt>
                <c:pt idx="590">
                  <c:v>14</c:v>
                </c:pt>
                <c:pt idx="591">
                  <c:v>14</c:v>
                </c:pt>
                <c:pt idx="592">
                  <c:v>14</c:v>
                </c:pt>
                <c:pt idx="593">
                  <c:v>14</c:v>
                </c:pt>
                <c:pt idx="594">
                  <c:v>14</c:v>
                </c:pt>
                <c:pt idx="595">
                  <c:v>14</c:v>
                </c:pt>
                <c:pt idx="596">
                  <c:v>14</c:v>
                </c:pt>
                <c:pt idx="597">
                  <c:v>14</c:v>
                </c:pt>
                <c:pt idx="598">
                  <c:v>14</c:v>
                </c:pt>
                <c:pt idx="599">
                  <c:v>14</c:v>
                </c:pt>
                <c:pt idx="600">
                  <c:v>14</c:v>
                </c:pt>
                <c:pt idx="601">
                  <c:v>14</c:v>
                </c:pt>
                <c:pt idx="602">
                  <c:v>14</c:v>
                </c:pt>
                <c:pt idx="603">
                  <c:v>14</c:v>
                </c:pt>
                <c:pt idx="604">
                  <c:v>14</c:v>
                </c:pt>
                <c:pt idx="605">
                  <c:v>14</c:v>
                </c:pt>
                <c:pt idx="606">
                  <c:v>14</c:v>
                </c:pt>
                <c:pt idx="607">
                  <c:v>14</c:v>
                </c:pt>
                <c:pt idx="608">
                  <c:v>14</c:v>
                </c:pt>
                <c:pt idx="609">
                  <c:v>14</c:v>
                </c:pt>
                <c:pt idx="610">
                  <c:v>14</c:v>
                </c:pt>
                <c:pt idx="611">
                  <c:v>14</c:v>
                </c:pt>
                <c:pt idx="612">
                  <c:v>14</c:v>
                </c:pt>
                <c:pt idx="613">
                  <c:v>14</c:v>
                </c:pt>
                <c:pt idx="614">
                  <c:v>14</c:v>
                </c:pt>
                <c:pt idx="615">
                  <c:v>14</c:v>
                </c:pt>
                <c:pt idx="616">
                  <c:v>14</c:v>
                </c:pt>
                <c:pt idx="617">
                  <c:v>14</c:v>
                </c:pt>
                <c:pt idx="618">
                  <c:v>14</c:v>
                </c:pt>
                <c:pt idx="619">
                  <c:v>14</c:v>
                </c:pt>
                <c:pt idx="620">
                  <c:v>14</c:v>
                </c:pt>
                <c:pt idx="621">
                  <c:v>15</c:v>
                </c:pt>
                <c:pt idx="622">
                  <c:v>15</c:v>
                </c:pt>
                <c:pt idx="623">
                  <c:v>15</c:v>
                </c:pt>
                <c:pt idx="624">
                  <c:v>15</c:v>
                </c:pt>
                <c:pt idx="625">
                  <c:v>15</c:v>
                </c:pt>
                <c:pt idx="626">
                  <c:v>15</c:v>
                </c:pt>
                <c:pt idx="627">
                  <c:v>15</c:v>
                </c:pt>
                <c:pt idx="628">
                  <c:v>15</c:v>
                </c:pt>
                <c:pt idx="629">
                  <c:v>15</c:v>
                </c:pt>
                <c:pt idx="630">
                  <c:v>15</c:v>
                </c:pt>
                <c:pt idx="631">
                  <c:v>15</c:v>
                </c:pt>
                <c:pt idx="632">
                  <c:v>15</c:v>
                </c:pt>
                <c:pt idx="633">
                  <c:v>15</c:v>
                </c:pt>
                <c:pt idx="634">
                  <c:v>15</c:v>
                </c:pt>
                <c:pt idx="635">
                  <c:v>15</c:v>
                </c:pt>
                <c:pt idx="636">
                  <c:v>15</c:v>
                </c:pt>
                <c:pt idx="637">
                  <c:v>15</c:v>
                </c:pt>
                <c:pt idx="638">
                  <c:v>15</c:v>
                </c:pt>
                <c:pt idx="639">
                  <c:v>15</c:v>
                </c:pt>
                <c:pt idx="640">
                  <c:v>15</c:v>
                </c:pt>
                <c:pt idx="641">
                  <c:v>15</c:v>
                </c:pt>
                <c:pt idx="642">
                  <c:v>15</c:v>
                </c:pt>
                <c:pt idx="643">
                  <c:v>15</c:v>
                </c:pt>
                <c:pt idx="644">
                  <c:v>15</c:v>
                </c:pt>
                <c:pt idx="645">
                  <c:v>15</c:v>
                </c:pt>
                <c:pt idx="646">
                  <c:v>15</c:v>
                </c:pt>
                <c:pt idx="647">
                  <c:v>15</c:v>
                </c:pt>
                <c:pt idx="648">
                  <c:v>15</c:v>
                </c:pt>
                <c:pt idx="649">
                  <c:v>15</c:v>
                </c:pt>
                <c:pt idx="650">
                  <c:v>15</c:v>
                </c:pt>
                <c:pt idx="651">
                  <c:v>15</c:v>
                </c:pt>
                <c:pt idx="652">
                  <c:v>15</c:v>
                </c:pt>
                <c:pt idx="653">
                  <c:v>15</c:v>
                </c:pt>
                <c:pt idx="654">
                  <c:v>15</c:v>
                </c:pt>
                <c:pt idx="655">
                  <c:v>15</c:v>
                </c:pt>
                <c:pt idx="656">
                  <c:v>15</c:v>
                </c:pt>
                <c:pt idx="657">
                  <c:v>15</c:v>
                </c:pt>
                <c:pt idx="658">
                  <c:v>15</c:v>
                </c:pt>
                <c:pt idx="659">
                  <c:v>15</c:v>
                </c:pt>
                <c:pt idx="660">
                  <c:v>15</c:v>
                </c:pt>
                <c:pt idx="661">
                  <c:v>15</c:v>
                </c:pt>
                <c:pt idx="662">
                  <c:v>15</c:v>
                </c:pt>
                <c:pt idx="663">
                  <c:v>15</c:v>
                </c:pt>
                <c:pt idx="664">
                  <c:v>15</c:v>
                </c:pt>
                <c:pt idx="665">
                  <c:v>15</c:v>
                </c:pt>
                <c:pt idx="666">
                  <c:v>15</c:v>
                </c:pt>
                <c:pt idx="667">
                  <c:v>15</c:v>
                </c:pt>
                <c:pt idx="668">
                  <c:v>15</c:v>
                </c:pt>
                <c:pt idx="669">
                  <c:v>15</c:v>
                </c:pt>
                <c:pt idx="670">
                  <c:v>15</c:v>
                </c:pt>
                <c:pt idx="671">
                  <c:v>15</c:v>
                </c:pt>
                <c:pt idx="672">
                  <c:v>15</c:v>
                </c:pt>
                <c:pt idx="673">
                  <c:v>15</c:v>
                </c:pt>
                <c:pt idx="674">
                  <c:v>15</c:v>
                </c:pt>
                <c:pt idx="675">
                  <c:v>15</c:v>
                </c:pt>
                <c:pt idx="676">
                  <c:v>15</c:v>
                </c:pt>
                <c:pt idx="677">
                  <c:v>15</c:v>
                </c:pt>
                <c:pt idx="678">
                  <c:v>15</c:v>
                </c:pt>
                <c:pt idx="679">
                  <c:v>16</c:v>
                </c:pt>
                <c:pt idx="680">
                  <c:v>16</c:v>
                </c:pt>
                <c:pt idx="681">
                  <c:v>16</c:v>
                </c:pt>
                <c:pt idx="682">
                  <c:v>16</c:v>
                </c:pt>
                <c:pt idx="683">
                  <c:v>16</c:v>
                </c:pt>
                <c:pt idx="684">
                  <c:v>16</c:v>
                </c:pt>
                <c:pt idx="685">
                  <c:v>16</c:v>
                </c:pt>
                <c:pt idx="686">
                  <c:v>16</c:v>
                </c:pt>
                <c:pt idx="687">
                  <c:v>16</c:v>
                </c:pt>
                <c:pt idx="688">
                  <c:v>16</c:v>
                </c:pt>
                <c:pt idx="689">
                  <c:v>16</c:v>
                </c:pt>
                <c:pt idx="690">
                  <c:v>16</c:v>
                </c:pt>
                <c:pt idx="691">
                  <c:v>16</c:v>
                </c:pt>
                <c:pt idx="692">
                  <c:v>16</c:v>
                </c:pt>
                <c:pt idx="693">
                  <c:v>16</c:v>
                </c:pt>
                <c:pt idx="694">
                  <c:v>16</c:v>
                </c:pt>
                <c:pt idx="695">
                  <c:v>16</c:v>
                </c:pt>
                <c:pt idx="696">
                  <c:v>16</c:v>
                </c:pt>
                <c:pt idx="697">
                  <c:v>16</c:v>
                </c:pt>
                <c:pt idx="698">
                  <c:v>16</c:v>
                </c:pt>
                <c:pt idx="699">
                  <c:v>16</c:v>
                </c:pt>
                <c:pt idx="700">
                  <c:v>16</c:v>
                </c:pt>
                <c:pt idx="701">
                  <c:v>16</c:v>
                </c:pt>
                <c:pt idx="702">
                  <c:v>16</c:v>
                </c:pt>
                <c:pt idx="703">
                  <c:v>16</c:v>
                </c:pt>
                <c:pt idx="704">
                  <c:v>16</c:v>
                </c:pt>
                <c:pt idx="705">
                  <c:v>16</c:v>
                </c:pt>
                <c:pt idx="706">
                  <c:v>16</c:v>
                </c:pt>
                <c:pt idx="707">
                  <c:v>16</c:v>
                </c:pt>
                <c:pt idx="708">
                  <c:v>16</c:v>
                </c:pt>
                <c:pt idx="709">
                  <c:v>16</c:v>
                </c:pt>
                <c:pt idx="710">
                  <c:v>16</c:v>
                </c:pt>
                <c:pt idx="711">
                  <c:v>16</c:v>
                </c:pt>
                <c:pt idx="712">
                  <c:v>16</c:v>
                </c:pt>
                <c:pt idx="713">
                  <c:v>16</c:v>
                </c:pt>
                <c:pt idx="714">
                  <c:v>16</c:v>
                </c:pt>
                <c:pt idx="715">
                  <c:v>16</c:v>
                </c:pt>
                <c:pt idx="716">
                  <c:v>16</c:v>
                </c:pt>
                <c:pt idx="717">
                  <c:v>16</c:v>
                </c:pt>
                <c:pt idx="718">
                  <c:v>16</c:v>
                </c:pt>
                <c:pt idx="719">
                  <c:v>16</c:v>
                </c:pt>
                <c:pt idx="720">
                  <c:v>16</c:v>
                </c:pt>
                <c:pt idx="721">
                  <c:v>16</c:v>
                </c:pt>
                <c:pt idx="722">
                  <c:v>16</c:v>
                </c:pt>
                <c:pt idx="723">
                  <c:v>16</c:v>
                </c:pt>
                <c:pt idx="724">
                  <c:v>16</c:v>
                </c:pt>
                <c:pt idx="725">
                  <c:v>16</c:v>
                </c:pt>
                <c:pt idx="726">
                  <c:v>17</c:v>
                </c:pt>
                <c:pt idx="727">
                  <c:v>17</c:v>
                </c:pt>
                <c:pt idx="728">
                  <c:v>17</c:v>
                </c:pt>
                <c:pt idx="729">
                  <c:v>17</c:v>
                </c:pt>
                <c:pt idx="730">
                  <c:v>17</c:v>
                </c:pt>
                <c:pt idx="731">
                  <c:v>17</c:v>
                </c:pt>
                <c:pt idx="732">
                  <c:v>17</c:v>
                </c:pt>
                <c:pt idx="733">
                  <c:v>17</c:v>
                </c:pt>
                <c:pt idx="734">
                  <c:v>17</c:v>
                </c:pt>
                <c:pt idx="735">
                  <c:v>17</c:v>
                </c:pt>
                <c:pt idx="736">
                  <c:v>17</c:v>
                </c:pt>
                <c:pt idx="737">
                  <c:v>17</c:v>
                </c:pt>
                <c:pt idx="738">
                  <c:v>17</c:v>
                </c:pt>
                <c:pt idx="739">
                  <c:v>17</c:v>
                </c:pt>
                <c:pt idx="740">
                  <c:v>17</c:v>
                </c:pt>
                <c:pt idx="741">
                  <c:v>17</c:v>
                </c:pt>
                <c:pt idx="742">
                  <c:v>17</c:v>
                </c:pt>
                <c:pt idx="743">
                  <c:v>17</c:v>
                </c:pt>
                <c:pt idx="744">
                  <c:v>17</c:v>
                </c:pt>
                <c:pt idx="745">
                  <c:v>17</c:v>
                </c:pt>
                <c:pt idx="746">
                  <c:v>17</c:v>
                </c:pt>
                <c:pt idx="747">
                  <c:v>17</c:v>
                </c:pt>
                <c:pt idx="748">
                  <c:v>17</c:v>
                </c:pt>
                <c:pt idx="749">
                  <c:v>17</c:v>
                </c:pt>
                <c:pt idx="750">
                  <c:v>17</c:v>
                </c:pt>
                <c:pt idx="751">
                  <c:v>17</c:v>
                </c:pt>
                <c:pt idx="752">
                  <c:v>17</c:v>
                </c:pt>
                <c:pt idx="753">
                  <c:v>17</c:v>
                </c:pt>
                <c:pt idx="754">
                  <c:v>17</c:v>
                </c:pt>
                <c:pt idx="755">
                  <c:v>17</c:v>
                </c:pt>
                <c:pt idx="756">
                  <c:v>17</c:v>
                </c:pt>
                <c:pt idx="757">
                  <c:v>17</c:v>
                </c:pt>
                <c:pt idx="758">
                  <c:v>17</c:v>
                </c:pt>
                <c:pt idx="759">
                  <c:v>17</c:v>
                </c:pt>
                <c:pt idx="760">
                  <c:v>17</c:v>
                </c:pt>
                <c:pt idx="761">
                  <c:v>17</c:v>
                </c:pt>
                <c:pt idx="762">
                  <c:v>17</c:v>
                </c:pt>
                <c:pt idx="763">
                  <c:v>17</c:v>
                </c:pt>
                <c:pt idx="764">
                  <c:v>17</c:v>
                </c:pt>
                <c:pt idx="765">
                  <c:v>17</c:v>
                </c:pt>
                <c:pt idx="766">
                  <c:v>17</c:v>
                </c:pt>
                <c:pt idx="767">
                  <c:v>17</c:v>
                </c:pt>
                <c:pt idx="768">
                  <c:v>17</c:v>
                </c:pt>
                <c:pt idx="769">
                  <c:v>17</c:v>
                </c:pt>
                <c:pt idx="770">
                  <c:v>17</c:v>
                </c:pt>
                <c:pt idx="771">
                  <c:v>17</c:v>
                </c:pt>
                <c:pt idx="772">
                  <c:v>17</c:v>
                </c:pt>
                <c:pt idx="773">
                  <c:v>17</c:v>
                </c:pt>
                <c:pt idx="774">
                  <c:v>18</c:v>
                </c:pt>
                <c:pt idx="775">
                  <c:v>18</c:v>
                </c:pt>
                <c:pt idx="776">
                  <c:v>18</c:v>
                </c:pt>
                <c:pt idx="777">
                  <c:v>18</c:v>
                </c:pt>
                <c:pt idx="778">
                  <c:v>18</c:v>
                </c:pt>
                <c:pt idx="779">
                  <c:v>18</c:v>
                </c:pt>
                <c:pt idx="780">
                  <c:v>18</c:v>
                </c:pt>
                <c:pt idx="781">
                  <c:v>18</c:v>
                </c:pt>
                <c:pt idx="782">
                  <c:v>18</c:v>
                </c:pt>
                <c:pt idx="783">
                  <c:v>18</c:v>
                </c:pt>
                <c:pt idx="784">
                  <c:v>18</c:v>
                </c:pt>
                <c:pt idx="785">
                  <c:v>18</c:v>
                </c:pt>
                <c:pt idx="786">
                  <c:v>18</c:v>
                </c:pt>
                <c:pt idx="787">
                  <c:v>18</c:v>
                </c:pt>
                <c:pt idx="788">
                  <c:v>18</c:v>
                </c:pt>
                <c:pt idx="789">
                  <c:v>18</c:v>
                </c:pt>
                <c:pt idx="790">
                  <c:v>18</c:v>
                </c:pt>
                <c:pt idx="791">
                  <c:v>18</c:v>
                </c:pt>
                <c:pt idx="792">
                  <c:v>18</c:v>
                </c:pt>
                <c:pt idx="793">
                  <c:v>18</c:v>
                </c:pt>
                <c:pt idx="794">
                  <c:v>18</c:v>
                </c:pt>
                <c:pt idx="795">
                  <c:v>18</c:v>
                </c:pt>
                <c:pt idx="796">
                  <c:v>18</c:v>
                </c:pt>
                <c:pt idx="797">
                  <c:v>18</c:v>
                </c:pt>
                <c:pt idx="798">
                  <c:v>18</c:v>
                </c:pt>
                <c:pt idx="799">
                  <c:v>18</c:v>
                </c:pt>
                <c:pt idx="800">
                  <c:v>18</c:v>
                </c:pt>
                <c:pt idx="801">
                  <c:v>18</c:v>
                </c:pt>
                <c:pt idx="802">
                  <c:v>18</c:v>
                </c:pt>
                <c:pt idx="803">
                  <c:v>18</c:v>
                </c:pt>
                <c:pt idx="804">
                  <c:v>18</c:v>
                </c:pt>
                <c:pt idx="805">
                  <c:v>18</c:v>
                </c:pt>
                <c:pt idx="806">
                  <c:v>18</c:v>
                </c:pt>
                <c:pt idx="807">
                  <c:v>18</c:v>
                </c:pt>
                <c:pt idx="808">
                  <c:v>18</c:v>
                </c:pt>
                <c:pt idx="809">
                  <c:v>18</c:v>
                </c:pt>
                <c:pt idx="810">
                  <c:v>18</c:v>
                </c:pt>
                <c:pt idx="811">
                  <c:v>18</c:v>
                </c:pt>
                <c:pt idx="812">
                  <c:v>18</c:v>
                </c:pt>
                <c:pt idx="813">
                  <c:v>18</c:v>
                </c:pt>
                <c:pt idx="814">
                  <c:v>18</c:v>
                </c:pt>
                <c:pt idx="815">
                  <c:v>18</c:v>
                </c:pt>
                <c:pt idx="816">
                  <c:v>18</c:v>
                </c:pt>
                <c:pt idx="817">
                  <c:v>18</c:v>
                </c:pt>
                <c:pt idx="818">
                  <c:v>18</c:v>
                </c:pt>
                <c:pt idx="819">
                  <c:v>19</c:v>
                </c:pt>
                <c:pt idx="820">
                  <c:v>19</c:v>
                </c:pt>
                <c:pt idx="821">
                  <c:v>19</c:v>
                </c:pt>
                <c:pt idx="822">
                  <c:v>19</c:v>
                </c:pt>
                <c:pt idx="823">
                  <c:v>19</c:v>
                </c:pt>
                <c:pt idx="824">
                  <c:v>19</c:v>
                </c:pt>
                <c:pt idx="825">
                  <c:v>19</c:v>
                </c:pt>
                <c:pt idx="826">
                  <c:v>19</c:v>
                </c:pt>
                <c:pt idx="827">
                  <c:v>19</c:v>
                </c:pt>
                <c:pt idx="828">
                  <c:v>19</c:v>
                </c:pt>
                <c:pt idx="829">
                  <c:v>19</c:v>
                </c:pt>
                <c:pt idx="830">
                  <c:v>19</c:v>
                </c:pt>
                <c:pt idx="831">
                  <c:v>19</c:v>
                </c:pt>
                <c:pt idx="832">
                  <c:v>19</c:v>
                </c:pt>
                <c:pt idx="833">
                  <c:v>19</c:v>
                </c:pt>
                <c:pt idx="834">
                  <c:v>19</c:v>
                </c:pt>
                <c:pt idx="835">
                  <c:v>19</c:v>
                </c:pt>
                <c:pt idx="836">
                  <c:v>19</c:v>
                </c:pt>
                <c:pt idx="837">
                  <c:v>19</c:v>
                </c:pt>
                <c:pt idx="838">
                  <c:v>19</c:v>
                </c:pt>
                <c:pt idx="839">
                  <c:v>19</c:v>
                </c:pt>
                <c:pt idx="840">
                  <c:v>19</c:v>
                </c:pt>
                <c:pt idx="841">
                  <c:v>19</c:v>
                </c:pt>
                <c:pt idx="842">
                  <c:v>19</c:v>
                </c:pt>
                <c:pt idx="843">
                  <c:v>19</c:v>
                </c:pt>
                <c:pt idx="844">
                  <c:v>19</c:v>
                </c:pt>
                <c:pt idx="845">
                  <c:v>19</c:v>
                </c:pt>
                <c:pt idx="846">
                  <c:v>19</c:v>
                </c:pt>
                <c:pt idx="847">
                  <c:v>19</c:v>
                </c:pt>
                <c:pt idx="848">
                  <c:v>19</c:v>
                </c:pt>
                <c:pt idx="849">
                  <c:v>19</c:v>
                </c:pt>
                <c:pt idx="850">
                  <c:v>19</c:v>
                </c:pt>
                <c:pt idx="851">
                  <c:v>19</c:v>
                </c:pt>
                <c:pt idx="852">
                  <c:v>19</c:v>
                </c:pt>
                <c:pt idx="853">
                  <c:v>19</c:v>
                </c:pt>
                <c:pt idx="854">
                  <c:v>19</c:v>
                </c:pt>
                <c:pt idx="855">
                  <c:v>19</c:v>
                </c:pt>
                <c:pt idx="856">
                  <c:v>19</c:v>
                </c:pt>
                <c:pt idx="857">
                  <c:v>19</c:v>
                </c:pt>
                <c:pt idx="858">
                  <c:v>19</c:v>
                </c:pt>
                <c:pt idx="859">
                  <c:v>19</c:v>
                </c:pt>
                <c:pt idx="860">
                  <c:v>19</c:v>
                </c:pt>
                <c:pt idx="861">
                  <c:v>19</c:v>
                </c:pt>
                <c:pt idx="862">
                  <c:v>19</c:v>
                </c:pt>
                <c:pt idx="863">
                  <c:v>19</c:v>
                </c:pt>
                <c:pt idx="864">
                  <c:v>19</c:v>
                </c:pt>
                <c:pt idx="865">
                  <c:v>19</c:v>
                </c:pt>
                <c:pt idx="866">
                  <c:v>19</c:v>
                </c:pt>
                <c:pt idx="867">
                  <c:v>19</c:v>
                </c:pt>
                <c:pt idx="868">
                  <c:v>19</c:v>
                </c:pt>
                <c:pt idx="869">
                  <c:v>19</c:v>
                </c:pt>
                <c:pt idx="870">
                  <c:v>19</c:v>
                </c:pt>
                <c:pt idx="871">
                  <c:v>19</c:v>
                </c:pt>
                <c:pt idx="872">
                  <c:v>19</c:v>
                </c:pt>
                <c:pt idx="873">
                  <c:v>19</c:v>
                </c:pt>
                <c:pt idx="874">
                  <c:v>19</c:v>
                </c:pt>
                <c:pt idx="875">
                  <c:v>19</c:v>
                </c:pt>
                <c:pt idx="876">
                  <c:v>19</c:v>
                </c:pt>
                <c:pt idx="877">
                  <c:v>19</c:v>
                </c:pt>
                <c:pt idx="878">
                  <c:v>19</c:v>
                </c:pt>
                <c:pt idx="879">
                  <c:v>19</c:v>
                </c:pt>
                <c:pt idx="880">
                  <c:v>19</c:v>
                </c:pt>
                <c:pt idx="881">
                  <c:v>19</c:v>
                </c:pt>
                <c:pt idx="882">
                  <c:v>19</c:v>
                </c:pt>
                <c:pt idx="883">
                  <c:v>19</c:v>
                </c:pt>
                <c:pt idx="884">
                  <c:v>19</c:v>
                </c:pt>
                <c:pt idx="885">
                  <c:v>19</c:v>
                </c:pt>
                <c:pt idx="886">
                  <c:v>19</c:v>
                </c:pt>
                <c:pt idx="887">
                  <c:v>19</c:v>
                </c:pt>
                <c:pt idx="888">
                  <c:v>19</c:v>
                </c:pt>
                <c:pt idx="889">
                  <c:v>19</c:v>
                </c:pt>
                <c:pt idx="890">
                  <c:v>19</c:v>
                </c:pt>
                <c:pt idx="891">
                  <c:v>19</c:v>
                </c:pt>
                <c:pt idx="892">
                  <c:v>19</c:v>
                </c:pt>
                <c:pt idx="893">
                  <c:v>19</c:v>
                </c:pt>
                <c:pt idx="894">
                  <c:v>19</c:v>
                </c:pt>
                <c:pt idx="895">
                  <c:v>19</c:v>
                </c:pt>
                <c:pt idx="896">
                  <c:v>19</c:v>
                </c:pt>
                <c:pt idx="897">
                  <c:v>19</c:v>
                </c:pt>
                <c:pt idx="898">
                  <c:v>19</c:v>
                </c:pt>
                <c:pt idx="899">
                  <c:v>19</c:v>
                </c:pt>
                <c:pt idx="900">
                  <c:v>19</c:v>
                </c:pt>
                <c:pt idx="901">
                  <c:v>19</c:v>
                </c:pt>
                <c:pt idx="902">
                  <c:v>19</c:v>
                </c:pt>
                <c:pt idx="903">
                  <c:v>19</c:v>
                </c:pt>
                <c:pt idx="904">
                  <c:v>19</c:v>
                </c:pt>
                <c:pt idx="905">
                  <c:v>19</c:v>
                </c:pt>
                <c:pt idx="906">
                  <c:v>19</c:v>
                </c:pt>
                <c:pt idx="907">
                  <c:v>19</c:v>
                </c:pt>
                <c:pt idx="908">
                  <c:v>20</c:v>
                </c:pt>
                <c:pt idx="909">
                  <c:v>20</c:v>
                </c:pt>
                <c:pt idx="910">
                  <c:v>20</c:v>
                </c:pt>
                <c:pt idx="911">
                  <c:v>20</c:v>
                </c:pt>
                <c:pt idx="912">
                  <c:v>20</c:v>
                </c:pt>
                <c:pt idx="913">
                  <c:v>20</c:v>
                </c:pt>
                <c:pt idx="914">
                  <c:v>20</c:v>
                </c:pt>
                <c:pt idx="915">
                  <c:v>20</c:v>
                </c:pt>
                <c:pt idx="916">
                  <c:v>20</c:v>
                </c:pt>
                <c:pt idx="917">
                  <c:v>20</c:v>
                </c:pt>
                <c:pt idx="918">
                  <c:v>20</c:v>
                </c:pt>
                <c:pt idx="919">
                  <c:v>20</c:v>
                </c:pt>
                <c:pt idx="920">
                  <c:v>20</c:v>
                </c:pt>
                <c:pt idx="921">
                  <c:v>20</c:v>
                </c:pt>
                <c:pt idx="922">
                  <c:v>20</c:v>
                </c:pt>
                <c:pt idx="923">
                  <c:v>20</c:v>
                </c:pt>
                <c:pt idx="924">
                  <c:v>20</c:v>
                </c:pt>
                <c:pt idx="925">
                  <c:v>20</c:v>
                </c:pt>
                <c:pt idx="926">
                  <c:v>20</c:v>
                </c:pt>
                <c:pt idx="927">
                  <c:v>20</c:v>
                </c:pt>
                <c:pt idx="928">
                  <c:v>20</c:v>
                </c:pt>
                <c:pt idx="929">
                  <c:v>20</c:v>
                </c:pt>
                <c:pt idx="930">
                  <c:v>20</c:v>
                </c:pt>
                <c:pt idx="931">
                  <c:v>20</c:v>
                </c:pt>
                <c:pt idx="932">
                  <c:v>20</c:v>
                </c:pt>
                <c:pt idx="933">
                  <c:v>20</c:v>
                </c:pt>
                <c:pt idx="934">
                  <c:v>20</c:v>
                </c:pt>
                <c:pt idx="935">
                  <c:v>20</c:v>
                </c:pt>
                <c:pt idx="936">
                  <c:v>20</c:v>
                </c:pt>
                <c:pt idx="937">
                  <c:v>20</c:v>
                </c:pt>
                <c:pt idx="938">
                  <c:v>20</c:v>
                </c:pt>
                <c:pt idx="939">
                  <c:v>21</c:v>
                </c:pt>
                <c:pt idx="940">
                  <c:v>21</c:v>
                </c:pt>
                <c:pt idx="941">
                  <c:v>21</c:v>
                </c:pt>
                <c:pt idx="942">
                  <c:v>21</c:v>
                </c:pt>
                <c:pt idx="943">
                  <c:v>21</c:v>
                </c:pt>
                <c:pt idx="944">
                  <c:v>21</c:v>
                </c:pt>
                <c:pt idx="945">
                  <c:v>21</c:v>
                </c:pt>
                <c:pt idx="946">
                  <c:v>21</c:v>
                </c:pt>
                <c:pt idx="947">
                  <c:v>21</c:v>
                </c:pt>
                <c:pt idx="948">
                  <c:v>21</c:v>
                </c:pt>
                <c:pt idx="949">
                  <c:v>21</c:v>
                </c:pt>
                <c:pt idx="950">
                  <c:v>21</c:v>
                </c:pt>
                <c:pt idx="951">
                  <c:v>21</c:v>
                </c:pt>
              </c:numCache>
            </c:numRef>
          </c:xVal>
          <c:yVal>
            <c:numRef>
              <c:f>'Wind LCOE Over Time'!$O$28:$O$1048</c:f>
              <c:numCache>
                <c:formatCode>0.0</c:formatCode>
                <c:ptCount val="1021"/>
                <c:pt idx="0">
                  <c:v>107.75548827086861</c:v>
                </c:pt>
                <c:pt idx="1">
                  <c:v>93.804768740544304</c:v>
                </c:pt>
                <c:pt idx="2">
                  <c:v>138.40500877053609</c:v>
                </c:pt>
                <c:pt idx="3">
                  <c:v>100.83168251750725</c:v>
                </c:pt>
                <c:pt idx="4">
                  <c:v>123.83920070355836</c:v>
                </c:pt>
                <c:pt idx="5">
                  <c:v>100.48760325185079</c:v>
                </c:pt>
                <c:pt idx="6">
                  <c:v>92.647202603558682</c:v>
                </c:pt>
                <c:pt idx="7">
                  <c:v>111.85433609606227</c:v>
                </c:pt>
                <c:pt idx="8">
                  <c:v>85.244857973487782</c:v>
                </c:pt>
                <c:pt idx="9">
                  <c:v>110.66729517864428</c:v>
                </c:pt>
                <c:pt idx="10">
                  <c:v>151.16155364402397</c:v>
                </c:pt>
                <c:pt idx="11">
                  <c:v>124.99773224572758</c:v>
                </c:pt>
                <c:pt idx="12">
                  <c:v>152.12156751265866</c:v>
                </c:pt>
                <c:pt idx="13">
                  <c:v>98.196751942838191</c:v>
                </c:pt>
                <c:pt idx="14">
                  <c:v>141.33596358129114</c:v>
                </c:pt>
                <c:pt idx="15">
                  <c:v>147.32329853632902</c:v>
                </c:pt>
                <c:pt idx="16">
                  <c:v>105.99348842686578</c:v>
                </c:pt>
                <c:pt idx="17">
                  <c:v>116.17346985071801</c:v>
                </c:pt>
                <c:pt idx="18">
                  <c:v>161.11581558729665</c:v>
                </c:pt>
                <c:pt idx="19">
                  <c:v>125.96800704090965</c:v>
                </c:pt>
                <c:pt idx="20">
                  <c:v>167.29381839899207</c:v>
                </c:pt>
                <c:pt idx="21">
                  <c:v>215.87746550551941</c:v>
                </c:pt>
                <c:pt idx="22">
                  <c:v>86.752664567075101</c:v>
                </c:pt>
                <c:pt idx="23">
                  <c:v>172.0507331972353</c:v>
                </c:pt>
                <c:pt idx="24">
                  <c:v>345.76747237510449</c:v>
                </c:pt>
                <c:pt idx="25">
                  <c:v>138.3201702017659</c:v>
                </c:pt>
                <c:pt idx="26">
                  <c:v>111.94320329074863</c:v>
                </c:pt>
                <c:pt idx="27">
                  <c:v>97.87957173595322</c:v>
                </c:pt>
                <c:pt idx="28">
                  <c:v>89.3008299288432</c:v>
                </c:pt>
                <c:pt idx="29">
                  <c:v>98.759134801228811</c:v>
                </c:pt>
                <c:pt idx="30">
                  <c:v>76.105637967978268</c:v>
                </c:pt>
                <c:pt idx="31">
                  <c:v>77.845571259322483</c:v>
                </c:pt>
                <c:pt idx="32">
                  <c:v>102.71773724809555</c:v>
                </c:pt>
                <c:pt idx="33">
                  <c:v>92.665868008947044</c:v>
                </c:pt>
                <c:pt idx="34">
                  <c:v>98.52028237864036</c:v>
                </c:pt>
                <c:pt idx="35">
                  <c:v>81.304669670001417</c:v>
                </c:pt>
                <c:pt idx="36">
                  <c:v>93.47797388118677</c:v>
                </c:pt>
                <c:pt idx="37">
                  <c:v>90.671145626855846</c:v>
                </c:pt>
                <c:pt idx="38">
                  <c:v>125.88178287268742</c:v>
                </c:pt>
                <c:pt idx="39">
                  <c:v>119.03213023262407</c:v>
                </c:pt>
                <c:pt idx="40">
                  <c:v>96.537682109736849</c:v>
                </c:pt>
                <c:pt idx="41">
                  <c:v>132.55004687804808</c:v>
                </c:pt>
                <c:pt idx="42">
                  <c:v>105.76505657620442</c:v>
                </c:pt>
                <c:pt idx="43">
                  <c:v>115.03633135429067</c:v>
                </c:pt>
                <c:pt idx="44">
                  <c:v>145.08125206633255</c:v>
                </c:pt>
                <c:pt idx="45">
                  <c:v>86.697623694427136</c:v>
                </c:pt>
                <c:pt idx="46">
                  <c:v>103.13532630861486</c:v>
                </c:pt>
                <c:pt idx="47">
                  <c:v>106.69255989209015</c:v>
                </c:pt>
                <c:pt idx="48">
                  <c:v>115.27349039852054</c:v>
                </c:pt>
                <c:pt idx="49">
                  <c:v>180.2856067391067</c:v>
                </c:pt>
                <c:pt idx="50">
                  <c:v>98.504509189480927</c:v>
                </c:pt>
                <c:pt idx="51">
                  <c:v>131.37156080704978</c:v>
                </c:pt>
                <c:pt idx="52">
                  <c:v>109.51602552747333</c:v>
                </c:pt>
                <c:pt idx="53">
                  <c:v>81.746645493161552</c:v>
                </c:pt>
                <c:pt idx="54">
                  <c:v>97.361377027847169</c:v>
                </c:pt>
                <c:pt idx="55">
                  <c:v>82.918388681665746</c:v>
                </c:pt>
                <c:pt idx="56">
                  <c:v>80.921886631250274</c:v>
                </c:pt>
                <c:pt idx="57">
                  <c:v>90.061518717060196</c:v>
                </c:pt>
                <c:pt idx="58">
                  <c:v>83.518517239560381</c:v>
                </c:pt>
                <c:pt idx="59">
                  <c:v>89.508867722683391</c:v>
                </c:pt>
                <c:pt idx="60">
                  <c:v>70.464102909770318</c:v>
                </c:pt>
                <c:pt idx="61">
                  <c:v>107.27796882614399</c:v>
                </c:pt>
                <c:pt idx="62">
                  <c:v>77.394973573451793</c:v>
                </c:pt>
                <c:pt idx="63">
                  <c:v>137.04731620319706</c:v>
                </c:pt>
                <c:pt idx="64">
                  <c:v>71.283688978256734</c:v>
                </c:pt>
                <c:pt idx="65">
                  <c:v>91.011837291424598</c:v>
                </c:pt>
                <c:pt idx="66">
                  <c:v>65.668730802764202</c:v>
                </c:pt>
                <c:pt idx="67">
                  <c:v>76.367728183356292</c:v>
                </c:pt>
                <c:pt idx="68">
                  <c:v>95.539144671519423</c:v>
                </c:pt>
                <c:pt idx="69">
                  <c:v>85.319151340440897</c:v>
                </c:pt>
                <c:pt idx="70">
                  <c:v>76.367728183356306</c:v>
                </c:pt>
                <c:pt idx="71">
                  <c:v>106.3164893984242</c:v>
                </c:pt>
                <c:pt idx="72">
                  <c:v>107.20849775781078</c:v>
                </c:pt>
                <c:pt idx="73">
                  <c:v>75.843630917809719</c:v>
                </c:pt>
                <c:pt idx="74">
                  <c:v>136.52789975456645</c:v>
                </c:pt>
                <c:pt idx="75">
                  <c:v>79.387282900298132</c:v>
                </c:pt>
                <c:pt idx="76">
                  <c:v>78.049387381811428</c:v>
                </c:pt>
                <c:pt idx="77">
                  <c:v>85.740180453821864</c:v>
                </c:pt>
                <c:pt idx="78">
                  <c:v>91.388186134000293</c:v>
                </c:pt>
                <c:pt idx="79">
                  <c:v>75.349477188318247</c:v>
                </c:pt>
                <c:pt idx="80">
                  <c:v>78.026555885335171</c:v>
                </c:pt>
                <c:pt idx="81">
                  <c:v>87.53483765534763</c:v>
                </c:pt>
                <c:pt idx="82">
                  <c:v>72.790016413233914</c:v>
                </c:pt>
                <c:pt idx="83">
                  <c:v>56.63131844968418</c:v>
                </c:pt>
                <c:pt idx="84">
                  <c:v>51.053895652542458</c:v>
                </c:pt>
                <c:pt idx="85">
                  <c:v>69.105139382737676</c:v>
                </c:pt>
                <c:pt idx="86">
                  <c:v>66.088549141632882</c:v>
                </c:pt>
                <c:pt idx="87">
                  <c:v>76.487687943272249</c:v>
                </c:pt>
                <c:pt idx="88">
                  <c:v>86.432425279679251</c:v>
                </c:pt>
                <c:pt idx="89">
                  <c:v>86.401325192144299</c:v>
                </c:pt>
                <c:pt idx="90">
                  <c:v>87.815443396928231</c:v>
                </c:pt>
                <c:pt idx="91">
                  <c:v>93.302042623803487</c:v>
                </c:pt>
                <c:pt idx="92">
                  <c:v>51.053895652542458</c:v>
                </c:pt>
                <c:pt idx="93">
                  <c:v>89.104160024009687</c:v>
                </c:pt>
                <c:pt idx="94">
                  <c:v>83.328041742121187</c:v>
                </c:pt>
                <c:pt idx="95">
                  <c:v>74.944812801513251</c:v>
                </c:pt>
                <c:pt idx="96">
                  <c:v>100.62508651592987</c:v>
                </c:pt>
                <c:pt idx="97">
                  <c:v>86.420883429928395</c:v>
                </c:pt>
                <c:pt idx="98">
                  <c:v>106.78502516001986</c:v>
                </c:pt>
                <c:pt idx="99">
                  <c:v>89.094230289266704</c:v>
                </c:pt>
                <c:pt idx="100">
                  <c:v>83.163362468302978</c:v>
                </c:pt>
                <c:pt idx="101">
                  <c:v>88.343583879370698</c:v>
                </c:pt>
                <c:pt idx="102">
                  <c:v>97.759324573898311</c:v>
                </c:pt>
                <c:pt idx="103">
                  <c:v>79.342704702714585</c:v>
                </c:pt>
                <c:pt idx="104">
                  <c:v>120.07176424869301</c:v>
                </c:pt>
                <c:pt idx="105">
                  <c:v>74.886892358457573</c:v>
                </c:pt>
                <c:pt idx="106">
                  <c:v>81.487722671707076</c:v>
                </c:pt>
                <c:pt idx="107">
                  <c:v>76.140104469827619</c:v>
                </c:pt>
                <c:pt idx="108">
                  <c:v>66.260258188008649</c:v>
                </c:pt>
                <c:pt idx="109">
                  <c:v>103.32370746219617</c:v>
                </c:pt>
                <c:pt idx="110">
                  <c:v>76.563125169790297</c:v>
                </c:pt>
                <c:pt idx="111">
                  <c:v>93.458181456905578</c:v>
                </c:pt>
                <c:pt idx="112">
                  <c:v>85.268608694207913</c:v>
                </c:pt>
                <c:pt idx="113">
                  <c:v>102.37779358055437</c:v>
                </c:pt>
                <c:pt idx="114">
                  <c:v>64.231200698060235</c:v>
                </c:pt>
                <c:pt idx="115">
                  <c:v>80.725247895895876</c:v>
                </c:pt>
                <c:pt idx="116">
                  <c:v>92.616296113079756</c:v>
                </c:pt>
                <c:pt idx="117">
                  <c:v>95.685596657224323</c:v>
                </c:pt>
                <c:pt idx="118">
                  <c:v>94.391878072678125</c:v>
                </c:pt>
                <c:pt idx="119">
                  <c:v>91.274881974645325</c:v>
                </c:pt>
                <c:pt idx="120">
                  <c:v>99.03730716168397</c:v>
                </c:pt>
                <c:pt idx="121">
                  <c:v>87.301669659110757</c:v>
                </c:pt>
                <c:pt idx="122">
                  <c:v>92.410019271983202</c:v>
                </c:pt>
                <c:pt idx="123">
                  <c:v>70.979701221594325</c:v>
                </c:pt>
                <c:pt idx="124">
                  <c:v>56.670568975719092</c:v>
                </c:pt>
                <c:pt idx="125">
                  <c:v>76.334764304718306</c:v>
                </c:pt>
                <c:pt idx="126">
                  <c:v>105.95876465545329</c:v>
                </c:pt>
                <c:pt idx="127">
                  <c:v>90.215862134097065</c:v>
                </c:pt>
                <c:pt idx="128">
                  <c:v>115.0311906153844</c:v>
                </c:pt>
                <c:pt idx="129">
                  <c:v>97.475525881543518</c:v>
                </c:pt>
                <c:pt idx="130">
                  <c:v>87.000484623073817</c:v>
                </c:pt>
                <c:pt idx="131">
                  <c:v>103.44378080119421</c:v>
                </c:pt>
                <c:pt idx="132">
                  <c:v>75.878145268957212</c:v>
                </c:pt>
                <c:pt idx="133">
                  <c:v>87.318613631503865</c:v>
                </c:pt>
                <c:pt idx="134">
                  <c:v>97.90560234632521</c:v>
                </c:pt>
                <c:pt idx="135">
                  <c:v>62.777331882678702</c:v>
                </c:pt>
                <c:pt idx="136">
                  <c:v>97.47552588154349</c:v>
                </c:pt>
                <c:pt idx="137">
                  <c:v>89.942917455191079</c:v>
                </c:pt>
                <c:pt idx="138">
                  <c:v>108.34340549328341</c:v>
                </c:pt>
                <c:pt idx="139">
                  <c:v>71.061803250079635</c:v>
                </c:pt>
                <c:pt idx="140">
                  <c:v>100.19823444842318</c:v>
                </c:pt>
                <c:pt idx="141">
                  <c:v>108.24215843528157</c:v>
                </c:pt>
                <c:pt idx="142">
                  <c:v>73.905395200792896</c:v>
                </c:pt>
                <c:pt idx="143">
                  <c:v>139.40795547222112</c:v>
                </c:pt>
                <c:pt idx="144">
                  <c:v>78.188208757395586</c:v>
                </c:pt>
                <c:pt idx="145">
                  <c:v>107.14800573790725</c:v>
                </c:pt>
                <c:pt idx="146">
                  <c:v>83.544079184219726</c:v>
                </c:pt>
                <c:pt idx="147">
                  <c:v>86.368805584470707</c:v>
                </c:pt>
                <c:pt idx="148">
                  <c:v>86.603564480730981</c:v>
                </c:pt>
                <c:pt idx="149">
                  <c:v>100.26689939843517</c:v>
                </c:pt>
                <c:pt idx="150">
                  <c:v>144.04037236258506</c:v>
                </c:pt>
                <c:pt idx="151">
                  <c:v>83.001147567784926</c:v>
                </c:pt>
                <c:pt idx="152">
                  <c:v>89.224959869278024</c:v>
                </c:pt>
                <c:pt idx="153">
                  <c:v>99.829530969615917</c:v>
                </c:pt>
                <c:pt idx="154">
                  <c:v>107.07072386893552</c:v>
                </c:pt>
                <c:pt idx="155">
                  <c:v>114.03984981875254</c:v>
                </c:pt>
                <c:pt idx="156">
                  <c:v>116.38754107488514</c:v>
                </c:pt>
                <c:pt idx="157">
                  <c:v>100.17756917853322</c:v>
                </c:pt>
                <c:pt idx="158">
                  <c:v>87.488593208840385</c:v>
                </c:pt>
                <c:pt idx="159">
                  <c:v>83.59289492885992</c:v>
                </c:pt>
                <c:pt idx="160">
                  <c:v>120.81957792886705</c:v>
                </c:pt>
                <c:pt idx="161">
                  <c:v>122.04103681255785</c:v>
                </c:pt>
                <c:pt idx="162">
                  <c:v>70.734677079427414</c:v>
                </c:pt>
                <c:pt idx="163">
                  <c:v>91.977363208028478</c:v>
                </c:pt>
                <c:pt idx="164">
                  <c:v>105.35238317785566</c:v>
                </c:pt>
                <c:pt idx="165">
                  <c:v>93.570667534902952</c:v>
                </c:pt>
                <c:pt idx="166">
                  <c:v>87.21198644764246</c:v>
                </c:pt>
                <c:pt idx="167">
                  <c:v>101.98249286651877</c:v>
                </c:pt>
                <c:pt idx="168">
                  <c:v>77.361181095567147</c:v>
                </c:pt>
                <c:pt idx="169">
                  <c:v>64.584058403619807</c:v>
                </c:pt>
                <c:pt idx="170">
                  <c:v>115.18453736219399</c:v>
                </c:pt>
                <c:pt idx="171">
                  <c:v>93.588586236272093</c:v>
                </c:pt>
                <c:pt idx="172">
                  <c:v>72.294467020174281</c:v>
                </c:pt>
                <c:pt idx="173">
                  <c:v>179.61714689372369</c:v>
                </c:pt>
                <c:pt idx="174">
                  <c:v>157.3560887427106</c:v>
                </c:pt>
                <c:pt idx="175">
                  <c:v>97.65824803438511</c:v>
                </c:pt>
                <c:pt idx="176">
                  <c:v>77.083192382226983</c:v>
                </c:pt>
                <c:pt idx="177">
                  <c:v>124.83123284103674</c:v>
                </c:pt>
                <c:pt idx="178">
                  <c:v>91.207148057497946</c:v>
                </c:pt>
                <c:pt idx="179">
                  <c:v>108.06734816915861</c:v>
                </c:pt>
                <c:pt idx="180">
                  <c:v>93.588586236272093</c:v>
                </c:pt>
                <c:pt idx="181">
                  <c:v>112.74905059540821</c:v>
                </c:pt>
                <c:pt idx="182">
                  <c:v>157.77737978683484</c:v>
                </c:pt>
                <c:pt idx="183">
                  <c:v>108.37807396807291</c:v>
                </c:pt>
                <c:pt idx="184">
                  <c:v>89.173374885931665</c:v>
                </c:pt>
                <c:pt idx="185">
                  <c:v>104.37262101811136</c:v>
                </c:pt>
                <c:pt idx="186">
                  <c:v>90.849430696574387</c:v>
                </c:pt>
                <c:pt idx="187">
                  <c:v>107.71121352525327</c:v>
                </c:pt>
                <c:pt idx="188">
                  <c:v>83.155453268206031</c:v>
                </c:pt>
                <c:pt idx="189">
                  <c:v>96.11532696789628</c:v>
                </c:pt>
                <c:pt idx="190">
                  <c:v>115.82723334288765</c:v>
                </c:pt>
                <c:pt idx="191">
                  <c:v>93.356596618290965</c:v>
                </c:pt>
                <c:pt idx="192">
                  <c:v>98.950564319825403</c:v>
                </c:pt>
                <c:pt idx="193">
                  <c:v>100.90602711944112</c:v>
                </c:pt>
                <c:pt idx="194">
                  <c:v>75.947308933395789</c:v>
                </c:pt>
                <c:pt idx="195">
                  <c:v>73.273861774453295</c:v>
                </c:pt>
                <c:pt idx="196">
                  <c:v>90.468475803647891</c:v>
                </c:pt>
                <c:pt idx="197">
                  <c:v>104.69742778557186</c:v>
                </c:pt>
                <c:pt idx="198">
                  <c:v>109.05833787956357</c:v>
                </c:pt>
                <c:pt idx="199">
                  <c:v>88.361206140221469</c:v>
                </c:pt>
                <c:pt idx="200">
                  <c:v>126.01100580025317</c:v>
                </c:pt>
                <c:pt idx="201">
                  <c:v>114.0950568792103</c:v>
                </c:pt>
                <c:pt idx="202">
                  <c:v>98.618867001307478</c:v>
                </c:pt>
                <c:pt idx="203">
                  <c:v>83.280157811238638</c:v>
                </c:pt>
                <c:pt idx="204">
                  <c:v>99.401217897595458</c:v>
                </c:pt>
                <c:pt idx="205">
                  <c:v>97.973581765985912</c:v>
                </c:pt>
                <c:pt idx="206">
                  <c:v>89.949229374332603</c:v>
                </c:pt>
                <c:pt idx="207">
                  <c:v>106.93610850771637</c:v>
                </c:pt>
                <c:pt idx="208">
                  <c:v>113.47873636645664</c:v>
                </c:pt>
                <c:pt idx="209">
                  <c:v>111.36203382066124</c:v>
                </c:pt>
                <c:pt idx="210">
                  <c:v>85.0864175598023</c:v>
                </c:pt>
                <c:pt idx="211">
                  <c:v>90.749719231223537</c:v>
                </c:pt>
                <c:pt idx="212">
                  <c:v>155.10669302722553</c:v>
                </c:pt>
                <c:pt idx="213">
                  <c:v>139.05068001390399</c:v>
                </c:pt>
                <c:pt idx="214">
                  <c:v>110.66244240907352</c:v>
                </c:pt>
                <c:pt idx="215">
                  <c:v>110.37735934456819</c:v>
                </c:pt>
                <c:pt idx="216">
                  <c:v>103.28708325030075</c:v>
                </c:pt>
                <c:pt idx="217">
                  <c:v>87.178056879739657</c:v>
                </c:pt>
                <c:pt idx="218">
                  <c:v>94.510682046325883</c:v>
                </c:pt>
                <c:pt idx="219">
                  <c:v>99.275902079176902</c:v>
                </c:pt>
                <c:pt idx="220">
                  <c:v>99.846246621161626</c:v>
                </c:pt>
                <c:pt idx="221">
                  <c:v>108.54472796960404</c:v>
                </c:pt>
                <c:pt idx="222">
                  <c:v>109.34230988340967</c:v>
                </c:pt>
                <c:pt idx="223">
                  <c:v>87.418025211205205</c:v>
                </c:pt>
                <c:pt idx="224">
                  <c:v>86.002516438633364</c:v>
                </c:pt>
                <c:pt idx="225">
                  <c:v>114.07352784676502</c:v>
                </c:pt>
                <c:pt idx="226">
                  <c:v>126.247946536028</c:v>
                </c:pt>
                <c:pt idx="227">
                  <c:v>83.40995667879254</c:v>
                </c:pt>
                <c:pt idx="228">
                  <c:v>125.32179078430461</c:v>
                </c:pt>
                <c:pt idx="229">
                  <c:v>123.08231973708831</c:v>
                </c:pt>
                <c:pt idx="230">
                  <c:v>152.76379003699847</c:v>
                </c:pt>
                <c:pt idx="231">
                  <c:v>159.48208484982132</c:v>
                </c:pt>
                <c:pt idx="232">
                  <c:v>121.76613797229247</c:v>
                </c:pt>
                <c:pt idx="233">
                  <c:v>203.40146474173378</c:v>
                </c:pt>
                <c:pt idx="234">
                  <c:v>77.696019411961515</c:v>
                </c:pt>
                <c:pt idx="235">
                  <c:v>86.371105986771468</c:v>
                </c:pt>
                <c:pt idx="236">
                  <c:v>133.69067183438983</c:v>
                </c:pt>
                <c:pt idx="237">
                  <c:v>123.9267504672556</c:v>
                </c:pt>
                <c:pt idx="238">
                  <c:v>174.62214780086558</c:v>
                </c:pt>
                <c:pt idx="239">
                  <c:v>133.18954248529099</c:v>
                </c:pt>
                <c:pt idx="240">
                  <c:v>98.081515655380926</c:v>
                </c:pt>
                <c:pt idx="241">
                  <c:v>82.725713472965836</c:v>
                </c:pt>
                <c:pt idx="242">
                  <c:v>94.160272842027183</c:v>
                </c:pt>
                <c:pt idx="243">
                  <c:v>128.50855755846808</c:v>
                </c:pt>
                <c:pt idx="244">
                  <c:v>91.411344760275284</c:v>
                </c:pt>
                <c:pt idx="245">
                  <c:v>104.39999474863956</c:v>
                </c:pt>
                <c:pt idx="246">
                  <c:v>119.22729780536298</c:v>
                </c:pt>
                <c:pt idx="247">
                  <c:v>77.035105197164725</c:v>
                </c:pt>
                <c:pt idx="248">
                  <c:v>94.322198519724623</c:v>
                </c:pt>
                <c:pt idx="249">
                  <c:v>116.07137608135542</c:v>
                </c:pt>
                <c:pt idx="250">
                  <c:v>116.03369165627264</c:v>
                </c:pt>
                <c:pt idx="251">
                  <c:v>87.445778992328258</c:v>
                </c:pt>
                <c:pt idx="252">
                  <c:v>92.234751344678898</c:v>
                </c:pt>
                <c:pt idx="253">
                  <c:v>91.490535878024346</c:v>
                </c:pt>
                <c:pt idx="254">
                  <c:v>76.752713124639939</c:v>
                </c:pt>
                <c:pt idx="255">
                  <c:v>94.747407287179172</c:v>
                </c:pt>
                <c:pt idx="256">
                  <c:v>84.48355527954098</c:v>
                </c:pt>
                <c:pt idx="257">
                  <c:v>88.8101197513773</c:v>
                </c:pt>
                <c:pt idx="258">
                  <c:v>109.02816700137616</c:v>
                </c:pt>
                <c:pt idx="259">
                  <c:v>75.468231803882873</c:v>
                </c:pt>
                <c:pt idx="260">
                  <c:v>84.944632407334296</c:v>
                </c:pt>
                <c:pt idx="261">
                  <c:v>115.82779624854366</c:v>
                </c:pt>
                <c:pt idx="262">
                  <c:v>110.99931170635632</c:v>
                </c:pt>
                <c:pt idx="263">
                  <c:v>182.28307673365362</c:v>
                </c:pt>
                <c:pt idx="264">
                  <c:v>111.24152484613255</c:v>
                </c:pt>
                <c:pt idx="265">
                  <c:v>84.692229506060414</c:v>
                </c:pt>
                <c:pt idx="266">
                  <c:v>68.63191014932147</c:v>
                </c:pt>
                <c:pt idx="267">
                  <c:v>118.8037502819958</c:v>
                </c:pt>
                <c:pt idx="268">
                  <c:v>115.70752527583765</c:v>
                </c:pt>
                <c:pt idx="269">
                  <c:v>111.15353242368973</c:v>
                </c:pt>
                <c:pt idx="270">
                  <c:v>93.621668587929861</c:v>
                </c:pt>
                <c:pt idx="271">
                  <c:v>128.29740660323654</c:v>
                </c:pt>
                <c:pt idx="272">
                  <c:v>129.19676635826991</c:v>
                </c:pt>
                <c:pt idx="273">
                  <c:v>116.88856358038919</c:v>
                </c:pt>
                <c:pt idx="274">
                  <c:v>136.09972127561227</c:v>
                </c:pt>
                <c:pt idx="275">
                  <c:v>108.43946382479341</c:v>
                </c:pt>
                <c:pt idx="276">
                  <c:v>139.05068001390399</c:v>
                </c:pt>
                <c:pt idx="277">
                  <c:v>128.64703620561127</c:v>
                </c:pt>
                <c:pt idx="278">
                  <c:v>115.33477556507637</c:v>
                </c:pt>
                <c:pt idx="279">
                  <c:v>103.05703464226561</c:v>
                </c:pt>
                <c:pt idx="280">
                  <c:v>73.472948483292171</c:v>
                </c:pt>
                <c:pt idx="281">
                  <c:v>108.8829430461695</c:v>
                </c:pt>
                <c:pt idx="282">
                  <c:v>104.67802548008086</c:v>
                </c:pt>
                <c:pt idx="283">
                  <c:v>52.477749984216345</c:v>
                </c:pt>
                <c:pt idx="284">
                  <c:v>92.667070789582169</c:v>
                </c:pt>
                <c:pt idx="285">
                  <c:v>76.80851997560859</c:v>
                </c:pt>
                <c:pt idx="286">
                  <c:v>118.38443976324925</c:v>
                </c:pt>
                <c:pt idx="287">
                  <c:v>125.54774761647433</c:v>
                </c:pt>
                <c:pt idx="288">
                  <c:v>125.14850408704386</c:v>
                </c:pt>
                <c:pt idx="289">
                  <c:v>75.919737196229661</c:v>
                </c:pt>
                <c:pt idx="290">
                  <c:v>93.776309363834955</c:v>
                </c:pt>
                <c:pt idx="291">
                  <c:v>82.405068915340792</c:v>
                </c:pt>
                <c:pt idx="292">
                  <c:v>109.13075189272251</c:v>
                </c:pt>
                <c:pt idx="293">
                  <c:v>77.175607345011727</c:v>
                </c:pt>
                <c:pt idx="294">
                  <c:v>131.38067261075338</c:v>
                </c:pt>
                <c:pt idx="295">
                  <c:v>122.50555251627571</c:v>
                </c:pt>
                <c:pt idx="296">
                  <c:v>71.987612726929868</c:v>
                </c:pt>
                <c:pt idx="297">
                  <c:v>69.013091632021329</c:v>
                </c:pt>
                <c:pt idx="298">
                  <c:v>83.800145255334471</c:v>
                </c:pt>
                <c:pt idx="299">
                  <c:v>89.460167227209865</c:v>
                </c:pt>
                <c:pt idx="300">
                  <c:v>82.089229162124852</c:v>
                </c:pt>
                <c:pt idx="301">
                  <c:v>83.332329987868675</c:v>
                </c:pt>
                <c:pt idx="302">
                  <c:v>80.385419152393723</c:v>
                </c:pt>
                <c:pt idx="303">
                  <c:v>147.03832223151699</c:v>
                </c:pt>
                <c:pt idx="304">
                  <c:v>86.18043215293261</c:v>
                </c:pt>
                <c:pt idx="305">
                  <c:v>99.07462359729881</c:v>
                </c:pt>
                <c:pt idx="306">
                  <c:v>89.934594781658006</c:v>
                </c:pt>
                <c:pt idx="307">
                  <c:v>121.58614892431099</c:v>
                </c:pt>
                <c:pt idx="308">
                  <c:v>100.19117164436678</c:v>
                </c:pt>
                <c:pt idx="309">
                  <c:v>97.929138782338683</c:v>
                </c:pt>
                <c:pt idx="310">
                  <c:v>85.242049102466922</c:v>
                </c:pt>
                <c:pt idx="311">
                  <c:v>100.77395132736588</c:v>
                </c:pt>
                <c:pt idx="312">
                  <c:v>137.23543867563021</c:v>
                </c:pt>
                <c:pt idx="313">
                  <c:v>89.462912123440873</c:v>
                </c:pt>
                <c:pt idx="314">
                  <c:v>122.60797628247049</c:v>
                </c:pt>
                <c:pt idx="315">
                  <c:v>95.721287562368701</c:v>
                </c:pt>
                <c:pt idx="316">
                  <c:v>134.8795792405769</c:v>
                </c:pt>
                <c:pt idx="317">
                  <c:v>121.7428454197134</c:v>
                </c:pt>
                <c:pt idx="318">
                  <c:v>108.53955905412099</c:v>
                </c:pt>
                <c:pt idx="319">
                  <c:v>97.750381985111233</c:v>
                </c:pt>
                <c:pt idx="320">
                  <c:v>80.641886286920638</c:v>
                </c:pt>
                <c:pt idx="321">
                  <c:v>107.29148730628128</c:v>
                </c:pt>
                <c:pt idx="322">
                  <c:v>72.484351624469369</c:v>
                </c:pt>
                <c:pt idx="323">
                  <c:v>131.85278372164055</c:v>
                </c:pt>
                <c:pt idx="324">
                  <c:v>113.78864798752859</c:v>
                </c:pt>
                <c:pt idx="325">
                  <c:v>99.784249844325046</c:v>
                </c:pt>
                <c:pt idx="326">
                  <c:v>81.217886954712938</c:v>
                </c:pt>
                <c:pt idx="327">
                  <c:v>113.50046251831232</c:v>
                </c:pt>
                <c:pt idx="328">
                  <c:v>123.36134636289016</c:v>
                </c:pt>
                <c:pt idx="329">
                  <c:v>79.177413384970734</c:v>
                </c:pt>
                <c:pt idx="330">
                  <c:v>63.225284151862517</c:v>
                </c:pt>
                <c:pt idx="331">
                  <c:v>107.53143260129031</c:v>
                </c:pt>
                <c:pt idx="332">
                  <c:v>120.50175606849982</c:v>
                </c:pt>
                <c:pt idx="333">
                  <c:v>107.82161867251364</c:v>
                </c:pt>
                <c:pt idx="334">
                  <c:v>105.85654567420487</c:v>
                </c:pt>
                <c:pt idx="335">
                  <c:v>80.803704550902523</c:v>
                </c:pt>
                <c:pt idx="336">
                  <c:v>101.50900627424276</c:v>
                </c:pt>
                <c:pt idx="337">
                  <c:v>129.89965105964328</c:v>
                </c:pt>
                <c:pt idx="338">
                  <c:v>132.97097467655971</c:v>
                </c:pt>
                <c:pt idx="339">
                  <c:v>70.228584226987692</c:v>
                </c:pt>
                <c:pt idx="340">
                  <c:v>87.429111496915198</c:v>
                </c:pt>
                <c:pt idx="341">
                  <c:v>111.58588250321166</c:v>
                </c:pt>
                <c:pt idx="342">
                  <c:v>132.57813838535702</c:v>
                </c:pt>
                <c:pt idx="343">
                  <c:v>109.83650539885744</c:v>
                </c:pt>
                <c:pt idx="344">
                  <c:v>94.176042252581382</c:v>
                </c:pt>
                <c:pt idx="345">
                  <c:v>108.34104024809014</c:v>
                </c:pt>
                <c:pt idx="346">
                  <c:v>135.91771401644516</c:v>
                </c:pt>
                <c:pt idx="347">
                  <c:v>84.339512719485583</c:v>
                </c:pt>
                <c:pt idx="348">
                  <c:v>109.48291222922697</c:v>
                </c:pt>
                <c:pt idx="349">
                  <c:v>103.66621146734845</c:v>
                </c:pt>
                <c:pt idx="350">
                  <c:v>104.84691926760404</c:v>
                </c:pt>
                <c:pt idx="351">
                  <c:v>123.63322938796674</c:v>
                </c:pt>
                <c:pt idx="352">
                  <c:v>92.803195629510469</c:v>
                </c:pt>
                <c:pt idx="353">
                  <c:v>98.182747514118361</c:v>
                </c:pt>
                <c:pt idx="354">
                  <c:v>97.766958426762898</c:v>
                </c:pt>
                <c:pt idx="355">
                  <c:v>124.91532615053664</c:v>
                </c:pt>
                <c:pt idx="356">
                  <c:v>79.495136498699424</c:v>
                </c:pt>
                <c:pt idx="357">
                  <c:v>98.483022342613566</c:v>
                </c:pt>
                <c:pt idx="358">
                  <c:v>198.29643847094437</c:v>
                </c:pt>
                <c:pt idx="359">
                  <c:v>206.86478094300358</c:v>
                </c:pt>
                <c:pt idx="360">
                  <c:v>102.77060329598763</c:v>
                </c:pt>
                <c:pt idx="361">
                  <c:v>185.4810679595804</c:v>
                </c:pt>
                <c:pt idx="362">
                  <c:v>77.629950531110012</c:v>
                </c:pt>
                <c:pt idx="363">
                  <c:v>85.362292113193249</c:v>
                </c:pt>
                <c:pt idx="364">
                  <c:v>105.23959371790832</c:v>
                </c:pt>
                <c:pt idx="365">
                  <c:v>152.11136360060749</c:v>
                </c:pt>
                <c:pt idx="366">
                  <c:v>123.50659536378465</c:v>
                </c:pt>
                <c:pt idx="367">
                  <c:v>120.21314039499305</c:v>
                </c:pt>
                <c:pt idx="368">
                  <c:v>135.23889997661752</c:v>
                </c:pt>
                <c:pt idx="369">
                  <c:v>112.82274878270853</c:v>
                </c:pt>
                <c:pt idx="370">
                  <c:v>63.260160406031687</c:v>
                </c:pt>
                <c:pt idx="371">
                  <c:v>104.14757656435953</c:v>
                </c:pt>
                <c:pt idx="372">
                  <c:v>164.89354963517454</c:v>
                </c:pt>
                <c:pt idx="373">
                  <c:v>114.3755512916583</c:v>
                </c:pt>
                <c:pt idx="374">
                  <c:v>130.14622216817318</c:v>
                </c:pt>
                <c:pt idx="375">
                  <c:v>80.102390221743406</c:v>
                </c:pt>
                <c:pt idx="376">
                  <c:v>103.67272359133341</c:v>
                </c:pt>
                <c:pt idx="377">
                  <c:v>87.468394351487561</c:v>
                </c:pt>
                <c:pt idx="378">
                  <c:v>73.544638960399041</c:v>
                </c:pt>
                <c:pt idx="379">
                  <c:v>119.69854243481859</c:v>
                </c:pt>
                <c:pt idx="380">
                  <c:v>133.26233479522497</c:v>
                </c:pt>
                <c:pt idx="381">
                  <c:v>90.964923215410764</c:v>
                </c:pt>
                <c:pt idx="382">
                  <c:v>162.99538684079209</c:v>
                </c:pt>
                <c:pt idx="383">
                  <c:v>74.760053325417303</c:v>
                </c:pt>
                <c:pt idx="384">
                  <c:v>127.26669969805654</c:v>
                </c:pt>
                <c:pt idx="385">
                  <c:v>105.30641304985578</c:v>
                </c:pt>
                <c:pt idx="386">
                  <c:v>159.6144443979762</c:v>
                </c:pt>
                <c:pt idx="387">
                  <c:v>180.11986175925821</c:v>
                </c:pt>
                <c:pt idx="388">
                  <c:v>69.032215416949569</c:v>
                </c:pt>
                <c:pt idx="389">
                  <c:v>76.663981617846261</c:v>
                </c:pt>
                <c:pt idx="390">
                  <c:v>67.396290986478775</c:v>
                </c:pt>
                <c:pt idx="391">
                  <c:v>162.87166647943079</c:v>
                </c:pt>
                <c:pt idx="392">
                  <c:v>83.014465932357311</c:v>
                </c:pt>
                <c:pt idx="393">
                  <c:v>78.514623977697525</c:v>
                </c:pt>
                <c:pt idx="394">
                  <c:v>87.086988062664062</c:v>
                </c:pt>
                <c:pt idx="395">
                  <c:v>100.32512045924325</c:v>
                </c:pt>
                <c:pt idx="396">
                  <c:v>129.36948738410337</c:v>
                </c:pt>
                <c:pt idx="397">
                  <c:v>80.567998371911344</c:v>
                </c:pt>
                <c:pt idx="398">
                  <c:v>113.87695589319036</c:v>
                </c:pt>
                <c:pt idx="399">
                  <c:v>116.63075000461487</c:v>
                </c:pt>
                <c:pt idx="400">
                  <c:v>102.90193136581</c:v>
                </c:pt>
                <c:pt idx="401">
                  <c:v>110.5935462756419</c:v>
                </c:pt>
                <c:pt idx="402">
                  <c:v>106.87203371957692</c:v>
                </c:pt>
                <c:pt idx="403">
                  <c:v>104.00734538051915</c:v>
                </c:pt>
                <c:pt idx="404">
                  <c:v>98.105337755055061</c:v>
                </c:pt>
                <c:pt idx="405">
                  <c:v>71.681918303569773</c:v>
                </c:pt>
                <c:pt idx="406">
                  <c:v>70.859898418897188</c:v>
                </c:pt>
                <c:pt idx="407">
                  <c:v>151.80575890431675</c:v>
                </c:pt>
                <c:pt idx="408">
                  <c:v>124.48886988898002</c:v>
                </c:pt>
                <c:pt idx="409">
                  <c:v>102.82930403386361</c:v>
                </c:pt>
                <c:pt idx="410">
                  <c:v>84.866859612738409</c:v>
                </c:pt>
                <c:pt idx="411">
                  <c:v>108.78516479509001</c:v>
                </c:pt>
                <c:pt idx="412">
                  <c:v>84.448486137638469</c:v>
                </c:pt>
                <c:pt idx="413">
                  <c:v>97.799727822508373</c:v>
                </c:pt>
                <c:pt idx="414">
                  <c:v>109.2801703387691</c:v>
                </c:pt>
                <c:pt idx="415">
                  <c:v>93.234614551660272</c:v>
                </c:pt>
                <c:pt idx="416">
                  <c:v>96.312336012099436</c:v>
                </c:pt>
                <c:pt idx="417">
                  <c:v>87.477678123429712</c:v>
                </c:pt>
                <c:pt idx="418">
                  <c:v>85.965898223669726</c:v>
                </c:pt>
                <c:pt idx="419">
                  <c:v>103.84647858621827</c:v>
                </c:pt>
                <c:pt idx="420">
                  <c:v>185.68296677569322</c:v>
                </c:pt>
                <c:pt idx="421">
                  <c:v>110.49280762176029</c:v>
                </c:pt>
                <c:pt idx="422">
                  <c:v>109.18095636246653</c:v>
                </c:pt>
                <c:pt idx="423">
                  <c:v>113.71340636883635</c:v>
                </c:pt>
                <c:pt idx="424">
                  <c:v>94.182000959066485</c:v>
                </c:pt>
                <c:pt idx="425">
                  <c:v>108.26797645070539</c:v>
                </c:pt>
                <c:pt idx="426">
                  <c:v>128.82783458324616</c:v>
                </c:pt>
                <c:pt idx="427">
                  <c:v>97.835198016553676</c:v>
                </c:pt>
                <c:pt idx="428">
                  <c:v>140.60332343301758</c:v>
                </c:pt>
                <c:pt idx="429">
                  <c:v>57.590859120476296</c:v>
                </c:pt>
                <c:pt idx="430">
                  <c:v>121.95262432303177</c:v>
                </c:pt>
                <c:pt idx="431">
                  <c:v>88.75187171871822</c:v>
                </c:pt>
                <c:pt idx="432">
                  <c:v>66.942597598173577</c:v>
                </c:pt>
                <c:pt idx="433">
                  <c:v>117.52776056541187</c:v>
                </c:pt>
                <c:pt idx="434">
                  <c:v>118.03950929056217</c:v>
                </c:pt>
                <c:pt idx="435">
                  <c:v>58.142213555069318</c:v>
                </c:pt>
                <c:pt idx="436">
                  <c:v>92.146830214553461</c:v>
                </c:pt>
                <c:pt idx="437">
                  <c:v>145.25699765889368</c:v>
                </c:pt>
                <c:pt idx="438">
                  <c:v>68.425248628765587</c:v>
                </c:pt>
                <c:pt idx="439">
                  <c:v>107.50063036095827</c:v>
                </c:pt>
                <c:pt idx="440">
                  <c:v>78.267627670662961</c:v>
                </c:pt>
                <c:pt idx="441">
                  <c:v>60.401177204135237</c:v>
                </c:pt>
                <c:pt idx="442">
                  <c:v>60.911508277889247</c:v>
                </c:pt>
                <c:pt idx="443">
                  <c:v>71.523013233809436</c:v>
                </c:pt>
                <c:pt idx="444">
                  <c:v>56.336463718700323</c:v>
                </c:pt>
                <c:pt idx="445">
                  <c:v>75.023319802145849</c:v>
                </c:pt>
                <c:pt idx="446">
                  <c:v>101.73860632156089</c:v>
                </c:pt>
                <c:pt idx="447">
                  <c:v>99.056855047546435</c:v>
                </c:pt>
                <c:pt idx="448">
                  <c:v>109.52472323104583</c:v>
                </c:pt>
                <c:pt idx="449">
                  <c:v>99.631788268622728</c:v>
                </c:pt>
                <c:pt idx="450">
                  <c:v>54.798924710402922</c:v>
                </c:pt>
                <c:pt idx="451">
                  <c:v>117.7094045042153</c:v>
                </c:pt>
                <c:pt idx="452">
                  <c:v>80.607440508737483</c:v>
                </c:pt>
                <c:pt idx="453">
                  <c:v>70.97318318031661</c:v>
                </c:pt>
                <c:pt idx="454">
                  <c:v>100.21742966581239</c:v>
                </c:pt>
                <c:pt idx="455">
                  <c:v>123.61768164022148</c:v>
                </c:pt>
                <c:pt idx="456">
                  <c:v>97.293063425985295</c:v>
                </c:pt>
                <c:pt idx="457">
                  <c:v>77.266655508747775</c:v>
                </c:pt>
                <c:pt idx="458">
                  <c:v>133.01050983120712</c:v>
                </c:pt>
                <c:pt idx="459">
                  <c:v>80.122112933081539</c:v>
                </c:pt>
                <c:pt idx="460">
                  <c:v>102.95114919889339</c:v>
                </c:pt>
                <c:pt idx="461">
                  <c:v>70.025719247847903</c:v>
                </c:pt>
                <c:pt idx="462">
                  <c:v>60.049133234681911</c:v>
                </c:pt>
                <c:pt idx="463">
                  <c:v>63.004606359394323</c:v>
                </c:pt>
                <c:pt idx="464">
                  <c:v>63.490333174242238</c:v>
                </c:pt>
                <c:pt idx="465">
                  <c:v>76.53735663202653</c:v>
                </c:pt>
                <c:pt idx="466">
                  <c:v>85.387908933872623</c:v>
                </c:pt>
                <c:pt idx="467">
                  <c:v>90.885109422967048</c:v>
                </c:pt>
                <c:pt idx="468">
                  <c:v>62.246524071207794</c:v>
                </c:pt>
                <c:pt idx="469">
                  <c:v>53.569879676841872</c:v>
                </c:pt>
                <c:pt idx="470">
                  <c:v>95.236352865536006</c:v>
                </c:pt>
                <c:pt idx="471">
                  <c:v>80.820172509160997</c:v>
                </c:pt>
                <c:pt idx="472">
                  <c:v>105.79266545900377</c:v>
                </c:pt>
                <c:pt idx="473">
                  <c:v>104.91369656120203</c:v>
                </c:pt>
                <c:pt idx="474">
                  <c:v>94.071479864213259</c:v>
                </c:pt>
                <c:pt idx="475">
                  <c:v>71.849565903164518</c:v>
                </c:pt>
                <c:pt idx="476">
                  <c:v>56.743053153490784</c:v>
                </c:pt>
                <c:pt idx="477">
                  <c:v>75.127856622168892</c:v>
                </c:pt>
                <c:pt idx="478">
                  <c:v>262.14474902201789</c:v>
                </c:pt>
                <c:pt idx="479">
                  <c:v>97.308555099236088</c:v>
                </c:pt>
                <c:pt idx="480">
                  <c:v>86.832987226043969</c:v>
                </c:pt>
                <c:pt idx="481">
                  <c:v>89.768586345388627</c:v>
                </c:pt>
                <c:pt idx="482">
                  <c:v>60.665509415961168</c:v>
                </c:pt>
                <c:pt idx="483">
                  <c:v>96.771883938440908</c:v>
                </c:pt>
                <c:pt idx="484">
                  <c:v>147.28482018429503</c:v>
                </c:pt>
                <c:pt idx="485">
                  <c:v>94.449730253089228</c:v>
                </c:pt>
                <c:pt idx="486">
                  <c:v>96.189902242139723</c:v>
                </c:pt>
                <c:pt idx="487">
                  <c:v>63.064573553845854</c:v>
                </c:pt>
                <c:pt idx="488">
                  <c:v>83.800970243505589</c:v>
                </c:pt>
                <c:pt idx="489">
                  <c:v>118.20608722978481</c:v>
                </c:pt>
                <c:pt idx="490">
                  <c:v>114.79051610807979</c:v>
                </c:pt>
                <c:pt idx="491">
                  <c:v>265.35855280881452</c:v>
                </c:pt>
                <c:pt idx="492">
                  <c:v>77.659640152160009</c:v>
                </c:pt>
                <c:pt idx="493">
                  <c:v>55.37175519192094</c:v>
                </c:pt>
                <c:pt idx="494">
                  <c:v>80.529862985182717</c:v>
                </c:pt>
                <c:pt idx="495">
                  <c:v>94.398819751570343</c:v>
                </c:pt>
                <c:pt idx="496">
                  <c:v>66.791110083554486</c:v>
                </c:pt>
                <c:pt idx="497">
                  <c:v>81.977550967026133</c:v>
                </c:pt>
                <c:pt idx="498">
                  <c:v>94.256321459047044</c:v>
                </c:pt>
                <c:pt idx="499">
                  <c:v>80.994661574325278</c:v>
                </c:pt>
                <c:pt idx="500">
                  <c:v>76.291062599705086</c:v>
                </c:pt>
                <c:pt idx="501">
                  <c:v>106.17485959539098</c:v>
                </c:pt>
                <c:pt idx="502">
                  <c:v>91.94847905880826</c:v>
                </c:pt>
                <c:pt idx="503">
                  <c:v>93.625269171880205</c:v>
                </c:pt>
                <c:pt idx="504">
                  <c:v>159.76328585278509</c:v>
                </c:pt>
                <c:pt idx="505">
                  <c:v>242.53834624501661</c:v>
                </c:pt>
                <c:pt idx="506">
                  <c:v>98.008646553240823</c:v>
                </c:pt>
                <c:pt idx="507">
                  <c:v>127.86510461009287</c:v>
                </c:pt>
                <c:pt idx="508">
                  <c:v>185.21759135819525</c:v>
                </c:pt>
                <c:pt idx="509">
                  <c:v>65.837271119722644</c:v>
                </c:pt>
                <c:pt idx="510">
                  <c:v>100.36307676897971</c:v>
                </c:pt>
                <c:pt idx="511">
                  <c:v>88.394831346643471</c:v>
                </c:pt>
                <c:pt idx="512">
                  <c:v>113.87188452552432</c:v>
                </c:pt>
                <c:pt idx="513">
                  <c:v>59.060808612994045</c:v>
                </c:pt>
                <c:pt idx="514">
                  <c:v>192.47342933560913</c:v>
                </c:pt>
                <c:pt idx="515">
                  <c:v>66.852099344923019</c:v>
                </c:pt>
                <c:pt idx="516">
                  <c:v>157.60971052348788</c:v>
                </c:pt>
                <c:pt idx="517">
                  <c:v>49.540216760322359</c:v>
                </c:pt>
                <c:pt idx="518">
                  <c:v>91.797651042159302</c:v>
                </c:pt>
                <c:pt idx="519">
                  <c:v>68.180186050437001</c:v>
                </c:pt>
                <c:pt idx="520">
                  <c:v>94.677334636280307</c:v>
                </c:pt>
                <c:pt idx="521">
                  <c:v>49.370624014019981</c:v>
                </c:pt>
                <c:pt idx="522">
                  <c:v>63.291655492548863</c:v>
                </c:pt>
                <c:pt idx="523">
                  <c:v>52.694965888976498</c:v>
                </c:pt>
                <c:pt idx="524">
                  <c:v>138.06405560611088</c:v>
                </c:pt>
                <c:pt idx="525">
                  <c:v>53.897438803008683</c:v>
                </c:pt>
                <c:pt idx="526">
                  <c:v>116.29873307703917</c:v>
                </c:pt>
                <c:pt idx="527">
                  <c:v>46.325062659700933</c:v>
                </c:pt>
                <c:pt idx="528">
                  <c:v>77.683473418360748</c:v>
                </c:pt>
                <c:pt idx="529">
                  <c:v>51.037222793477127</c:v>
                </c:pt>
                <c:pt idx="530">
                  <c:v>46.484863056205235</c:v>
                </c:pt>
                <c:pt idx="531">
                  <c:v>53.859013330904965</c:v>
                </c:pt>
                <c:pt idx="532">
                  <c:v>53.186508272706789</c:v>
                </c:pt>
                <c:pt idx="533">
                  <c:v>48.686833625455094</c:v>
                </c:pt>
                <c:pt idx="534">
                  <c:v>54.958277174803655</c:v>
                </c:pt>
                <c:pt idx="535">
                  <c:v>47.097558405307865</c:v>
                </c:pt>
                <c:pt idx="536">
                  <c:v>52.312036292775026</c:v>
                </c:pt>
                <c:pt idx="537">
                  <c:v>64.013950939994217</c:v>
                </c:pt>
                <c:pt idx="538">
                  <c:v>50.171470307630635</c:v>
                </c:pt>
                <c:pt idx="539">
                  <c:v>46.788139830964987</c:v>
                </c:pt>
                <c:pt idx="540">
                  <c:v>54.226338882927962</c:v>
                </c:pt>
                <c:pt idx="541">
                  <c:v>49.195683978753436</c:v>
                </c:pt>
                <c:pt idx="542">
                  <c:v>51.904688807399182</c:v>
                </c:pt>
                <c:pt idx="543">
                  <c:v>51.62663285586288</c:v>
                </c:pt>
                <c:pt idx="544">
                  <c:v>52.489443895339129</c:v>
                </c:pt>
                <c:pt idx="545">
                  <c:v>54.410843916775569</c:v>
                </c:pt>
                <c:pt idx="546">
                  <c:v>63.423812876351768</c:v>
                </c:pt>
                <c:pt idx="547">
                  <c:v>98.12911450535448</c:v>
                </c:pt>
                <c:pt idx="548">
                  <c:v>76.101477122089165</c:v>
                </c:pt>
                <c:pt idx="549">
                  <c:v>56.029616760055326</c:v>
                </c:pt>
                <c:pt idx="550">
                  <c:v>81.293539650378605</c:v>
                </c:pt>
                <c:pt idx="551">
                  <c:v>80.687747456859256</c:v>
                </c:pt>
                <c:pt idx="552">
                  <c:v>54.436968033467437</c:v>
                </c:pt>
                <c:pt idx="553">
                  <c:v>63.224909572804137</c:v>
                </c:pt>
                <c:pt idx="554">
                  <c:v>56.832870647221682</c:v>
                </c:pt>
                <c:pt idx="555">
                  <c:v>49.265597559077243</c:v>
                </c:pt>
                <c:pt idx="556">
                  <c:v>74.683770183820485</c:v>
                </c:pt>
                <c:pt idx="557">
                  <c:v>51.134134087047855</c:v>
                </c:pt>
                <c:pt idx="558">
                  <c:v>78.340931620242884</c:v>
                </c:pt>
                <c:pt idx="559">
                  <c:v>96.288654746439718</c:v>
                </c:pt>
                <c:pt idx="560">
                  <c:v>83.806313582249402</c:v>
                </c:pt>
                <c:pt idx="561">
                  <c:v>50.123269409814178</c:v>
                </c:pt>
                <c:pt idx="562">
                  <c:v>58.847095479703192</c:v>
                </c:pt>
                <c:pt idx="563">
                  <c:v>88.700966656811559</c:v>
                </c:pt>
                <c:pt idx="564">
                  <c:v>49.025503556355865</c:v>
                </c:pt>
                <c:pt idx="565">
                  <c:v>80.860843057444825</c:v>
                </c:pt>
                <c:pt idx="566">
                  <c:v>72.253518710508928</c:v>
                </c:pt>
                <c:pt idx="567">
                  <c:v>64.485549920413376</c:v>
                </c:pt>
                <c:pt idx="568">
                  <c:v>51.396884782995066</c:v>
                </c:pt>
                <c:pt idx="569">
                  <c:v>44.346803017198596</c:v>
                </c:pt>
                <c:pt idx="570">
                  <c:v>47.875122575671114</c:v>
                </c:pt>
                <c:pt idx="571">
                  <c:v>54.988384562864823</c:v>
                </c:pt>
                <c:pt idx="572">
                  <c:v>40.64711858305558</c:v>
                </c:pt>
                <c:pt idx="573">
                  <c:v>49.371235943280368</c:v>
                </c:pt>
                <c:pt idx="574">
                  <c:v>53.237239611328803</c:v>
                </c:pt>
                <c:pt idx="575">
                  <c:v>62.50247606174851</c:v>
                </c:pt>
                <c:pt idx="576">
                  <c:v>52.060104058666795</c:v>
                </c:pt>
                <c:pt idx="577">
                  <c:v>65.295326737292513</c:v>
                </c:pt>
                <c:pt idx="578">
                  <c:v>76.021599370122203</c:v>
                </c:pt>
                <c:pt idx="579">
                  <c:v>51.988795580810852</c:v>
                </c:pt>
                <c:pt idx="580">
                  <c:v>41.394910456317803</c:v>
                </c:pt>
                <c:pt idx="581">
                  <c:v>48.739795202107601</c:v>
                </c:pt>
                <c:pt idx="582">
                  <c:v>44.226414628126406</c:v>
                </c:pt>
                <c:pt idx="583">
                  <c:v>42.24173829028431</c:v>
                </c:pt>
                <c:pt idx="584">
                  <c:v>53.784614263193767</c:v>
                </c:pt>
                <c:pt idx="585">
                  <c:v>45.971490900520401</c:v>
                </c:pt>
                <c:pt idx="586">
                  <c:v>39.567205249471705</c:v>
                </c:pt>
                <c:pt idx="587">
                  <c:v>40.008051356097404</c:v>
                </c:pt>
                <c:pt idx="588">
                  <c:v>53.309443555200758</c:v>
                </c:pt>
                <c:pt idx="589">
                  <c:v>53.359584689103507</c:v>
                </c:pt>
                <c:pt idx="590">
                  <c:v>69.133478255531358</c:v>
                </c:pt>
                <c:pt idx="591">
                  <c:v>50.811312742752307</c:v>
                </c:pt>
                <c:pt idx="592">
                  <c:v>48.280810393418037</c:v>
                </c:pt>
                <c:pt idx="593">
                  <c:v>54.63992278931957</c:v>
                </c:pt>
                <c:pt idx="594">
                  <c:v>86.631846282961021</c:v>
                </c:pt>
                <c:pt idx="595">
                  <c:v>58.036682852127122</c:v>
                </c:pt>
                <c:pt idx="596">
                  <c:v>45.75055382757153</c:v>
                </c:pt>
                <c:pt idx="597">
                  <c:v>45.072993183515223</c:v>
                </c:pt>
                <c:pt idx="598">
                  <c:v>43.368085209324995</c:v>
                </c:pt>
                <c:pt idx="599">
                  <c:v>73.61814267415545</c:v>
                </c:pt>
                <c:pt idx="600">
                  <c:v>81.737198823606619</c:v>
                </c:pt>
                <c:pt idx="601">
                  <c:v>47.486133288888276</c:v>
                </c:pt>
                <c:pt idx="602">
                  <c:v>57.022831245995725</c:v>
                </c:pt>
                <c:pt idx="603">
                  <c:v>56.917588530746364</c:v>
                </c:pt>
                <c:pt idx="604">
                  <c:v>48.602173940614605</c:v>
                </c:pt>
                <c:pt idx="605">
                  <c:v>81.017523204410438</c:v>
                </c:pt>
                <c:pt idx="606">
                  <c:v>46.593984287729356</c:v>
                </c:pt>
                <c:pt idx="607">
                  <c:v>47.478865354962572</c:v>
                </c:pt>
                <c:pt idx="608">
                  <c:v>48.494743975339922</c:v>
                </c:pt>
                <c:pt idx="609">
                  <c:v>66.30354340822592</c:v>
                </c:pt>
                <c:pt idx="610">
                  <c:v>40.200193606591881</c:v>
                </c:pt>
                <c:pt idx="611">
                  <c:v>54.633257880791767</c:v>
                </c:pt>
                <c:pt idx="612">
                  <c:v>45.192967550405854</c:v>
                </c:pt>
                <c:pt idx="613">
                  <c:v>43.279287988762022</c:v>
                </c:pt>
                <c:pt idx="614">
                  <c:v>42.858510839963152</c:v>
                </c:pt>
                <c:pt idx="615">
                  <c:v>71.225047417960596</c:v>
                </c:pt>
                <c:pt idx="616">
                  <c:v>54.856258327097102</c:v>
                </c:pt>
                <c:pt idx="617">
                  <c:v>105.37457555849431</c:v>
                </c:pt>
                <c:pt idx="618">
                  <c:v>41.50161834126888</c:v>
                </c:pt>
                <c:pt idx="619">
                  <c:v>169.24667845196475</c:v>
                </c:pt>
                <c:pt idx="620">
                  <c:v>51.396884782995066</c:v>
                </c:pt>
                <c:pt idx="621">
                  <c:v>43.413439272774539</c:v>
                </c:pt>
                <c:pt idx="622">
                  <c:v>44.891253875641389</c:v>
                </c:pt>
                <c:pt idx="623">
                  <c:v>43.662767747371092</c:v>
                </c:pt>
                <c:pt idx="624">
                  <c:v>52.407684768827679</c:v>
                </c:pt>
                <c:pt idx="625">
                  <c:v>42.882455145834356</c:v>
                </c:pt>
                <c:pt idx="626">
                  <c:v>42.820777639329151</c:v>
                </c:pt>
                <c:pt idx="627">
                  <c:v>40.69969123355655</c:v>
                </c:pt>
                <c:pt idx="628">
                  <c:v>40.345397724274193</c:v>
                </c:pt>
                <c:pt idx="629">
                  <c:v>42.402512568028477</c:v>
                </c:pt>
                <c:pt idx="630">
                  <c:v>38.1401029381367</c:v>
                </c:pt>
                <c:pt idx="631">
                  <c:v>44.465468183066726</c:v>
                </c:pt>
                <c:pt idx="632">
                  <c:v>38.088024904644733</c:v>
                </c:pt>
                <c:pt idx="633">
                  <c:v>45.845439720134237</c:v>
                </c:pt>
                <c:pt idx="634">
                  <c:v>37.261502614593574</c:v>
                </c:pt>
                <c:pt idx="635">
                  <c:v>44.277503423221965</c:v>
                </c:pt>
                <c:pt idx="636">
                  <c:v>40.720383963907643</c:v>
                </c:pt>
                <c:pt idx="637">
                  <c:v>39.235703373413855</c:v>
                </c:pt>
                <c:pt idx="638">
                  <c:v>41.756856325023008</c:v>
                </c:pt>
                <c:pt idx="639">
                  <c:v>48.958323488172546</c:v>
                </c:pt>
                <c:pt idx="640">
                  <c:v>53.923547044512347</c:v>
                </c:pt>
                <c:pt idx="641">
                  <c:v>41.128810160343328</c:v>
                </c:pt>
                <c:pt idx="642">
                  <c:v>88.750249409450547</c:v>
                </c:pt>
                <c:pt idx="643">
                  <c:v>49.457766676826076</c:v>
                </c:pt>
                <c:pt idx="644">
                  <c:v>45.347635636437793</c:v>
                </c:pt>
                <c:pt idx="645">
                  <c:v>50.984024630289944</c:v>
                </c:pt>
                <c:pt idx="646">
                  <c:v>44.574466564679874</c:v>
                </c:pt>
                <c:pt idx="647">
                  <c:v>57.288863783781451</c:v>
                </c:pt>
                <c:pt idx="648">
                  <c:v>39.290139192090344</c:v>
                </c:pt>
                <c:pt idx="649">
                  <c:v>35.747563120977688</c:v>
                </c:pt>
                <c:pt idx="650">
                  <c:v>46.791562237984948</c:v>
                </c:pt>
                <c:pt idx="651">
                  <c:v>54.340612586439889</c:v>
                </c:pt>
                <c:pt idx="652">
                  <c:v>43.442309254036736</c:v>
                </c:pt>
                <c:pt idx="653">
                  <c:v>52.863766181046529</c:v>
                </c:pt>
                <c:pt idx="654">
                  <c:v>43.234363120961433</c:v>
                </c:pt>
                <c:pt idx="655">
                  <c:v>35.291982218372475</c:v>
                </c:pt>
                <c:pt idx="656">
                  <c:v>56.340747672617731</c:v>
                </c:pt>
                <c:pt idx="657">
                  <c:v>63.020041977749798</c:v>
                </c:pt>
                <c:pt idx="658">
                  <c:v>57.288863783781451</c:v>
                </c:pt>
                <c:pt idx="659">
                  <c:v>76.805978235316374</c:v>
                </c:pt>
                <c:pt idx="660">
                  <c:v>60.707247463318751</c:v>
                </c:pt>
                <c:pt idx="661">
                  <c:v>46.444131834220414</c:v>
                </c:pt>
                <c:pt idx="662">
                  <c:v>73.084828171290951</c:v>
                </c:pt>
                <c:pt idx="663">
                  <c:v>43.161720010942375</c:v>
                </c:pt>
                <c:pt idx="664">
                  <c:v>44.815759424081108</c:v>
                </c:pt>
                <c:pt idx="665">
                  <c:v>67.573582591653363</c:v>
                </c:pt>
                <c:pt idx="666">
                  <c:v>53.218032698819073</c:v>
                </c:pt>
                <c:pt idx="667">
                  <c:v>86.790921089199813</c:v>
                </c:pt>
                <c:pt idx="668">
                  <c:v>94.480438125227906</c:v>
                </c:pt>
                <c:pt idx="669">
                  <c:v>57.098744860268724</c:v>
                </c:pt>
                <c:pt idx="670">
                  <c:v>78.18026263055603</c:v>
                </c:pt>
                <c:pt idx="671">
                  <c:v>44.544416883649973</c:v>
                </c:pt>
                <c:pt idx="672">
                  <c:v>45.181765241173579</c:v>
                </c:pt>
                <c:pt idx="673">
                  <c:v>59.358764941966612</c:v>
                </c:pt>
                <c:pt idx="674">
                  <c:v>60.226308524768442</c:v>
                </c:pt>
                <c:pt idx="675">
                  <c:v>40.359303618654842</c:v>
                </c:pt>
                <c:pt idx="676">
                  <c:v>71.228693699876473</c:v>
                </c:pt>
                <c:pt idx="677">
                  <c:v>82.852084396543702</c:v>
                </c:pt>
                <c:pt idx="678">
                  <c:v>163.03162414279794</c:v>
                </c:pt>
                <c:pt idx="679">
                  <c:v>43.153973894047716</c:v>
                </c:pt>
                <c:pt idx="680">
                  <c:v>43.317249128613327</c:v>
                </c:pt>
                <c:pt idx="681">
                  <c:v>42.453194093012307</c:v>
                </c:pt>
                <c:pt idx="682">
                  <c:v>46.536711299909463</c:v>
                </c:pt>
                <c:pt idx="683">
                  <c:v>49.023054686146246</c:v>
                </c:pt>
                <c:pt idx="684">
                  <c:v>36.539070996937667</c:v>
                </c:pt>
                <c:pt idx="685">
                  <c:v>44.304749162488555</c:v>
                </c:pt>
                <c:pt idx="686">
                  <c:v>37.772251864644872</c:v>
                </c:pt>
                <c:pt idx="687">
                  <c:v>37.870014884550436</c:v>
                </c:pt>
                <c:pt idx="688">
                  <c:v>62.16704976964995</c:v>
                </c:pt>
                <c:pt idx="689">
                  <c:v>51.217823357297327</c:v>
                </c:pt>
                <c:pt idx="690">
                  <c:v>71.70679176645217</c:v>
                </c:pt>
                <c:pt idx="691">
                  <c:v>37.873515605806695</c:v>
                </c:pt>
                <c:pt idx="692">
                  <c:v>34.84591473364344</c:v>
                </c:pt>
                <c:pt idx="693">
                  <c:v>44.439917061460399</c:v>
                </c:pt>
                <c:pt idx="694">
                  <c:v>39.970928394947684</c:v>
                </c:pt>
                <c:pt idx="695">
                  <c:v>38.969096714791611</c:v>
                </c:pt>
                <c:pt idx="696">
                  <c:v>40.894365058647708</c:v>
                </c:pt>
                <c:pt idx="697">
                  <c:v>44.797095180538477</c:v>
                </c:pt>
                <c:pt idx="698">
                  <c:v>40.995342450538175</c:v>
                </c:pt>
                <c:pt idx="699">
                  <c:v>58.688520751109415</c:v>
                </c:pt>
                <c:pt idx="700">
                  <c:v>36.416490700788302</c:v>
                </c:pt>
                <c:pt idx="701">
                  <c:v>39.3044302986712</c:v>
                </c:pt>
                <c:pt idx="702">
                  <c:v>52.598998685863492</c:v>
                </c:pt>
                <c:pt idx="703">
                  <c:v>42.842981351618384</c:v>
                </c:pt>
                <c:pt idx="704">
                  <c:v>44.810720638248071</c:v>
                </c:pt>
                <c:pt idx="705">
                  <c:v>41.330179388990949</c:v>
                </c:pt>
                <c:pt idx="706">
                  <c:v>62.000532951926459</c:v>
                </c:pt>
                <c:pt idx="707">
                  <c:v>49.416403137094626</c:v>
                </c:pt>
                <c:pt idx="708">
                  <c:v>35.092696639621735</c:v>
                </c:pt>
                <c:pt idx="709">
                  <c:v>42.314233208020219</c:v>
                </c:pt>
                <c:pt idx="710">
                  <c:v>37.056972372935874</c:v>
                </c:pt>
                <c:pt idx="711">
                  <c:v>40.985313704516514</c:v>
                </c:pt>
                <c:pt idx="712">
                  <c:v>31.285733876062107</c:v>
                </c:pt>
                <c:pt idx="713">
                  <c:v>37.056972372935874</c:v>
                </c:pt>
                <c:pt idx="714">
                  <c:v>40.31925540965527</c:v>
                </c:pt>
                <c:pt idx="715">
                  <c:v>51.145828439112307</c:v>
                </c:pt>
                <c:pt idx="716">
                  <c:v>42.043412751836023</c:v>
                </c:pt>
                <c:pt idx="717">
                  <c:v>54.164343423568916</c:v>
                </c:pt>
                <c:pt idx="718">
                  <c:v>53.201418468456517</c:v>
                </c:pt>
                <c:pt idx="719">
                  <c:v>73.4838550807724</c:v>
                </c:pt>
                <c:pt idx="720">
                  <c:v>71.943048797723719</c:v>
                </c:pt>
                <c:pt idx="721">
                  <c:v>78.348930393565652</c:v>
                </c:pt>
                <c:pt idx="722">
                  <c:v>84.883877450365603</c:v>
                </c:pt>
                <c:pt idx="723">
                  <c:v>81.665093832284313</c:v>
                </c:pt>
                <c:pt idx="724">
                  <c:v>79.867189229676214</c:v>
                </c:pt>
                <c:pt idx="725">
                  <c:v>44.148253999790832</c:v>
                </c:pt>
                <c:pt idx="726">
                  <c:v>36.597086180544494</c:v>
                </c:pt>
                <c:pt idx="727">
                  <c:v>38.141713620020184</c:v>
                </c:pt>
                <c:pt idx="728">
                  <c:v>34.689229364135791</c:v>
                </c:pt>
                <c:pt idx="729">
                  <c:v>30.436424164188704</c:v>
                </c:pt>
                <c:pt idx="730">
                  <c:v>30.971440846376129</c:v>
                </c:pt>
                <c:pt idx="731">
                  <c:v>33.428275708384874</c:v>
                </c:pt>
                <c:pt idx="732">
                  <c:v>34.62392311782812</c:v>
                </c:pt>
                <c:pt idx="733">
                  <c:v>33.428792729184515</c:v>
                </c:pt>
                <c:pt idx="734">
                  <c:v>28.74941215692704</c:v>
                </c:pt>
                <c:pt idx="735">
                  <c:v>36.259944686345627</c:v>
                </c:pt>
                <c:pt idx="736">
                  <c:v>29.278276082446745</c:v>
                </c:pt>
                <c:pt idx="737">
                  <c:v>39.096049362779048</c:v>
                </c:pt>
                <c:pt idx="738">
                  <c:v>44.075461564688098</c:v>
                </c:pt>
                <c:pt idx="739">
                  <c:v>36.597086180544494</c:v>
                </c:pt>
                <c:pt idx="740">
                  <c:v>35.295173632040061</c:v>
                </c:pt>
                <c:pt idx="741">
                  <c:v>36.642765059048067</c:v>
                </c:pt>
                <c:pt idx="742">
                  <c:v>29.666788849284313</c:v>
                </c:pt>
                <c:pt idx="743">
                  <c:v>37.541620452754671</c:v>
                </c:pt>
                <c:pt idx="744">
                  <c:v>31.75907197085332</c:v>
                </c:pt>
                <c:pt idx="745">
                  <c:v>44.765786341834925</c:v>
                </c:pt>
                <c:pt idx="746">
                  <c:v>49.474174283789665</c:v>
                </c:pt>
                <c:pt idx="747">
                  <c:v>33.067295068787587</c:v>
                </c:pt>
                <c:pt idx="748">
                  <c:v>39.89633554484859</c:v>
                </c:pt>
                <c:pt idx="749">
                  <c:v>30.288623884335252</c:v>
                </c:pt>
                <c:pt idx="750">
                  <c:v>44.013826083492589</c:v>
                </c:pt>
                <c:pt idx="751">
                  <c:v>33.388955007308695</c:v>
                </c:pt>
                <c:pt idx="752">
                  <c:v>38.406116556285916</c:v>
                </c:pt>
                <c:pt idx="753">
                  <c:v>60.263281459634229</c:v>
                </c:pt>
                <c:pt idx="754">
                  <c:v>29.091587266128801</c:v>
                </c:pt>
                <c:pt idx="755">
                  <c:v>56.999871670449352</c:v>
                </c:pt>
                <c:pt idx="756">
                  <c:v>32.664093132865432</c:v>
                </c:pt>
                <c:pt idx="757">
                  <c:v>35.094249100414153</c:v>
                </c:pt>
                <c:pt idx="758">
                  <c:v>34.517595464838379</c:v>
                </c:pt>
                <c:pt idx="759">
                  <c:v>30.177356328449168</c:v>
                </c:pt>
                <c:pt idx="760">
                  <c:v>35.570881564254762</c:v>
                </c:pt>
                <c:pt idx="761">
                  <c:v>29.109143696107211</c:v>
                </c:pt>
                <c:pt idx="762">
                  <c:v>56.892577417004674</c:v>
                </c:pt>
                <c:pt idx="763">
                  <c:v>36.222731170475051</c:v>
                </c:pt>
                <c:pt idx="764">
                  <c:v>58.614296113597149</c:v>
                </c:pt>
                <c:pt idx="765">
                  <c:v>38.871284738071971</c:v>
                </c:pt>
                <c:pt idx="766">
                  <c:v>42.980089767732352</c:v>
                </c:pt>
                <c:pt idx="767">
                  <c:v>41.918260680590876</c:v>
                </c:pt>
                <c:pt idx="768">
                  <c:v>52.341330073067056</c:v>
                </c:pt>
                <c:pt idx="769">
                  <c:v>32.855693518791206</c:v>
                </c:pt>
                <c:pt idx="770">
                  <c:v>40.873421599780464</c:v>
                </c:pt>
                <c:pt idx="771">
                  <c:v>33.049142687534768</c:v>
                </c:pt>
                <c:pt idx="772">
                  <c:v>33.969498689455499</c:v>
                </c:pt>
                <c:pt idx="773">
                  <c:v>37.948394887600351</c:v>
                </c:pt>
                <c:pt idx="774">
                  <c:v>33.11311227625994</c:v>
                </c:pt>
                <c:pt idx="775">
                  <c:v>52.787241020486448</c:v>
                </c:pt>
                <c:pt idx="776">
                  <c:v>32.055305266626831</c:v>
                </c:pt>
                <c:pt idx="777">
                  <c:v>38.799982700236683</c:v>
                </c:pt>
                <c:pt idx="778">
                  <c:v>43.333940152137245</c:v>
                </c:pt>
                <c:pt idx="779">
                  <c:v>34.68374545275347</c:v>
                </c:pt>
                <c:pt idx="780">
                  <c:v>37.965184467468575</c:v>
                </c:pt>
                <c:pt idx="781">
                  <c:v>33.536962359648165</c:v>
                </c:pt>
                <c:pt idx="782">
                  <c:v>32.33090044385186</c:v>
                </c:pt>
                <c:pt idx="783">
                  <c:v>46.781941739547158</c:v>
                </c:pt>
                <c:pt idx="784">
                  <c:v>46.246876726530942</c:v>
                </c:pt>
                <c:pt idx="785">
                  <c:v>37.925661996999729</c:v>
                </c:pt>
                <c:pt idx="786">
                  <c:v>36.632239368802381</c:v>
                </c:pt>
                <c:pt idx="787">
                  <c:v>29.038487089596988</c:v>
                </c:pt>
                <c:pt idx="788">
                  <c:v>35.005044393201395</c:v>
                </c:pt>
                <c:pt idx="789">
                  <c:v>38.238720469814602</c:v>
                </c:pt>
                <c:pt idx="790">
                  <c:v>27.855643507061885</c:v>
                </c:pt>
                <c:pt idx="791">
                  <c:v>61.467018702026259</c:v>
                </c:pt>
                <c:pt idx="792">
                  <c:v>52.577049103349182</c:v>
                </c:pt>
                <c:pt idx="793">
                  <c:v>30.630007004120145</c:v>
                </c:pt>
                <c:pt idx="794">
                  <c:v>34.726424541449205</c:v>
                </c:pt>
                <c:pt idx="795">
                  <c:v>27.936471333742276</c:v>
                </c:pt>
                <c:pt idx="796">
                  <c:v>45.841580511421867</c:v>
                </c:pt>
                <c:pt idx="797">
                  <c:v>43.558503791803666</c:v>
                </c:pt>
                <c:pt idx="798">
                  <c:v>30.133890817467293</c:v>
                </c:pt>
                <c:pt idx="799">
                  <c:v>42.534998552882335</c:v>
                </c:pt>
                <c:pt idx="800">
                  <c:v>54.34260640966496</c:v>
                </c:pt>
                <c:pt idx="801">
                  <c:v>57.922669904756809</c:v>
                </c:pt>
                <c:pt idx="802">
                  <c:v>29.233715269338603</c:v>
                </c:pt>
                <c:pt idx="803">
                  <c:v>37.46708842530559</c:v>
                </c:pt>
                <c:pt idx="804">
                  <c:v>38.7337281633624</c:v>
                </c:pt>
                <c:pt idx="805">
                  <c:v>53.908092479354387</c:v>
                </c:pt>
                <c:pt idx="806">
                  <c:v>37.020919332634399</c:v>
                </c:pt>
                <c:pt idx="807">
                  <c:v>56.456650657819033</c:v>
                </c:pt>
                <c:pt idx="808">
                  <c:v>34.634644823024892</c:v>
                </c:pt>
                <c:pt idx="809">
                  <c:v>36.646556582554339</c:v>
                </c:pt>
                <c:pt idx="810">
                  <c:v>47.854654739947627</c:v>
                </c:pt>
                <c:pt idx="811">
                  <c:v>38.681221598281056</c:v>
                </c:pt>
                <c:pt idx="812">
                  <c:v>46.433241916045581</c:v>
                </c:pt>
                <c:pt idx="813">
                  <c:v>51.154657152366319</c:v>
                </c:pt>
                <c:pt idx="814">
                  <c:v>34.92819329405296</c:v>
                </c:pt>
                <c:pt idx="815">
                  <c:v>39.652882713671993</c:v>
                </c:pt>
                <c:pt idx="816">
                  <c:v>47.917023743318893</c:v>
                </c:pt>
                <c:pt idx="817">
                  <c:v>30.541153063662382</c:v>
                </c:pt>
                <c:pt idx="818">
                  <c:v>67.118876155122919</c:v>
                </c:pt>
                <c:pt idx="819">
                  <c:v>34.259789422830188</c:v>
                </c:pt>
                <c:pt idx="820">
                  <c:v>31.058046029892363</c:v>
                </c:pt>
                <c:pt idx="821">
                  <c:v>52.396433735131474</c:v>
                </c:pt>
                <c:pt idx="822">
                  <c:v>38.357243319056479</c:v>
                </c:pt>
                <c:pt idx="823">
                  <c:v>58.321839649184305</c:v>
                </c:pt>
                <c:pt idx="824">
                  <c:v>36.581337706583646</c:v>
                </c:pt>
                <c:pt idx="825">
                  <c:v>40.695262774490736</c:v>
                </c:pt>
                <c:pt idx="826">
                  <c:v>38.637471765426923</c:v>
                </c:pt>
                <c:pt idx="827">
                  <c:v>50.751244883162364</c:v>
                </c:pt>
                <c:pt idx="828">
                  <c:v>33.575519456575144</c:v>
                </c:pt>
                <c:pt idx="829">
                  <c:v>50.382777939924871</c:v>
                </c:pt>
                <c:pt idx="830">
                  <c:v>35.615970282989139</c:v>
                </c:pt>
                <c:pt idx="831">
                  <c:v>36.971695854090946</c:v>
                </c:pt>
                <c:pt idx="832">
                  <c:v>32.182915404708766</c:v>
                </c:pt>
                <c:pt idx="833">
                  <c:v>38.33489868309767</c:v>
                </c:pt>
                <c:pt idx="834">
                  <c:v>29.171011516109569</c:v>
                </c:pt>
                <c:pt idx="835">
                  <c:v>30.152869698899394</c:v>
                </c:pt>
                <c:pt idx="836">
                  <c:v>39.884370032866912</c:v>
                </c:pt>
                <c:pt idx="837">
                  <c:v>41.487115500593795</c:v>
                </c:pt>
                <c:pt idx="838">
                  <c:v>52.187267147024365</c:v>
                </c:pt>
                <c:pt idx="839">
                  <c:v>35.048574838080405</c:v>
                </c:pt>
                <c:pt idx="840">
                  <c:v>50.292961356037885</c:v>
                </c:pt>
                <c:pt idx="841">
                  <c:v>36.026253982640654</c:v>
                </c:pt>
                <c:pt idx="842">
                  <c:v>27.845937010301533</c:v>
                </c:pt>
                <c:pt idx="843">
                  <c:v>28.692697482036735</c:v>
                </c:pt>
                <c:pt idx="844">
                  <c:v>40.843825895651214</c:v>
                </c:pt>
                <c:pt idx="845">
                  <c:v>33.13746704395983</c:v>
                </c:pt>
                <c:pt idx="846">
                  <c:v>40.717478909752472</c:v>
                </c:pt>
                <c:pt idx="847">
                  <c:v>44.700105563952086</c:v>
                </c:pt>
                <c:pt idx="848">
                  <c:v>36.013229211136277</c:v>
                </c:pt>
                <c:pt idx="849">
                  <c:v>40.694232601941643</c:v>
                </c:pt>
                <c:pt idx="850">
                  <c:v>32.522908484821649</c:v>
                </c:pt>
                <c:pt idx="851">
                  <c:v>31.804265443367985</c:v>
                </c:pt>
                <c:pt idx="852">
                  <c:v>33.492916503104567</c:v>
                </c:pt>
                <c:pt idx="853">
                  <c:v>32.458547270331451</c:v>
                </c:pt>
                <c:pt idx="854">
                  <c:v>34.367642291723698</c:v>
                </c:pt>
                <c:pt idx="855">
                  <c:v>26.684696616418336</c:v>
                </c:pt>
                <c:pt idx="856">
                  <c:v>32.35868984660771</c:v>
                </c:pt>
                <c:pt idx="857">
                  <c:v>30.419639983475339</c:v>
                </c:pt>
                <c:pt idx="858">
                  <c:v>30.876980912462326</c:v>
                </c:pt>
                <c:pt idx="859">
                  <c:v>27.013677382681486</c:v>
                </c:pt>
                <c:pt idx="860">
                  <c:v>29.451837964637988</c:v>
                </c:pt>
                <c:pt idx="861">
                  <c:v>34.085134391497498</c:v>
                </c:pt>
                <c:pt idx="862">
                  <c:v>31.608965262448997</c:v>
                </c:pt>
                <c:pt idx="863">
                  <c:v>29.009687393985548</c:v>
                </c:pt>
                <c:pt idx="864">
                  <c:v>45.967483064387288</c:v>
                </c:pt>
                <c:pt idx="865">
                  <c:v>35.871706114521153</c:v>
                </c:pt>
                <c:pt idx="866">
                  <c:v>34.181101075119592</c:v>
                </c:pt>
                <c:pt idx="867">
                  <c:v>29.655792217018668</c:v>
                </c:pt>
                <c:pt idx="868">
                  <c:v>32.161871799977995</c:v>
                </c:pt>
                <c:pt idx="869">
                  <c:v>43.544741881677645</c:v>
                </c:pt>
                <c:pt idx="870">
                  <c:v>33.120489332505052</c:v>
                </c:pt>
                <c:pt idx="871">
                  <c:v>37.942393611924295</c:v>
                </c:pt>
                <c:pt idx="872">
                  <c:v>41.646988970907486</c:v>
                </c:pt>
                <c:pt idx="873">
                  <c:v>37.730363504429441</c:v>
                </c:pt>
                <c:pt idx="874">
                  <c:v>51.875798069967402</c:v>
                </c:pt>
                <c:pt idx="875">
                  <c:v>53.001330941971133</c:v>
                </c:pt>
                <c:pt idx="876">
                  <c:v>43.363255280707527</c:v>
                </c:pt>
                <c:pt idx="877">
                  <c:v>30.450579350697517</c:v>
                </c:pt>
                <c:pt idx="878">
                  <c:v>46.264097620082467</c:v>
                </c:pt>
                <c:pt idx="879">
                  <c:v>50.25978796361494</c:v>
                </c:pt>
                <c:pt idx="880">
                  <c:v>66.555509230735183</c:v>
                </c:pt>
                <c:pt idx="881">
                  <c:v>26.468496554166606</c:v>
                </c:pt>
                <c:pt idx="882">
                  <c:v>37.509665268281786</c:v>
                </c:pt>
                <c:pt idx="883">
                  <c:v>36.918675482349542</c:v>
                </c:pt>
                <c:pt idx="884">
                  <c:v>54.963603914543647</c:v>
                </c:pt>
                <c:pt idx="885">
                  <c:v>34.818116528761969</c:v>
                </c:pt>
                <c:pt idx="886">
                  <c:v>37.509665268281779</c:v>
                </c:pt>
                <c:pt idx="887">
                  <c:v>48.837869191098946</c:v>
                </c:pt>
                <c:pt idx="888">
                  <c:v>32.322090707891633</c:v>
                </c:pt>
                <c:pt idx="889">
                  <c:v>45.375683789899384</c:v>
                </c:pt>
                <c:pt idx="890">
                  <c:v>50.382777939924871</c:v>
                </c:pt>
                <c:pt idx="891">
                  <c:v>26.30760853305441</c:v>
                </c:pt>
                <c:pt idx="892">
                  <c:v>29.009687393985548</c:v>
                </c:pt>
                <c:pt idx="893">
                  <c:v>36.309593836848435</c:v>
                </c:pt>
                <c:pt idx="894">
                  <c:v>38.218386305991643</c:v>
                </c:pt>
                <c:pt idx="895">
                  <c:v>60.552242584833266</c:v>
                </c:pt>
                <c:pt idx="896">
                  <c:v>53.181831130013457</c:v>
                </c:pt>
                <c:pt idx="897">
                  <c:v>37.224451426599963</c:v>
                </c:pt>
                <c:pt idx="898">
                  <c:v>32.696291232634266</c:v>
                </c:pt>
                <c:pt idx="899">
                  <c:v>57.783270032539029</c:v>
                </c:pt>
                <c:pt idx="900">
                  <c:v>52.838746042175892</c:v>
                </c:pt>
                <c:pt idx="901">
                  <c:v>51.562073897322762</c:v>
                </c:pt>
                <c:pt idx="902">
                  <c:v>24.643633878732441</c:v>
                </c:pt>
                <c:pt idx="903">
                  <c:v>103.50169816743202</c:v>
                </c:pt>
                <c:pt idx="904">
                  <c:v>110.92913354809734</c:v>
                </c:pt>
                <c:pt idx="905">
                  <c:v>122.22423612867176</c:v>
                </c:pt>
                <c:pt idx="906">
                  <c:v>114.94023605964811</c:v>
                </c:pt>
                <c:pt idx="907">
                  <c:v>35.129174058770531</c:v>
                </c:pt>
                <c:pt idx="908">
                  <c:v>63.368541045899811</c:v>
                </c:pt>
                <c:pt idx="909">
                  <c:v>35.279094645890765</c:v>
                </c:pt>
                <c:pt idx="910">
                  <c:v>36.400973713898615</c:v>
                </c:pt>
                <c:pt idx="911">
                  <c:v>48.519356366874348</c:v>
                </c:pt>
                <c:pt idx="912">
                  <c:v>31.376291295503663</c:v>
                </c:pt>
                <c:pt idx="913">
                  <c:v>36.964347098440143</c:v>
                </c:pt>
                <c:pt idx="914">
                  <c:v>32.741171276135248</c:v>
                </c:pt>
                <c:pt idx="915">
                  <c:v>41.759020264766015</c:v>
                </c:pt>
                <c:pt idx="916">
                  <c:v>35.725129189730005</c:v>
                </c:pt>
                <c:pt idx="917">
                  <c:v>50.119198007685853</c:v>
                </c:pt>
                <c:pt idx="918">
                  <c:v>38.845312489773342</c:v>
                </c:pt>
                <c:pt idx="919">
                  <c:v>29.43719425274822</c:v>
                </c:pt>
                <c:pt idx="920">
                  <c:v>33.787019818716928</c:v>
                </c:pt>
                <c:pt idx="921">
                  <c:v>36.735757412116492</c:v>
                </c:pt>
                <c:pt idx="922">
                  <c:v>78.412040615370771</c:v>
                </c:pt>
                <c:pt idx="923">
                  <c:v>34.407877903285296</c:v>
                </c:pt>
                <c:pt idx="924">
                  <c:v>32.582388420596196</c:v>
                </c:pt>
                <c:pt idx="925">
                  <c:v>42.39409283488677</c:v>
                </c:pt>
                <c:pt idx="926">
                  <c:v>33.820213571652296</c:v>
                </c:pt>
                <c:pt idx="927">
                  <c:v>35.921204730132828</c:v>
                </c:pt>
                <c:pt idx="928">
                  <c:v>37.50838840414503</c:v>
                </c:pt>
                <c:pt idx="929">
                  <c:v>48.413705473128573</c:v>
                </c:pt>
                <c:pt idx="930">
                  <c:v>28.138169605329015</c:v>
                </c:pt>
                <c:pt idx="931">
                  <c:v>34.859413450931939</c:v>
                </c:pt>
                <c:pt idx="932">
                  <c:v>33.251391140126387</c:v>
                </c:pt>
                <c:pt idx="933">
                  <c:v>29.297116986633103</c:v>
                </c:pt>
                <c:pt idx="934">
                  <c:v>58.470717528509581</c:v>
                </c:pt>
                <c:pt idx="935">
                  <c:v>33.092840007993061</c:v>
                </c:pt>
                <c:pt idx="936">
                  <c:v>34.850545372914475</c:v>
                </c:pt>
                <c:pt idx="937">
                  <c:v>52.67532010710633</c:v>
                </c:pt>
                <c:pt idx="938">
                  <c:v>36.202868645950588</c:v>
                </c:pt>
                <c:pt idx="939">
                  <c:v>29.001077335481906</c:v>
                </c:pt>
                <c:pt idx="940">
                  <c:v>29.422104232746484</c:v>
                </c:pt>
                <c:pt idx="941">
                  <c:v>33.010984156647005</c:v>
                </c:pt>
                <c:pt idx="942">
                  <c:v>31.250584169283911</c:v>
                </c:pt>
                <c:pt idx="943">
                  <c:v>30.163250428324282</c:v>
                </c:pt>
                <c:pt idx="944">
                  <c:v>31.716678050800667</c:v>
                </c:pt>
                <c:pt idx="945">
                  <c:v>29.584566569092953</c:v>
                </c:pt>
                <c:pt idx="946">
                  <c:v>52.69306642307248</c:v>
                </c:pt>
                <c:pt idx="947">
                  <c:v>39.871900070747273</c:v>
                </c:pt>
                <c:pt idx="948">
                  <c:v>47.977857890573496</c:v>
                </c:pt>
                <c:pt idx="949">
                  <c:v>34.838187497384446</c:v>
                </c:pt>
                <c:pt idx="950">
                  <c:v>55.068443184819998</c:v>
                </c:pt>
                <c:pt idx="951">
                  <c:v>85.227590053868809</c:v>
                </c:pt>
              </c:numCache>
            </c:numRef>
          </c:yVal>
          <c:bubbleSize>
            <c:numRef>
              <c:f>'Wind LCOE Over Time'!$M$28:$M$1048</c:f>
              <c:numCache>
                <c:formatCode>General</c:formatCode>
                <c:ptCount val="1021"/>
                <c:pt idx="0">
                  <c:v>107.25</c:v>
                </c:pt>
                <c:pt idx="1">
                  <c:v>25.08</c:v>
                </c:pt>
                <c:pt idx="2">
                  <c:v>108.75</c:v>
                </c:pt>
                <c:pt idx="3">
                  <c:v>103.5</c:v>
                </c:pt>
                <c:pt idx="4">
                  <c:v>79.5</c:v>
                </c:pt>
                <c:pt idx="5">
                  <c:v>74.900000000000006</c:v>
                </c:pt>
                <c:pt idx="6">
                  <c:v>60</c:v>
                </c:pt>
                <c:pt idx="7">
                  <c:v>43.4</c:v>
                </c:pt>
                <c:pt idx="8">
                  <c:v>41.4</c:v>
                </c:pt>
                <c:pt idx="9">
                  <c:v>41.25</c:v>
                </c:pt>
                <c:pt idx="10">
                  <c:v>39.75</c:v>
                </c:pt>
                <c:pt idx="11">
                  <c:v>34.32</c:v>
                </c:pt>
                <c:pt idx="12">
                  <c:v>28.5</c:v>
                </c:pt>
                <c:pt idx="13">
                  <c:v>24.75</c:v>
                </c:pt>
                <c:pt idx="14">
                  <c:v>16.5</c:v>
                </c:pt>
                <c:pt idx="15">
                  <c:v>16.5</c:v>
                </c:pt>
                <c:pt idx="16">
                  <c:v>11.88</c:v>
                </c:pt>
                <c:pt idx="17">
                  <c:v>11.25</c:v>
                </c:pt>
                <c:pt idx="18">
                  <c:v>11.22</c:v>
                </c:pt>
                <c:pt idx="19">
                  <c:v>10.199999999999999</c:v>
                </c:pt>
                <c:pt idx="20">
                  <c:v>9.24</c:v>
                </c:pt>
                <c:pt idx="21">
                  <c:v>5.0999999999999996</c:v>
                </c:pt>
                <c:pt idx="22">
                  <c:v>16.8</c:v>
                </c:pt>
                <c:pt idx="23">
                  <c:v>11.55</c:v>
                </c:pt>
                <c:pt idx="24">
                  <c:v>10.4</c:v>
                </c:pt>
                <c:pt idx="25">
                  <c:v>6.6</c:v>
                </c:pt>
                <c:pt idx="26">
                  <c:v>278.2</c:v>
                </c:pt>
                <c:pt idx="27">
                  <c:v>176.88</c:v>
                </c:pt>
                <c:pt idx="28">
                  <c:v>160.5</c:v>
                </c:pt>
                <c:pt idx="29">
                  <c:v>159.72</c:v>
                </c:pt>
                <c:pt idx="30">
                  <c:v>150</c:v>
                </c:pt>
                <c:pt idx="31">
                  <c:v>112.2</c:v>
                </c:pt>
                <c:pt idx="32">
                  <c:v>83.16</c:v>
                </c:pt>
                <c:pt idx="33">
                  <c:v>82.5</c:v>
                </c:pt>
                <c:pt idx="34">
                  <c:v>80.099999999999994</c:v>
                </c:pt>
                <c:pt idx="35">
                  <c:v>80</c:v>
                </c:pt>
                <c:pt idx="36">
                  <c:v>66.599999999999994</c:v>
                </c:pt>
                <c:pt idx="37">
                  <c:v>50</c:v>
                </c:pt>
                <c:pt idx="38">
                  <c:v>30</c:v>
                </c:pt>
                <c:pt idx="39">
                  <c:v>30</c:v>
                </c:pt>
                <c:pt idx="40">
                  <c:v>29.7</c:v>
                </c:pt>
                <c:pt idx="41">
                  <c:v>24.6</c:v>
                </c:pt>
                <c:pt idx="42">
                  <c:v>24</c:v>
                </c:pt>
                <c:pt idx="43">
                  <c:v>15</c:v>
                </c:pt>
                <c:pt idx="44">
                  <c:v>9.9</c:v>
                </c:pt>
                <c:pt idx="45">
                  <c:v>97.68</c:v>
                </c:pt>
                <c:pt idx="46">
                  <c:v>66</c:v>
                </c:pt>
                <c:pt idx="47">
                  <c:v>61.5</c:v>
                </c:pt>
                <c:pt idx="48">
                  <c:v>48.1</c:v>
                </c:pt>
                <c:pt idx="49">
                  <c:v>40.92</c:v>
                </c:pt>
                <c:pt idx="50">
                  <c:v>39.6</c:v>
                </c:pt>
                <c:pt idx="51">
                  <c:v>25.2</c:v>
                </c:pt>
                <c:pt idx="52">
                  <c:v>10.5</c:v>
                </c:pt>
                <c:pt idx="53">
                  <c:v>204</c:v>
                </c:pt>
                <c:pt idx="54">
                  <c:v>162</c:v>
                </c:pt>
                <c:pt idx="55">
                  <c:v>162</c:v>
                </c:pt>
                <c:pt idx="56">
                  <c:v>160</c:v>
                </c:pt>
                <c:pt idx="57">
                  <c:v>144</c:v>
                </c:pt>
                <c:pt idx="58">
                  <c:v>102</c:v>
                </c:pt>
                <c:pt idx="59">
                  <c:v>85.5</c:v>
                </c:pt>
                <c:pt idx="60">
                  <c:v>74.25</c:v>
                </c:pt>
                <c:pt idx="61">
                  <c:v>64.5</c:v>
                </c:pt>
                <c:pt idx="62">
                  <c:v>51</c:v>
                </c:pt>
                <c:pt idx="63">
                  <c:v>50.4</c:v>
                </c:pt>
                <c:pt idx="64">
                  <c:v>43.5</c:v>
                </c:pt>
                <c:pt idx="65">
                  <c:v>41</c:v>
                </c:pt>
                <c:pt idx="66">
                  <c:v>40.5</c:v>
                </c:pt>
                <c:pt idx="67">
                  <c:v>40.5</c:v>
                </c:pt>
                <c:pt idx="68">
                  <c:v>30</c:v>
                </c:pt>
                <c:pt idx="69">
                  <c:v>22.44</c:v>
                </c:pt>
                <c:pt idx="70">
                  <c:v>21</c:v>
                </c:pt>
                <c:pt idx="71">
                  <c:v>15.6</c:v>
                </c:pt>
                <c:pt idx="72">
                  <c:v>10.56</c:v>
                </c:pt>
                <c:pt idx="73">
                  <c:v>160.5</c:v>
                </c:pt>
                <c:pt idx="74">
                  <c:v>27</c:v>
                </c:pt>
                <c:pt idx="75">
                  <c:v>20.46</c:v>
                </c:pt>
                <c:pt idx="76">
                  <c:v>150</c:v>
                </c:pt>
                <c:pt idx="77">
                  <c:v>150</c:v>
                </c:pt>
                <c:pt idx="78">
                  <c:v>149.4</c:v>
                </c:pt>
                <c:pt idx="79">
                  <c:v>135</c:v>
                </c:pt>
                <c:pt idx="80">
                  <c:v>135</c:v>
                </c:pt>
                <c:pt idx="81">
                  <c:v>120.6</c:v>
                </c:pt>
                <c:pt idx="82">
                  <c:v>120</c:v>
                </c:pt>
                <c:pt idx="83">
                  <c:v>114</c:v>
                </c:pt>
                <c:pt idx="84">
                  <c:v>106.5</c:v>
                </c:pt>
                <c:pt idx="85">
                  <c:v>100.5</c:v>
                </c:pt>
                <c:pt idx="86">
                  <c:v>91.5</c:v>
                </c:pt>
                <c:pt idx="87">
                  <c:v>75</c:v>
                </c:pt>
                <c:pt idx="88">
                  <c:v>64.5</c:v>
                </c:pt>
                <c:pt idx="89">
                  <c:v>59.4</c:v>
                </c:pt>
                <c:pt idx="90">
                  <c:v>54.45</c:v>
                </c:pt>
                <c:pt idx="91">
                  <c:v>50</c:v>
                </c:pt>
                <c:pt idx="92">
                  <c:v>40.5</c:v>
                </c:pt>
                <c:pt idx="93">
                  <c:v>35</c:v>
                </c:pt>
                <c:pt idx="94">
                  <c:v>15</c:v>
                </c:pt>
                <c:pt idx="95">
                  <c:v>10.5</c:v>
                </c:pt>
                <c:pt idx="96">
                  <c:v>7.5</c:v>
                </c:pt>
                <c:pt idx="97">
                  <c:v>321.75</c:v>
                </c:pt>
                <c:pt idx="98">
                  <c:v>228.6</c:v>
                </c:pt>
                <c:pt idx="99">
                  <c:v>199.5</c:v>
                </c:pt>
                <c:pt idx="100">
                  <c:v>150</c:v>
                </c:pt>
                <c:pt idx="101">
                  <c:v>124.2</c:v>
                </c:pt>
                <c:pt idx="102">
                  <c:v>120</c:v>
                </c:pt>
                <c:pt idx="103">
                  <c:v>100.5</c:v>
                </c:pt>
                <c:pt idx="104">
                  <c:v>100.5</c:v>
                </c:pt>
                <c:pt idx="105">
                  <c:v>99</c:v>
                </c:pt>
                <c:pt idx="106">
                  <c:v>98.9</c:v>
                </c:pt>
                <c:pt idx="107">
                  <c:v>50.6</c:v>
                </c:pt>
                <c:pt idx="108">
                  <c:v>49.5</c:v>
                </c:pt>
                <c:pt idx="109">
                  <c:v>42</c:v>
                </c:pt>
                <c:pt idx="110">
                  <c:v>38</c:v>
                </c:pt>
                <c:pt idx="111">
                  <c:v>26</c:v>
                </c:pt>
                <c:pt idx="112">
                  <c:v>24</c:v>
                </c:pt>
                <c:pt idx="113">
                  <c:v>24</c:v>
                </c:pt>
                <c:pt idx="114">
                  <c:v>11.88</c:v>
                </c:pt>
                <c:pt idx="115">
                  <c:v>6.25</c:v>
                </c:pt>
                <c:pt idx="116">
                  <c:v>400.5</c:v>
                </c:pt>
                <c:pt idx="117">
                  <c:v>300.5</c:v>
                </c:pt>
                <c:pt idx="118">
                  <c:v>232.5</c:v>
                </c:pt>
                <c:pt idx="119">
                  <c:v>205.5</c:v>
                </c:pt>
                <c:pt idx="120">
                  <c:v>204.7</c:v>
                </c:pt>
                <c:pt idx="121">
                  <c:v>200</c:v>
                </c:pt>
                <c:pt idx="122">
                  <c:v>198</c:v>
                </c:pt>
                <c:pt idx="123">
                  <c:v>161</c:v>
                </c:pt>
                <c:pt idx="124">
                  <c:v>159</c:v>
                </c:pt>
                <c:pt idx="125">
                  <c:v>150</c:v>
                </c:pt>
                <c:pt idx="126">
                  <c:v>140.4</c:v>
                </c:pt>
                <c:pt idx="127">
                  <c:v>130.5</c:v>
                </c:pt>
                <c:pt idx="128">
                  <c:v>125.4</c:v>
                </c:pt>
                <c:pt idx="129">
                  <c:v>123</c:v>
                </c:pt>
                <c:pt idx="130">
                  <c:v>94.5</c:v>
                </c:pt>
                <c:pt idx="131">
                  <c:v>90</c:v>
                </c:pt>
                <c:pt idx="132">
                  <c:v>80.5</c:v>
                </c:pt>
                <c:pt idx="133">
                  <c:v>80</c:v>
                </c:pt>
                <c:pt idx="134">
                  <c:v>80</c:v>
                </c:pt>
                <c:pt idx="135">
                  <c:v>75</c:v>
                </c:pt>
                <c:pt idx="136">
                  <c:v>75</c:v>
                </c:pt>
                <c:pt idx="137">
                  <c:v>59.8</c:v>
                </c:pt>
                <c:pt idx="138">
                  <c:v>56.7</c:v>
                </c:pt>
                <c:pt idx="139">
                  <c:v>48</c:v>
                </c:pt>
                <c:pt idx="140">
                  <c:v>34.5</c:v>
                </c:pt>
                <c:pt idx="141">
                  <c:v>34.5</c:v>
                </c:pt>
                <c:pt idx="142">
                  <c:v>21</c:v>
                </c:pt>
                <c:pt idx="143">
                  <c:v>20</c:v>
                </c:pt>
                <c:pt idx="144">
                  <c:v>14.7</c:v>
                </c:pt>
                <c:pt idx="145">
                  <c:v>209</c:v>
                </c:pt>
                <c:pt idx="146">
                  <c:v>200</c:v>
                </c:pt>
                <c:pt idx="147">
                  <c:v>198</c:v>
                </c:pt>
                <c:pt idx="148">
                  <c:v>198</c:v>
                </c:pt>
                <c:pt idx="149">
                  <c:v>196.5</c:v>
                </c:pt>
                <c:pt idx="150">
                  <c:v>180</c:v>
                </c:pt>
                <c:pt idx="151">
                  <c:v>180</c:v>
                </c:pt>
                <c:pt idx="152">
                  <c:v>174.8</c:v>
                </c:pt>
                <c:pt idx="153">
                  <c:v>170.2</c:v>
                </c:pt>
                <c:pt idx="154">
                  <c:v>169.5</c:v>
                </c:pt>
                <c:pt idx="155">
                  <c:v>165.6</c:v>
                </c:pt>
                <c:pt idx="156">
                  <c:v>164</c:v>
                </c:pt>
                <c:pt idx="157">
                  <c:v>153</c:v>
                </c:pt>
                <c:pt idx="158">
                  <c:v>150</c:v>
                </c:pt>
                <c:pt idx="159">
                  <c:v>150</c:v>
                </c:pt>
                <c:pt idx="160">
                  <c:v>150</c:v>
                </c:pt>
                <c:pt idx="161">
                  <c:v>145.19999999999999</c:v>
                </c:pt>
                <c:pt idx="162">
                  <c:v>142.5</c:v>
                </c:pt>
                <c:pt idx="163">
                  <c:v>130.5</c:v>
                </c:pt>
                <c:pt idx="164">
                  <c:v>129</c:v>
                </c:pt>
                <c:pt idx="165">
                  <c:v>126.5</c:v>
                </c:pt>
                <c:pt idx="166">
                  <c:v>123</c:v>
                </c:pt>
                <c:pt idx="167">
                  <c:v>120</c:v>
                </c:pt>
                <c:pt idx="168">
                  <c:v>118.5</c:v>
                </c:pt>
                <c:pt idx="169">
                  <c:v>112.5</c:v>
                </c:pt>
                <c:pt idx="170">
                  <c:v>106.5</c:v>
                </c:pt>
                <c:pt idx="171">
                  <c:v>105</c:v>
                </c:pt>
                <c:pt idx="172">
                  <c:v>100.65</c:v>
                </c:pt>
                <c:pt idx="173">
                  <c:v>100.5</c:v>
                </c:pt>
                <c:pt idx="174">
                  <c:v>100.5</c:v>
                </c:pt>
                <c:pt idx="175">
                  <c:v>100.5</c:v>
                </c:pt>
                <c:pt idx="176">
                  <c:v>100</c:v>
                </c:pt>
                <c:pt idx="177">
                  <c:v>100</c:v>
                </c:pt>
                <c:pt idx="178">
                  <c:v>99</c:v>
                </c:pt>
                <c:pt idx="179">
                  <c:v>99</c:v>
                </c:pt>
                <c:pt idx="180">
                  <c:v>96</c:v>
                </c:pt>
                <c:pt idx="181">
                  <c:v>94</c:v>
                </c:pt>
                <c:pt idx="182">
                  <c:v>81</c:v>
                </c:pt>
                <c:pt idx="183">
                  <c:v>80</c:v>
                </c:pt>
                <c:pt idx="184">
                  <c:v>75</c:v>
                </c:pt>
                <c:pt idx="185">
                  <c:v>70.2</c:v>
                </c:pt>
                <c:pt idx="186">
                  <c:v>69</c:v>
                </c:pt>
                <c:pt idx="187">
                  <c:v>67.650000000000006</c:v>
                </c:pt>
                <c:pt idx="188">
                  <c:v>60.9</c:v>
                </c:pt>
                <c:pt idx="189">
                  <c:v>60</c:v>
                </c:pt>
                <c:pt idx="190">
                  <c:v>58.8</c:v>
                </c:pt>
                <c:pt idx="191">
                  <c:v>58.5</c:v>
                </c:pt>
                <c:pt idx="192">
                  <c:v>52.8</c:v>
                </c:pt>
                <c:pt idx="193">
                  <c:v>50.4</c:v>
                </c:pt>
                <c:pt idx="194">
                  <c:v>45</c:v>
                </c:pt>
                <c:pt idx="195">
                  <c:v>40.5</c:v>
                </c:pt>
                <c:pt idx="196">
                  <c:v>37.799999999999997</c:v>
                </c:pt>
                <c:pt idx="197">
                  <c:v>32.200000000000003</c:v>
                </c:pt>
                <c:pt idx="198">
                  <c:v>29.7</c:v>
                </c:pt>
                <c:pt idx="199">
                  <c:v>29.4</c:v>
                </c:pt>
                <c:pt idx="200">
                  <c:v>29.4</c:v>
                </c:pt>
                <c:pt idx="201">
                  <c:v>25</c:v>
                </c:pt>
                <c:pt idx="202">
                  <c:v>24</c:v>
                </c:pt>
                <c:pt idx="203">
                  <c:v>19.5</c:v>
                </c:pt>
                <c:pt idx="204">
                  <c:v>18.899999999999999</c:v>
                </c:pt>
                <c:pt idx="205">
                  <c:v>10</c:v>
                </c:pt>
                <c:pt idx="206">
                  <c:v>10</c:v>
                </c:pt>
                <c:pt idx="207">
                  <c:v>7.2</c:v>
                </c:pt>
                <c:pt idx="208">
                  <c:v>400.3</c:v>
                </c:pt>
                <c:pt idx="209">
                  <c:v>283.2</c:v>
                </c:pt>
                <c:pt idx="210">
                  <c:v>249</c:v>
                </c:pt>
                <c:pt idx="211">
                  <c:v>217.5</c:v>
                </c:pt>
                <c:pt idx="212">
                  <c:v>203.5</c:v>
                </c:pt>
                <c:pt idx="213">
                  <c:v>202.4</c:v>
                </c:pt>
                <c:pt idx="214">
                  <c:v>201.6</c:v>
                </c:pt>
                <c:pt idx="215">
                  <c:v>199.65</c:v>
                </c:pt>
                <c:pt idx="216">
                  <c:v>199.65</c:v>
                </c:pt>
                <c:pt idx="217">
                  <c:v>199.5</c:v>
                </c:pt>
                <c:pt idx="218">
                  <c:v>197</c:v>
                </c:pt>
                <c:pt idx="219">
                  <c:v>179.85</c:v>
                </c:pt>
                <c:pt idx="220">
                  <c:v>174.3</c:v>
                </c:pt>
                <c:pt idx="221">
                  <c:v>160</c:v>
                </c:pt>
                <c:pt idx="222">
                  <c:v>152.61000000000001</c:v>
                </c:pt>
                <c:pt idx="223">
                  <c:v>150</c:v>
                </c:pt>
                <c:pt idx="224">
                  <c:v>150</c:v>
                </c:pt>
                <c:pt idx="225">
                  <c:v>150</c:v>
                </c:pt>
                <c:pt idx="226">
                  <c:v>149.5</c:v>
                </c:pt>
                <c:pt idx="227">
                  <c:v>149.1</c:v>
                </c:pt>
                <c:pt idx="228">
                  <c:v>146</c:v>
                </c:pt>
                <c:pt idx="229">
                  <c:v>136.6</c:v>
                </c:pt>
                <c:pt idx="230">
                  <c:v>126</c:v>
                </c:pt>
                <c:pt idx="231">
                  <c:v>125</c:v>
                </c:pt>
                <c:pt idx="232">
                  <c:v>120</c:v>
                </c:pt>
                <c:pt idx="233">
                  <c:v>120</c:v>
                </c:pt>
                <c:pt idx="234">
                  <c:v>115.5</c:v>
                </c:pt>
                <c:pt idx="235">
                  <c:v>115.5</c:v>
                </c:pt>
                <c:pt idx="236">
                  <c:v>114</c:v>
                </c:pt>
                <c:pt idx="237">
                  <c:v>112.5</c:v>
                </c:pt>
                <c:pt idx="238">
                  <c:v>106.5</c:v>
                </c:pt>
                <c:pt idx="239">
                  <c:v>106</c:v>
                </c:pt>
                <c:pt idx="240">
                  <c:v>103.5</c:v>
                </c:pt>
                <c:pt idx="241">
                  <c:v>102.3</c:v>
                </c:pt>
                <c:pt idx="242">
                  <c:v>102</c:v>
                </c:pt>
                <c:pt idx="243">
                  <c:v>102</c:v>
                </c:pt>
                <c:pt idx="244">
                  <c:v>101.2</c:v>
                </c:pt>
                <c:pt idx="245">
                  <c:v>101.2</c:v>
                </c:pt>
                <c:pt idx="246">
                  <c:v>100.8</c:v>
                </c:pt>
                <c:pt idx="247">
                  <c:v>100.65</c:v>
                </c:pt>
                <c:pt idx="248">
                  <c:v>100.5</c:v>
                </c:pt>
                <c:pt idx="249">
                  <c:v>100.5</c:v>
                </c:pt>
                <c:pt idx="250">
                  <c:v>100.5</c:v>
                </c:pt>
                <c:pt idx="251">
                  <c:v>100</c:v>
                </c:pt>
                <c:pt idx="252">
                  <c:v>100</c:v>
                </c:pt>
                <c:pt idx="253">
                  <c:v>99</c:v>
                </c:pt>
                <c:pt idx="254">
                  <c:v>99</c:v>
                </c:pt>
                <c:pt idx="255">
                  <c:v>99</c:v>
                </c:pt>
                <c:pt idx="256">
                  <c:v>99</c:v>
                </c:pt>
                <c:pt idx="257">
                  <c:v>99</c:v>
                </c:pt>
                <c:pt idx="258">
                  <c:v>99</c:v>
                </c:pt>
                <c:pt idx="259">
                  <c:v>98.9</c:v>
                </c:pt>
                <c:pt idx="260">
                  <c:v>98.9</c:v>
                </c:pt>
                <c:pt idx="261">
                  <c:v>98.9</c:v>
                </c:pt>
                <c:pt idx="262">
                  <c:v>98.7</c:v>
                </c:pt>
                <c:pt idx="263">
                  <c:v>97.5</c:v>
                </c:pt>
                <c:pt idx="264">
                  <c:v>96.6</c:v>
                </c:pt>
                <c:pt idx="265">
                  <c:v>81</c:v>
                </c:pt>
                <c:pt idx="266">
                  <c:v>79.5</c:v>
                </c:pt>
                <c:pt idx="267">
                  <c:v>72</c:v>
                </c:pt>
                <c:pt idx="268">
                  <c:v>70</c:v>
                </c:pt>
                <c:pt idx="269">
                  <c:v>69.599999999999994</c:v>
                </c:pt>
                <c:pt idx="270">
                  <c:v>66</c:v>
                </c:pt>
                <c:pt idx="271">
                  <c:v>66</c:v>
                </c:pt>
                <c:pt idx="272">
                  <c:v>63</c:v>
                </c:pt>
                <c:pt idx="273">
                  <c:v>63</c:v>
                </c:pt>
                <c:pt idx="274">
                  <c:v>62.5</c:v>
                </c:pt>
                <c:pt idx="275">
                  <c:v>60</c:v>
                </c:pt>
                <c:pt idx="276">
                  <c:v>59.8</c:v>
                </c:pt>
                <c:pt idx="277">
                  <c:v>57</c:v>
                </c:pt>
                <c:pt idx="278">
                  <c:v>54</c:v>
                </c:pt>
                <c:pt idx="279">
                  <c:v>52.5</c:v>
                </c:pt>
                <c:pt idx="280">
                  <c:v>51</c:v>
                </c:pt>
                <c:pt idx="281">
                  <c:v>51</c:v>
                </c:pt>
                <c:pt idx="282">
                  <c:v>50.4</c:v>
                </c:pt>
                <c:pt idx="283">
                  <c:v>49.5</c:v>
                </c:pt>
                <c:pt idx="284">
                  <c:v>49.5</c:v>
                </c:pt>
                <c:pt idx="285">
                  <c:v>49.5</c:v>
                </c:pt>
                <c:pt idx="286">
                  <c:v>44.55</c:v>
                </c:pt>
                <c:pt idx="287">
                  <c:v>44</c:v>
                </c:pt>
                <c:pt idx="288">
                  <c:v>42</c:v>
                </c:pt>
                <c:pt idx="289">
                  <c:v>42</c:v>
                </c:pt>
                <c:pt idx="290">
                  <c:v>39</c:v>
                </c:pt>
                <c:pt idx="291">
                  <c:v>39</c:v>
                </c:pt>
                <c:pt idx="292">
                  <c:v>29.4</c:v>
                </c:pt>
                <c:pt idx="293">
                  <c:v>28.5</c:v>
                </c:pt>
                <c:pt idx="294">
                  <c:v>20</c:v>
                </c:pt>
                <c:pt idx="295">
                  <c:v>14</c:v>
                </c:pt>
                <c:pt idx="296">
                  <c:v>10.5</c:v>
                </c:pt>
                <c:pt idx="297">
                  <c:v>10.5</c:v>
                </c:pt>
                <c:pt idx="298">
                  <c:v>10.5</c:v>
                </c:pt>
                <c:pt idx="299">
                  <c:v>10</c:v>
                </c:pt>
                <c:pt idx="300">
                  <c:v>10</c:v>
                </c:pt>
                <c:pt idx="301">
                  <c:v>10</c:v>
                </c:pt>
                <c:pt idx="302">
                  <c:v>10</c:v>
                </c:pt>
                <c:pt idx="303">
                  <c:v>9.9</c:v>
                </c:pt>
                <c:pt idx="304">
                  <c:v>6.5</c:v>
                </c:pt>
                <c:pt idx="305">
                  <c:v>300</c:v>
                </c:pt>
                <c:pt idx="306">
                  <c:v>210</c:v>
                </c:pt>
                <c:pt idx="307">
                  <c:v>201.6</c:v>
                </c:pt>
                <c:pt idx="308">
                  <c:v>201</c:v>
                </c:pt>
                <c:pt idx="309">
                  <c:v>200.2</c:v>
                </c:pt>
                <c:pt idx="310">
                  <c:v>200.1</c:v>
                </c:pt>
                <c:pt idx="311">
                  <c:v>198</c:v>
                </c:pt>
                <c:pt idx="312">
                  <c:v>174.8</c:v>
                </c:pt>
                <c:pt idx="313">
                  <c:v>151.80000000000001</c:v>
                </c:pt>
                <c:pt idx="314">
                  <c:v>150</c:v>
                </c:pt>
                <c:pt idx="315">
                  <c:v>150</c:v>
                </c:pt>
                <c:pt idx="316">
                  <c:v>150</c:v>
                </c:pt>
                <c:pt idx="317">
                  <c:v>148.80000000000001</c:v>
                </c:pt>
                <c:pt idx="318">
                  <c:v>148.5</c:v>
                </c:pt>
                <c:pt idx="319">
                  <c:v>124.5</c:v>
                </c:pt>
                <c:pt idx="320">
                  <c:v>111</c:v>
                </c:pt>
                <c:pt idx="321">
                  <c:v>103.5</c:v>
                </c:pt>
                <c:pt idx="322">
                  <c:v>102.4</c:v>
                </c:pt>
                <c:pt idx="323">
                  <c:v>102.4</c:v>
                </c:pt>
                <c:pt idx="324">
                  <c:v>101.19999999999999</c:v>
                </c:pt>
                <c:pt idx="325">
                  <c:v>100.80000000000001</c:v>
                </c:pt>
                <c:pt idx="326">
                  <c:v>100.8</c:v>
                </c:pt>
                <c:pt idx="327">
                  <c:v>100.5</c:v>
                </c:pt>
                <c:pt idx="328">
                  <c:v>100.5</c:v>
                </c:pt>
                <c:pt idx="329">
                  <c:v>99.2</c:v>
                </c:pt>
                <c:pt idx="330">
                  <c:v>99</c:v>
                </c:pt>
                <c:pt idx="331">
                  <c:v>99</c:v>
                </c:pt>
                <c:pt idx="332">
                  <c:v>98.7</c:v>
                </c:pt>
                <c:pt idx="333">
                  <c:v>98.7</c:v>
                </c:pt>
                <c:pt idx="334">
                  <c:v>90</c:v>
                </c:pt>
                <c:pt idx="335">
                  <c:v>87</c:v>
                </c:pt>
                <c:pt idx="336">
                  <c:v>70</c:v>
                </c:pt>
                <c:pt idx="337">
                  <c:v>66</c:v>
                </c:pt>
                <c:pt idx="338">
                  <c:v>65.099999999999994</c:v>
                </c:pt>
                <c:pt idx="339">
                  <c:v>62.4</c:v>
                </c:pt>
                <c:pt idx="340">
                  <c:v>60</c:v>
                </c:pt>
                <c:pt idx="341">
                  <c:v>50</c:v>
                </c:pt>
                <c:pt idx="342">
                  <c:v>50</c:v>
                </c:pt>
                <c:pt idx="343">
                  <c:v>48</c:v>
                </c:pt>
                <c:pt idx="344">
                  <c:v>36.799999999999997</c:v>
                </c:pt>
                <c:pt idx="345">
                  <c:v>36.799999999999997</c:v>
                </c:pt>
                <c:pt idx="346">
                  <c:v>25.5</c:v>
                </c:pt>
                <c:pt idx="347">
                  <c:v>25.3</c:v>
                </c:pt>
                <c:pt idx="348">
                  <c:v>22.5</c:v>
                </c:pt>
                <c:pt idx="349">
                  <c:v>21</c:v>
                </c:pt>
                <c:pt idx="350">
                  <c:v>21</c:v>
                </c:pt>
                <c:pt idx="351">
                  <c:v>20.75</c:v>
                </c:pt>
                <c:pt idx="352">
                  <c:v>20</c:v>
                </c:pt>
                <c:pt idx="353">
                  <c:v>20</c:v>
                </c:pt>
                <c:pt idx="354">
                  <c:v>19.5</c:v>
                </c:pt>
                <c:pt idx="355">
                  <c:v>16.8</c:v>
                </c:pt>
                <c:pt idx="356">
                  <c:v>12.5</c:v>
                </c:pt>
                <c:pt idx="357">
                  <c:v>10.5</c:v>
                </c:pt>
                <c:pt idx="358">
                  <c:v>10</c:v>
                </c:pt>
                <c:pt idx="359">
                  <c:v>10</c:v>
                </c:pt>
                <c:pt idx="360">
                  <c:v>9</c:v>
                </c:pt>
                <c:pt idx="361">
                  <c:v>6</c:v>
                </c:pt>
                <c:pt idx="362">
                  <c:v>443.9</c:v>
                </c:pt>
                <c:pt idx="363">
                  <c:v>250.8</c:v>
                </c:pt>
                <c:pt idx="364">
                  <c:v>250.2</c:v>
                </c:pt>
                <c:pt idx="365">
                  <c:v>239.4</c:v>
                </c:pt>
                <c:pt idx="366">
                  <c:v>205.5</c:v>
                </c:pt>
                <c:pt idx="367">
                  <c:v>205</c:v>
                </c:pt>
                <c:pt idx="368">
                  <c:v>201.3</c:v>
                </c:pt>
                <c:pt idx="369">
                  <c:v>201.3</c:v>
                </c:pt>
                <c:pt idx="370">
                  <c:v>199.8</c:v>
                </c:pt>
                <c:pt idx="371">
                  <c:v>195.5</c:v>
                </c:pt>
                <c:pt idx="372">
                  <c:v>168</c:v>
                </c:pt>
                <c:pt idx="373">
                  <c:v>162</c:v>
                </c:pt>
                <c:pt idx="374">
                  <c:v>151.19999999999999</c:v>
                </c:pt>
                <c:pt idx="375">
                  <c:v>150.4</c:v>
                </c:pt>
                <c:pt idx="376">
                  <c:v>150.4</c:v>
                </c:pt>
                <c:pt idx="377">
                  <c:v>150</c:v>
                </c:pt>
                <c:pt idx="378">
                  <c:v>150</c:v>
                </c:pt>
                <c:pt idx="379">
                  <c:v>150</c:v>
                </c:pt>
                <c:pt idx="380">
                  <c:v>132</c:v>
                </c:pt>
                <c:pt idx="381">
                  <c:v>129.6</c:v>
                </c:pt>
                <c:pt idx="382">
                  <c:v>129</c:v>
                </c:pt>
                <c:pt idx="383">
                  <c:v>119.6</c:v>
                </c:pt>
                <c:pt idx="384">
                  <c:v>102.5</c:v>
                </c:pt>
                <c:pt idx="385">
                  <c:v>102.4</c:v>
                </c:pt>
                <c:pt idx="386">
                  <c:v>102</c:v>
                </c:pt>
                <c:pt idx="387">
                  <c:v>102</c:v>
                </c:pt>
                <c:pt idx="388">
                  <c:v>100.8</c:v>
                </c:pt>
                <c:pt idx="389">
                  <c:v>99</c:v>
                </c:pt>
                <c:pt idx="390">
                  <c:v>99</c:v>
                </c:pt>
                <c:pt idx="391">
                  <c:v>97.6</c:v>
                </c:pt>
                <c:pt idx="392">
                  <c:v>81</c:v>
                </c:pt>
                <c:pt idx="393">
                  <c:v>79.2</c:v>
                </c:pt>
                <c:pt idx="394">
                  <c:v>78.2</c:v>
                </c:pt>
                <c:pt idx="395">
                  <c:v>78.2</c:v>
                </c:pt>
                <c:pt idx="396">
                  <c:v>74</c:v>
                </c:pt>
                <c:pt idx="397">
                  <c:v>64.5</c:v>
                </c:pt>
                <c:pt idx="398">
                  <c:v>60</c:v>
                </c:pt>
                <c:pt idx="399">
                  <c:v>50.599999999999994</c:v>
                </c:pt>
                <c:pt idx="400">
                  <c:v>50.4</c:v>
                </c:pt>
                <c:pt idx="401">
                  <c:v>50</c:v>
                </c:pt>
                <c:pt idx="402">
                  <c:v>49.5</c:v>
                </c:pt>
                <c:pt idx="403">
                  <c:v>45</c:v>
                </c:pt>
                <c:pt idx="404">
                  <c:v>43.2</c:v>
                </c:pt>
                <c:pt idx="405">
                  <c:v>42.5</c:v>
                </c:pt>
                <c:pt idx="406">
                  <c:v>40.5</c:v>
                </c:pt>
                <c:pt idx="407">
                  <c:v>40</c:v>
                </c:pt>
                <c:pt idx="408">
                  <c:v>38</c:v>
                </c:pt>
                <c:pt idx="409">
                  <c:v>36</c:v>
                </c:pt>
                <c:pt idx="410">
                  <c:v>30</c:v>
                </c:pt>
                <c:pt idx="411">
                  <c:v>22.4</c:v>
                </c:pt>
                <c:pt idx="412">
                  <c:v>21</c:v>
                </c:pt>
                <c:pt idx="413">
                  <c:v>21</c:v>
                </c:pt>
                <c:pt idx="414">
                  <c:v>20.5</c:v>
                </c:pt>
                <c:pt idx="415">
                  <c:v>20</c:v>
                </c:pt>
                <c:pt idx="416">
                  <c:v>19.8</c:v>
                </c:pt>
                <c:pt idx="417">
                  <c:v>19.8</c:v>
                </c:pt>
                <c:pt idx="418">
                  <c:v>19.5</c:v>
                </c:pt>
                <c:pt idx="419">
                  <c:v>19.5</c:v>
                </c:pt>
                <c:pt idx="420">
                  <c:v>15</c:v>
                </c:pt>
                <c:pt idx="421">
                  <c:v>13.5</c:v>
                </c:pt>
                <c:pt idx="422">
                  <c:v>12</c:v>
                </c:pt>
                <c:pt idx="423">
                  <c:v>12</c:v>
                </c:pt>
                <c:pt idx="424">
                  <c:v>10.5</c:v>
                </c:pt>
                <c:pt idx="425">
                  <c:v>10.5</c:v>
                </c:pt>
                <c:pt idx="426">
                  <c:v>10</c:v>
                </c:pt>
                <c:pt idx="427">
                  <c:v>10</c:v>
                </c:pt>
                <c:pt idx="428">
                  <c:v>10</c:v>
                </c:pt>
                <c:pt idx="429">
                  <c:v>470.40000000000003</c:v>
                </c:pt>
                <c:pt idx="430">
                  <c:v>342.7</c:v>
                </c:pt>
                <c:pt idx="431">
                  <c:v>304</c:v>
                </c:pt>
                <c:pt idx="432">
                  <c:v>298.45</c:v>
                </c:pt>
                <c:pt idx="433">
                  <c:v>290</c:v>
                </c:pt>
                <c:pt idx="434">
                  <c:v>290</c:v>
                </c:pt>
                <c:pt idx="435">
                  <c:v>235.2</c:v>
                </c:pt>
                <c:pt idx="436">
                  <c:v>225</c:v>
                </c:pt>
                <c:pt idx="437">
                  <c:v>222.78</c:v>
                </c:pt>
                <c:pt idx="438">
                  <c:v>217.08</c:v>
                </c:pt>
                <c:pt idx="439">
                  <c:v>215.25</c:v>
                </c:pt>
                <c:pt idx="440">
                  <c:v>211.38000000000002</c:v>
                </c:pt>
                <c:pt idx="441">
                  <c:v>201</c:v>
                </c:pt>
                <c:pt idx="442">
                  <c:v>200.1</c:v>
                </c:pt>
                <c:pt idx="443">
                  <c:v>200</c:v>
                </c:pt>
                <c:pt idx="444">
                  <c:v>199.92</c:v>
                </c:pt>
                <c:pt idx="445">
                  <c:v>189</c:v>
                </c:pt>
                <c:pt idx="446">
                  <c:v>189</c:v>
                </c:pt>
                <c:pt idx="447">
                  <c:v>162</c:v>
                </c:pt>
                <c:pt idx="448">
                  <c:v>151.79999999999998</c:v>
                </c:pt>
                <c:pt idx="449">
                  <c:v>150</c:v>
                </c:pt>
                <c:pt idx="450">
                  <c:v>148.80000000000001</c:v>
                </c:pt>
                <c:pt idx="451">
                  <c:v>143.5</c:v>
                </c:pt>
                <c:pt idx="452">
                  <c:v>140.80000000000001</c:v>
                </c:pt>
                <c:pt idx="453">
                  <c:v>139.4</c:v>
                </c:pt>
                <c:pt idx="454">
                  <c:v>138</c:v>
                </c:pt>
                <c:pt idx="455">
                  <c:v>132</c:v>
                </c:pt>
                <c:pt idx="456">
                  <c:v>127.80000000000001</c:v>
                </c:pt>
                <c:pt idx="457">
                  <c:v>120</c:v>
                </c:pt>
                <c:pt idx="458">
                  <c:v>120</c:v>
                </c:pt>
                <c:pt idx="459">
                  <c:v>119.7</c:v>
                </c:pt>
                <c:pt idx="460">
                  <c:v>110.4</c:v>
                </c:pt>
                <c:pt idx="461">
                  <c:v>109.5</c:v>
                </c:pt>
                <c:pt idx="462">
                  <c:v>105.75</c:v>
                </c:pt>
                <c:pt idx="463">
                  <c:v>105</c:v>
                </c:pt>
                <c:pt idx="464">
                  <c:v>105</c:v>
                </c:pt>
                <c:pt idx="465">
                  <c:v>104.4</c:v>
                </c:pt>
                <c:pt idx="466">
                  <c:v>102.49999999999999</c:v>
                </c:pt>
                <c:pt idx="467">
                  <c:v>102</c:v>
                </c:pt>
                <c:pt idx="468">
                  <c:v>101.2</c:v>
                </c:pt>
                <c:pt idx="469">
                  <c:v>100.8</c:v>
                </c:pt>
                <c:pt idx="470">
                  <c:v>100.8</c:v>
                </c:pt>
                <c:pt idx="471">
                  <c:v>100</c:v>
                </c:pt>
                <c:pt idx="472">
                  <c:v>99.2</c:v>
                </c:pt>
                <c:pt idx="473">
                  <c:v>99</c:v>
                </c:pt>
                <c:pt idx="474">
                  <c:v>99</c:v>
                </c:pt>
                <c:pt idx="475">
                  <c:v>91.2</c:v>
                </c:pt>
                <c:pt idx="476">
                  <c:v>80</c:v>
                </c:pt>
                <c:pt idx="477">
                  <c:v>80</c:v>
                </c:pt>
                <c:pt idx="478">
                  <c:v>80</c:v>
                </c:pt>
                <c:pt idx="479">
                  <c:v>78.2</c:v>
                </c:pt>
                <c:pt idx="480">
                  <c:v>75</c:v>
                </c:pt>
                <c:pt idx="481">
                  <c:v>69</c:v>
                </c:pt>
                <c:pt idx="482">
                  <c:v>64</c:v>
                </c:pt>
                <c:pt idx="483">
                  <c:v>63</c:v>
                </c:pt>
                <c:pt idx="484">
                  <c:v>61.2</c:v>
                </c:pt>
                <c:pt idx="485">
                  <c:v>57.6</c:v>
                </c:pt>
                <c:pt idx="486">
                  <c:v>55.35</c:v>
                </c:pt>
                <c:pt idx="487">
                  <c:v>50</c:v>
                </c:pt>
                <c:pt idx="488">
                  <c:v>49</c:v>
                </c:pt>
                <c:pt idx="489">
                  <c:v>48</c:v>
                </c:pt>
                <c:pt idx="490">
                  <c:v>46</c:v>
                </c:pt>
                <c:pt idx="491">
                  <c:v>40</c:v>
                </c:pt>
                <c:pt idx="492">
                  <c:v>40</c:v>
                </c:pt>
                <c:pt idx="493">
                  <c:v>37.5</c:v>
                </c:pt>
                <c:pt idx="494">
                  <c:v>36</c:v>
                </c:pt>
                <c:pt idx="495">
                  <c:v>34.200000000000003</c:v>
                </c:pt>
                <c:pt idx="496">
                  <c:v>32</c:v>
                </c:pt>
                <c:pt idx="497">
                  <c:v>30.75</c:v>
                </c:pt>
                <c:pt idx="498">
                  <c:v>30</c:v>
                </c:pt>
                <c:pt idx="499">
                  <c:v>30</c:v>
                </c:pt>
                <c:pt idx="500">
                  <c:v>28.8</c:v>
                </c:pt>
                <c:pt idx="501">
                  <c:v>28.5</c:v>
                </c:pt>
                <c:pt idx="502">
                  <c:v>28</c:v>
                </c:pt>
                <c:pt idx="503">
                  <c:v>24</c:v>
                </c:pt>
                <c:pt idx="504">
                  <c:v>21</c:v>
                </c:pt>
                <c:pt idx="505">
                  <c:v>20</c:v>
                </c:pt>
                <c:pt idx="506">
                  <c:v>19.2</c:v>
                </c:pt>
                <c:pt idx="507">
                  <c:v>18</c:v>
                </c:pt>
                <c:pt idx="508">
                  <c:v>15</c:v>
                </c:pt>
                <c:pt idx="509">
                  <c:v>14.4</c:v>
                </c:pt>
                <c:pt idx="510">
                  <c:v>10</c:v>
                </c:pt>
                <c:pt idx="511">
                  <c:v>10</c:v>
                </c:pt>
                <c:pt idx="512">
                  <c:v>10</c:v>
                </c:pt>
                <c:pt idx="513">
                  <c:v>9</c:v>
                </c:pt>
                <c:pt idx="514">
                  <c:v>9</c:v>
                </c:pt>
                <c:pt idx="515">
                  <c:v>8</c:v>
                </c:pt>
                <c:pt idx="516">
                  <c:v>6</c:v>
                </c:pt>
                <c:pt idx="517">
                  <c:v>249.75</c:v>
                </c:pt>
                <c:pt idx="518">
                  <c:v>136.80000000000001</c:v>
                </c:pt>
                <c:pt idx="519">
                  <c:v>100.3</c:v>
                </c:pt>
                <c:pt idx="520">
                  <c:v>89.65</c:v>
                </c:pt>
                <c:pt idx="521">
                  <c:v>74.8</c:v>
                </c:pt>
                <c:pt idx="522">
                  <c:v>74.8</c:v>
                </c:pt>
                <c:pt idx="523">
                  <c:v>44.65</c:v>
                </c:pt>
                <c:pt idx="524">
                  <c:v>42.660000000000004</c:v>
                </c:pt>
                <c:pt idx="525">
                  <c:v>23.8</c:v>
                </c:pt>
                <c:pt idx="526">
                  <c:v>8</c:v>
                </c:pt>
                <c:pt idx="527">
                  <c:v>288.60000000000002</c:v>
                </c:pt>
                <c:pt idx="528">
                  <c:v>266.8</c:v>
                </c:pt>
                <c:pt idx="529">
                  <c:v>251.02200000000002</c:v>
                </c:pt>
                <c:pt idx="530">
                  <c:v>249.9</c:v>
                </c:pt>
                <c:pt idx="531">
                  <c:v>218.3</c:v>
                </c:pt>
                <c:pt idx="532">
                  <c:v>211.22</c:v>
                </c:pt>
                <c:pt idx="533">
                  <c:v>211.22</c:v>
                </c:pt>
                <c:pt idx="534">
                  <c:v>204.8</c:v>
                </c:pt>
                <c:pt idx="535">
                  <c:v>200.6</c:v>
                </c:pt>
                <c:pt idx="536">
                  <c:v>200.6</c:v>
                </c:pt>
                <c:pt idx="537">
                  <c:v>200</c:v>
                </c:pt>
                <c:pt idx="538">
                  <c:v>199.9</c:v>
                </c:pt>
                <c:pt idx="539">
                  <c:v>198.9</c:v>
                </c:pt>
                <c:pt idx="540">
                  <c:v>198.9</c:v>
                </c:pt>
                <c:pt idx="541">
                  <c:v>181.7</c:v>
                </c:pt>
                <c:pt idx="542">
                  <c:v>160.94999999999999</c:v>
                </c:pt>
                <c:pt idx="543">
                  <c:v>150</c:v>
                </c:pt>
                <c:pt idx="544">
                  <c:v>148.6</c:v>
                </c:pt>
                <c:pt idx="545">
                  <c:v>140.76</c:v>
                </c:pt>
                <c:pt idx="546">
                  <c:v>119.646</c:v>
                </c:pt>
                <c:pt idx="547">
                  <c:v>112</c:v>
                </c:pt>
                <c:pt idx="548">
                  <c:v>110.98</c:v>
                </c:pt>
                <c:pt idx="549">
                  <c:v>100.3</c:v>
                </c:pt>
                <c:pt idx="550">
                  <c:v>99</c:v>
                </c:pt>
                <c:pt idx="551">
                  <c:v>93.960000000000008</c:v>
                </c:pt>
                <c:pt idx="552">
                  <c:v>75</c:v>
                </c:pt>
                <c:pt idx="553">
                  <c:v>74.800000000000097</c:v>
                </c:pt>
                <c:pt idx="554">
                  <c:v>68</c:v>
                </c:pt>
                <c:pt idx="555">
                  <c:v>60</c:v>
                </c:pt>
                <c:pt idx="556">
                  <c:v>50.4</c:v>
                </c:pt>
                <c:pt idx="557">
                  <c:v>48</c:v>
                </c:pt>
                <c:pt idx="558">
                  <c:v>40</c:v>
                </c:pt>
                <c:pt idx="559">
                  <c:v>34.200000000000003</c:v>
                </c:pt>
                <c:pt idx="560">
                  <c:v>20</c:v>
                </c:pt>
                <c:pt idx="561">
                  <c:v>19.8</c:v>
                </c:pt>
                <c:pt idx="562">
                  <c:v>19.5</c:v>
                </c:pt>
                <c:pt idx="563">
                  <c:v>16.2</c:v>
                </c:pt>
                <c:pt idx="564">
                  <c:v>14.95</c:v>
                </c:pt>
                <c:pt idx="565">
                  <c:v>11.5</c:v>
                </c:pt>
                <c:pt idx="566">
                  <c:v>10</c:v>
                </c:pt>
                <c:pt idx="567">
                  <c:v>9.7200000000000006</c:v>
                </c:pt>
                <c:pt idx="568">
                  <c:v>495.01</c:v>
                </c:pt>
                <c:pt idx="569">
                  <c:v>299.7</c:v>
                </c:pt>
                <c:pt idx="570">
                  <c:v>299.7</c:v>
                </c:pt>
                <c:pt idx="571">
                  <c:v>299</c:v>
                </c:pt>
                <c:pt idx="572">
                  <c:v>250</c:v>
                </c:pt>
                <c:pt idx="573">
                  <c:v>249.7</c:v>
                </c:pt>
                <c:pt idx="574">
                  <c:v>249.2</c:v>
                </c:pt>
                <c:pt idx="575">
                  <c:v>211.22</c:v>
                </c:pt>
                <c:pt idx="576">
                  <c:v>207</c:v>
                </c:pt>
                <c:pt idx="577">
                  <c:v>204.09</c:v>
                </c:pt>
                <c:pt idx="578">
                  <c:v>202</c:v>
                </c:pt>
                <c:pt idx="579">
                  <c:v>200.1</c:v>
                </c:pt>
                <c:pt idx="580">
                  <c:v>200</c:v>
                </c:pt>
                <c:pt idx="581">
                  <c:v>200</c:v>
                </c:pt>
                <c:pt idx="582">
                  <c:v>200</c:v>
                </c:pt>
                <c:pt idx="583">
                  <c:v>200</c:v>
                </c:pt>
                <c:pt idx="584">
                  <c:v>200</c:v>
                </c:pt>
                <c:pt idx="585">
                  <c:v>200</c:v>
                </c:pt>
                <c:pt idx="586">
                  <c:v>198.7</c:v>
                </c:pt>
                <c:pt idx="587">
                  <c:v>194</c:v>
                </c:pt>
                <c:pt idx="588">
                  <c:v>180</c:v>
                </c:pt>
                <c:pt idx="589">
                  <c:v>175.1</c:v>
                </c:pt>
                <c:pt idx="590">
                  <c:v>165</c:v>
                </c:pt>
                <c:pt idx="591">
                  <c:v>164.68</c:v>
                </c:pt>
                <c:pt idx="592">
                  <c:v>150.36000000000001</c:v>
                </c:pt>
                <c:pt idx="593">
                  <c:v>150</c:v>
                </c:pt>
                <c:pt idx="594">
                  <c:v>150</c:v>
                </c:pt>
                <c:pt idx="595">
                  <c:v>150</c:v>
                </c:pt>
                <c:pt idx="596">
                  <c:v>150</c:v>
                </c:pt>
                <c:pt idx="597">
                  <c:v>150</c:v>
                </c:pt>
                <c:pt idx="598">
                  <c:v>149.6</c:v>
                </c:pt>
                <c:pt idx="599">
                  <c:v>149.5</c:v>
                </c:pt>
                <c:pt idx="600">
                  <c:v>147.6</c:v>
                </c:pt>
                <c:pt idx="601">
                  <c:v>110</c:v>
                </c:pt>
                <c:pt idx="602">
                  <c:v>110</c:v>
                </c:pt>
                <c:pt idx="603">
                  <c:v>107.5</c:v>
                </c:pt>
                <c:pt idx="604">
                  <c:v>100</c:v>
                </c:pt>
                <c:pt idx="605">
                  <c:v>99</c:v>
                </c:pt>
                <c:pt idx="606">
                  <c:v>98.1</c:v>
                </c:pt>
                <c:pt idx="607">
                  <c:v>98</c:v>
                </c:pt>
                <c:pt idx="608">
                  <c:v>95</c:v>
                </c:pt>
                <c:pt idx="609">
                  <c:v>85.9</c:v>
                </c:pt>
                <c:pt idx="610">
                  <c:v>79.55</c:v>
                </c:pt>
                <c:pt idx="611">
                  <c:v>78</c:v>
                </c:pt>
                <c:pt idx="612">
                  <c:v>74</c:v>
                </c:pt>
                <c:pt idx="613">
                  <c:v>73.5</c:v>
                </c:pt>
                <c:pt idx="614">
                  <c:v>48.3</c:v>
                </c:pt>
                <c:pt idx="615">
                  <c:v>30</c:v>
                </c:pt>
                <c:pt idx="616">
                  <c:v>20</c:v>
                </c:pt>
                <c:pt idx="617">
                  <c:v>19.8</c:v>
                </c:pt>
                <c:pt idx="618">
                  <c:v>18</c:v>
                </c:pt>
                <c:pt idx="619">
                  <c:v>14.25</c:v>
                </c:pt>
                <c:pt idx="620">
                  <c:v>7.04</c:v>
                </c:pt>
                <c:pt idx="621">
                  <c:v>400</c:v>
                </c:pt>
                <c:pt idx="622">
                  <c:v>301.06</c:v>
                </c:pt>
                <c:pt idx="623">
                  <c:v>300.3</c:v>
                </c:pt>
                <c:pt idx="624">
                  <c:v>257.25</c:v>
                </c:pt>
                <c:pt idx="625">
                  <c:v>250.26300000000001</c:v>
                </c:pt>
                <c:pt idx="626">
                  <c:v>249</c:v>
                </c:pt>
                <c:pt idx="627">
                  <c:v>230.4</c:v>
                </c:pt>
                <c:pt idx="628">
                  <c:v>230</c:v>
                </c:pt>
                <c:pt idx="629">
                  <c:v>230</c:v>
                </c:pt>
                <c:pt idx="630">
                  <c:v>225</c:v>
                </c:pt>
                <c:pt idx="631">
                  <c:v>208.26499999999999</c:v>
                </c:pt>
                <c:pt idx="632">
                  <c:v>206.55</c:v>
                </c:pt>
                <c:pt idx="633">
                  <c:v>200.91</c:v>
                </c:pt>
                <c:pt idx="634">
                  <c:v>200.48</c:v>
                </c:pt>
                <c:pt idx="635">
                  <c:v>200</c:v>
                </c:pt>
                <c:pt idx="636">
                  <c:v>200</c:v>
                </c:pt>
                <c:pt idx="637">
                  <c:v>200</c:v>
                </c:pt>
                <c:pt idx="638">
                  <c:v>200</c:v>
                </c:pt>
                <c:pt idx="639">
                  <c:v>200</c:v>
                </c:pt>
                <c:pt idx="640">
                  <c:v>199.8</c:v>
                </c:pt>
                <c:pt idx="641">
                  <c:v>198</c:v>
                </c:pt>
                <c:pt idx="642">
                  <c:v>184.8</c:v>
                </c:pt>
                <c:pt idx="643">
                  <c:v>184</c:v>
                </c:pt>
                <c:pt idx="644">
                  <c:v>174</c:v>
                </c:pt>
                <c:pt idx="645">
                  <c:v>154.28399999999999</c:v>
                </c:pt>
                <c:pt idx="646">
                  <c:v>151.80000000000001</c:v>
                </c:pt>
                <c:pt idx="647">
                  <c:v>150</c:v>
                </c:pt>
                <c:pt idx="648">
                  <c:v>149.72999999999999</c:v>
                </c:pt>
                <c:pt idx="649">
                  <c:v>149.03</c:v>
                </c:pt>
                <c:pt idx="650">
                  <c:v>147.19999999999999</c:v>
                </c:pt>
                <c:pt idx="651">
                  <c:v>125.58</c:v>
                </c:pt>
                <c:pt idx="652">
                  <c:v>119.93</c:v>
                </c:pt>
                <c:pt idx="653">
                  <c:v>118</c:v>
                </c:pt>
                <c:pt idx="654">
                  <c:v>108</c:v>
                </c:pt>
                <c:pt idx="655">
                  <c:v>104</c:v>
                </c:pt>
                <c:pt idx="656">
                  <c:v>102.5</c:v>
                </c:pt>
                <c:pt idx="657">
                  <c:v>100.8</c:v>
                </c:pt>
                <c:pt idx="658">
                  <c:v>100</c:v>
                </c:pt>
                <c:pt idx="659">
                  <c:v>93</c:v>
                </c:pt>
                <c:pt idx="660">
                  <c:v>80</c:v>
                </c:pt>
                <c:pt idx="661">
                  <c:v>78</c:v>
                </c:pt>
                <c:pt idx="662">
                  <c:v>77.7</c:v>
                </c:pt>
                <c:pt idx="663">
                  <c:v>72</c:v>
                </c:pt>
                <c:pt idx="664">
                  <c:v>64.8</c:v>
                </c:pt>
                <c:pt idx="665">
                  <c:v>62.1</c:v>
                </c:pt>
                <c:pt idx="666">
                  <c:v>60.86</c:v>
                </c:pt>
                <c:pt idx="667">
                  <c:v>51</c:v>
                </c:pt>
                <c:pt idx="668">
                  <c:v>51</c:v>
                </c:pt>
                <c:pt idx="669">
                  <c:v>42.9</c:v>
                </c:pt>
                <c:pt idx="670">
                  <c:v>39.9</c:v>
                </c:pt>
                <c:pt idx="671">
                  <c:v>35.799999999999997</c:v>
                </c:pt>
                <c:pt idx="672">
                  <c:v>31.65</c:v>
                </c:pt>
                <c:pt idx="673">
                  <c:v>29.9</c:v>
                </c:pt>
                <c:pt idx="674">
                  <c:v>29.4</c:v>
                </c:pt>
                <c:pt idx="675">
                  <c:v>13</c:v>
                </c:pt>
                <c:pt idx="676">
                  <c:v>9.9</c:v>
                </c:pt>
                <c:pt idx="677">
                  <c:v>9</c:v>
                </c:pt>
                <c:pt idx="678">
                  <c:v>8</c:v>
                </c:pt>
                <c:pt idx="679">
                  <c:v>305.8</c:v>
                </c:pt>
                <c:pt idx="680">
                  <c:v>300</c:v>
                </c:pt>
                <c:pt idx="681">
                  <c:v>299.25</c:v>
                </c:pt>
                <c:pt idx="682">
                  <c:v>298.2</c:v>
                </c:pt>
                <c:pt idx="683">
                  <c:v>297.8</c:v>
                </c:pt>
                <c:pt idx="684">
                  <c:v>280.60000000000002</c:v>
                </c:pt>
                <c:pt idx="685">
                  <c:v>276</c:v>
                </c:pt>
                <c:pt idx="686">
                  <c:v>253</c:v>
                </c:pt>
                <c:pt idx="687">
                  <c:v>250</c:v>
                </c:pt>
                <c:pt idx="688">
                  <c:v>249.07499999999999</c:v>
                </c:pt>
                <c:pt idx="689">
                  <c:v>228</c:v>
                </c:pt>
                <c:pt idx="690">
                  <c:v>208</c:v>
                </c:pt>
                <c:pt idx="691">
                  <c:v>200</c:v>
                </c:pt>
                <c:pt idx="692">
                  <c:v>200</c:v>
                </c:pt>
                <c:pt idx="693">
                  <c:v>196.65</c:v>
                </c:pt>
                <c:pt idx="694">
                  <c:v>178.2</c:v>
                </c:pt>
                <c:pt idx="695">
                  <c:v>170</c:v>
                </c:pt>
                <c:pt idx="696">
                  <c:v>164</c:v>
                </c:pt>
                <c:pt idx="697">
                  <c:v>163.19999999999999</c:v>
                </c:pt>
                <c:pt idx="698">
                  <c:v>155.4</c:v>
                </c:pt>
                <c:pt idx="699">
                  <c:v>154.57499999999999</c:v>
                </c:pt>
                <c:pt idx="700">
                  <c:v>151.19999999999999</c:v>
                </c:pt>
                <c:pt idx="701">
                  <c:v>150</c:v>
                </c:pt>
                <c:pt idx="702">
                  <c:v>149</c:v>
                </c:pt>
                <c:pt idx="703">
                  <c:v>142.6</c:v>
                </c:pt>
                <c:pt idx="704">
                  <c:v>119.7</c:v>
                </c:pt>
                <c:pt idx="705">
                  <c:v>100.05</c:v>
                </c:pt>
                <c:pt idx="706">
                  <c:v>100.05</c:v>
                </c:pt>
                <c:pt idx="707">
                  <c:v>100</c:v>
                </c:pt>
                <c:pt idx="708">
                  <c:v>99.25</c:v>
                </c:pt>
                <c:pt idx="709">
                  <c:v>99.1</c:v>
                </c:pt>
                <c:pt idx="710">
                  <c:v>98.9</c:v>
                </c:pt>
                <c:pt idx="711">
                  <c:v>98</c:v>
                </c:pt>
                <c:pt idx="712">
                  <c:v>89.96</c:v>
                </c:pt>
                <c:pt idx="713">
                  <c:v>82.8</c:v>
                </c:pt>
                <c:pt idx="714">
                  <c:v>75</c:v>
                </c:pt>
                <c:pt idx="715">
                  <c:v>66</c:v>
                </c:pt>
                <c:pt idx="716">
                  <c:v>50.4</c:v>
                </c:pt>
                <c:pt idx="717">
                  <c:v>46</c:v>
                </c:pt>
                <c:pt idx="718">
                  <c:v>30</c:v>
                </c:pt>
                <c:pt idx="719">
                  <c:v>22.8</c:v>
                </c:pt>
                <c:pt idx="720">
                  <c:v>10</c:v>
                </c:pt>
                <c:pt idx="721">
                  <c:v>10</c:v>
                </c:pt>
                <c:pt idx="722">
                  <c:v>10</c:v>
                </c:pt>
                <c:pt idx="723">
                  <c:v>10</c:v>
                </c:pt>
                <c:pt idx="724">
                  <c:v>10</c:v>
                </c:pt>
                <c:pt idx="725">
                  <c:v>6.9</c:v>
                </c:pt>
                <c:pt idx="726">
                  <c:v>400</c:v>
                </c:pt>
                <c:pt idx="727">
                  <c:v>318.14999999999998</c:v>
                </c:pt>
                <c:pt idx="728">
                  <c:v>300</c:v>
                </c:pt>
                <c:pt idx="729">
                  <c:v>300</c:v>
                </c:pt>
                <c:pt idx="730">
                  <c:v>300</c:v>
                </c:pt>
                <c:pt idx="731">
                  <c:v>299.25</c:v>
                </c:pt>
                <c:pt idx="732">
                  <c:v>250</c:v>
                </c:pt>
                <c:pt idx="733">
                  <c:v>247.27500000000001</c:v>
                </c:pt>
                <c:pt idx="734">
                  <c:v>243.8</c:v>
                </c:pt>
                <c:pt idx="735">
                  <c:v>212</c:v>
                </c:pt>
                <c:pt idx="736">
                  <c:v>202.5</c:v>
                </c:pt>
                <c:pt idx="737">
                  <c:v>201</c:v>
                </c:pt>
                <c:pt idx="738">
                  <c:v>200.4</c:v>
                </c:pt>
                <c:pt idx="739">
                  <c:v>200</c:v>
                </c:pt>
                <c:pt idx="740">
                  <c:v>200</c:v>
                </c:pt>
                <c:pt idx="741">
                  <c:v>200</c:v>
                </c:pt>
                <c:pt idx="742">
                  <c:v>199.5</c:v>
                </c:pt>
                <c:pt idx="743">
                  <c:v>199.2</c:v>
                </c:pt>
                <c:pt idx="744">
                  <c:v>198.6</c:v>
                </c:pt>
                <c:pt idx="745">
                  <c:v>193.5</c:v>
                </c:pt>
                <c:pt idx="746">
                  <c:v>185</c:v>
                </c:pt>
                <c:pt idx="747">
                  <c:v>170</c:v>
                </c:pt>
                <c:pt idx="748">
                  <c:v>160</c:v>
                </c:pt>
                <c:pt idx="749">
                  <c:v>150.59</c:v>
                </c:pt>
                <c:pt idx="750">
                  <c:v>148.35</c:v>
                </c:pt>
                <c:pt idx="751">
                  <c:v>148.35</c:v>
                </c:pt>
                <c:pt idx="752">
                  <c:v>132.1</c:v>
                </c:pt>
                <c:pt idx="753">
                  <c:v>131.1</c:v>
                </c:pt>
                <c:pt idx="754">
                  <c:v>129.88</c:v>
                </c:pt>
                <c:pt idx="755">
                  <c:v>105</c:v>
                </c:pt>
                <c:pt idx="756">
                  <c:v>103.5</c:v>
                </c:pt>
                <c:pt idx="757">
                  <c:v>102</c:v>
                </c:pt>
                <c:pt idx="758">
                  <c:v>100.05</c:v>
                </c:pt>
                <c:pt idx="759">
                  <c:v>99.36</c:v>
                </c:pt>
                <c:pt idx="760">
                  <c:v>90.825000000000003</c:v>
                </c:pt>
                <c:pt idx="761">
                  <c:v>80.459999999999994</c:v>
                </c:pt>
                <c:pt idx="762">
                  <c:v>80</c:v>
                </c:pt>
                <c:pt idx="763">
                  <c:v>79.75</c:v>
                </c:pt>
                <c:pt idx="764">
                  <c:v>78.400000000000006</c:v>
                </c:pt>
                <c:pt idx="765">
                  <c:v>50.9</c:v>
                </c:pt>
                <c:pt idx="766">
                  <c:v>48</c:v>
                </c:pt>
                <c:pt idx="767">
                  <c:v>44.6</c:v>
                </c:pt>
                <c:pt idx="768">
                  <c:v>43.7</c:v>
                </c:pt>
                <c:pt idx="769">
                  <c:v>30</c:v>
                </c:pt>
                <c:pt idx="770">
                  <c:v>25.06</c:v>
                </c:pt>
                <c:pt idx="771">
                  <c:v>20.7</c:v>
                </c:pt>
                <c:pt idx="772">
                  <c:v>20.7</c:v>
                </c:pt>
                <c:pt idx="773">
                  <c:v>6.9</c:v>
                </c:pt>
                <c:pt idx="774">
                  <c:v>478</c:v>
                </c:pt>
                <c:pt idx="775">
                  <c:v>449.935</c:v>
                </c:pt>
                <c:pt idx="776">
                  <c:v>398.8</c:v>
                </c:pt>
                <c:pt idx="777">
                  <c:v>350.28</c:v>
                </c:pt>
                <c:pt idx="778">
                  <c:v>307.45999999999998</c:v>
                </c:pt>
                <c:pt idx="779">
                  <c:v>300</c:v>
                </c:pt>
                <c:pt idx="780">
                  <c:v>299.3</c:v>
                </c:pt>
                <c:pt idx="781">
                  <c:v>275.625</c:v>
                </c:pt>
                <c:pt idx="782">
                  <c:v>250</c:v>
                </c:pt>
                <c:pt idx="783">
                  <c:v>237.6</c:v>
                </c:pt>
                <c:pt idx="784">
                  <c:v>226.05</c:v>
                </c:pt>
                <c:pt idx="785">
                  <c:v>220.5</c:v>
                </c:pt>
                <c:pt idx="786">
                  <c:v>216.44</c:v>
                </c:pt>
                <c:pt idx="787">
                  <c:v>212.04</c:v>
                </c:pt>
                <c:pt idx="788">
                  <c:v>209.44</c:v>
                </c:pt>
                <c:pt idx="789">
                  <c:v>205.2</c:v>
                </c:pt>
                <c:pt idx="790">
                  <c:v>202.36</c:v>
                </c:pt>
                <c:pt idx="791">
                  <c:v>201.6</c:v>
                </c:pt>
                <c:pt idx="792">
                  <c:v>200.85</c:v>
                </c:pt>
                <c:pt idx="793">
                  <c:v>200.2</c:v>
                </c:pt>
                <c:pt idx="794">
                  <c:v>200.1</c:v>
                </c:pt>
                <c:pt idx="795">
                  <c:v>200.1</c:v>
                </c:pt>
                <c:pt idx="796">
                  <c:v>199.27500000000001</c:v>
                </c:pt>
                <c:pt idx="797">
                  <c:v>194.25</c:v>
                </c:pt>
                <c:pt idx="798">
                  <c:v>183.75</c:v>
                </c:pt>
                <c:pt idx="799">
                  <c:v>170.3</c:v>
                </c:pt>
                <c:pt idx="800">
                  <c:v>162.85499999999999</c:v>
                </c:pt>
                <c:pt idx="801">
                  <c:v>161.30000000000001</c:v>
                </c:pt>
                <c:pt idx="802">
                  <c:v>160.02000000000001</c:v>
                </c:pt>
                <c:pt idx="803">
                  <c:v>158</c:v>
                </c:pt>
                <c:pt idx="804">
                  <c:v>150</c:v>
                </c:pt>
                <c:pt idx="805">
                  <c:v>144.9</c:v>
                </c:pt>
                <c:pt idx="806">
                  <c:v>140</c:v>
                </c:pt>
                <c:pt idx="807">
                  <c:v>131.1</c:v>
                </c:pt>
                <c:pt idx="808">
                  <c:v>106.7</c:v>
                </c:pt>
                <c:pt idx="809">
                  <c:v>100.75</c:v>
                </c:pt>
                <c:pt idx="810">
                  <c:v>100.05</c:v>
                </c:pt>
                <c:pt idx="811">
                  <c:v>96.7</c:v>
                </c:pt>
                <c:pt idx="812">
                  <c:v>90</c:v>
                </c:pt>
                <c:pt idx="813">
                  <c:v>75.900000000000006</c:v>
                </c:pt>
                <c:pt idx="814">
                  <c:v>66</c:v>
                </c:pt>
                <c:pt idx="815">
                  <c:v>59.4</c:v>
                </c:pt>
                <c:pt idx="816">
                  <c:v>48.8</c:v>
                </c:pt>
                <c:pt idx="817">
                  <c:v>30.24</c:v>
                </c:pt>
                <c:pt idx="818">
                  <c:v>28.8</c:v>
                </c:pt>
                <c:pt idx="819">
                  <c:v>522.79999999999995</c:v>
                </c:pt>
                <c:pt idx="820">
                  <c:v>496.4</c:v>
                </c:pt>
                <c:pt idx="821">
                  <c:v>491.6</c:v>
                </c:pt>
                <c:pt idx="822">
                  <c:v>418.9</c:v>
                </c:pt>
                <c:pt idx="823">
                  <c:v>400</c:v>
                </c:pt>
                <c:pt idx="824">
                  <c:v>398.6</c:v>
                </c:pt>
                <c:pt idx="825">
                  <c:v>350</c:v>
                </c:pt>
                <c:pt idx="826">
                  <c:v>310.64</c:v>
                </c:pt>
                <c:pt idx="827">
                  <c:v>300</c:v>
                </c:pt>
                <c:pt idx="828">
                  <c:v>300</c:v>
                </c:pt>
                <c:pt idx="829">
                  <c:v>299.54000000000002</c:v>
                </c:pt>
                <c:pt idx="830">
                  <c:v>299.36</c:v>
                </c:pt>
                <c:pt idx="831">
                  <c:v>260.92</c:v>
                </c:pt>
                <c:pt idx="832">
                  <c:v>250.9</c:v>
                </c:pt>
                <c:pt idx="833">
                  <c:v>250.9</c:v>
                </c:pt>
                <c:pt idx="834">
                  <c:v>250.4</c:v>
                </c:pt>
                <c:pt idx="835">
                  <c:v>250.24</c:v>
                </c:pt>
                <c:pt idx="836">
                  <c:v>250</c:v>
                </c:pt>
                <c:pt idx="837">
                  <c:v>248.2</c:v>
                </c:pt>
                <c:pt idx="838">
                  <c:v>247.39500000000001</c:v>
                </c:pt>
                <c:pt idx="839">
                  <c:v>242.8</c:v>
                </c:pt>
                <c:pt idx="840">
                  <c:v>242</c:v>
                </c:pt>
                <c:pt idx="841">
                  <c:v>236.5</c:v>
                </c:pt>
                <c:pt idx="842">
                  <c:v>230</c:v>
                </c:pt>
                <c:pt idx="843">
                  <c:v>226.56</c:v>
                </c:pt>
                <c:pt idx="844">
                  <c:v>220</c:v>
                </c:pt>
                <c:pt idx="845">
                  <c:v>216.6</c:v>
                </c:pt>
                <c:pt idx="846">
                  <c:v>202.22</c:v>
                </c:pt>
                <c:pt idx="847">
                  <c:v>202</c:v>
                </c:pt>
                <c:pt idx="848">
                  <c:v>202</c:v>
                </c:pt>
                <c:pt idx="849">
                  <c:v>201.6</c:v>
                </c:pt>
                <c:pt idx="850">
                  <c:v>201.26</c:v>
                </c:pt>
                <c:pt idx="851">
                  <c:v>200.6</c:v>
                </c:pt>
                <c:pt idx="852">
                  <c:v>200.1</c:v>
                </c:pt>
                <c:pt idx="853">
                  <c:v>200</c:v>
                </c:pt>
                <c:pt idx="854">
                  <c:v>200</c:v>
                </c:pt>
                <c:pt idx="855">
                  <c:v>200</c:v>
                </c:pt>
                <c:pt idx="856">
                  <c:v>199.82</c:v>
                </c:pt>
                <c:pt idx="857">
                  <c:v>199.4</c:v>
                </c:pt>
                <c:pt idx="858">
                  <c:v>198.84</c:v>
                </c:pt>
                <c:pt idx="859">
                  <c:v>195.84</c:v>
                </c:pt>
                <c:pt idx="860">
                  <c:v>193.24</c:v>
                </c:pt>
                <c:pt idx="861">
                  <c:v>179.88</c:v>
                </c:pt>
                <c:pt idx="862">
                  <c:v>171.7</c:v>
                </c:pt>
                <c:pt idx="863">
                  <c:v>168.8</c:v>
                </c:pt>
                <c:pt idx="864">
                  <c:v>168.6</c:v>
                </c:pt>
                <c:pt idx="865">
                  <c:v>162.25</c:v>
                </c:pt>
                <c:pt idx="866">
                  <c:v>162.15</c:v>
                </c:pt>
                <c:pt idx="867">
                  <c:v>160.74</c:v>
                </c:pt>
                <c:pt idx="868">
                  <c:v>152.19999999999999</c:v>
                </c:pt>
                <c:pt idx="869">
                  <c:v>151.19999999999999</c:v>
                </c:pt>
                <c:pt idx="870">
                  <c:v>150</c:v>
                </c:pt>
                <c:pt idx="871">
                  <c:v>150</c:v>
                </c:pt>
                <c:pt idx="872">
                  <c:v>150</c:v>
                </c:pt>
                <c:pt idx="873">
                  <c:v>150</c:v>
                </c:pt>
                <c:pt idx="874">
                  <c:v>149.9</c:v>
                </c:pt>
                <c:pt idx="875">
                  <c:v>149.66</c:v>
                </c:pt>
                <c:pt idx="876">
                  <c:v>149.4</c:v>
                </c:pt>
                <c:pt idx="877">
                  <c:v>148.4</c:v>
                </c:pt>
                <c:pt idx="878">
                  <c:v>146.63999999999999</c:v>
                </c:pt>
                <c:pt idx="879">
                  <c:v>144.9</c:v>
                </c:pt>
                <c:pt idx="880">
                  <c:v>136.80000000000001</c:v>
                </c:pt>
                <c:pt idx="881">
                  <c:v>133.28</c:v>
                </c:pt>
                <c:pt idx="882">
                  <c:v>131.30000000000001</c:v>
                </c:pt>
                <c:pt idx="883">
                  <c:v>130.91999999999999</c:v>
                </c:pt>
                <c:pt idx="884">
                  <c:v>130</c:v>
                </c:pt>
                <c:pt idx="885">
                  <c:v>126</c:v>
                </c:pt>
                <c:pt idx="886">
                  <c:v>122.8</c:v>
                </c:pt>
                <c:pt idx="887">
                  <c:v>112.42</c:v>
                </c:pt>
                <c:pt idx="888">
                  <c:v>106.4</c:v>
                </c:pt>
                <c:pt idx="889">
                  <c:v>102</c:v>
                </c:pt>
                <c:pt idx="890">
                  <c:v>100</c:v>
                </c:pt>
                <c:pt idx="891">
                  <c:v>90</c:v>
                </c:pt>
                <c:pt idx="892">
                  <c:v>83.7</c:v>
                </c:pt>
                <c:pt idx="893">
                  <c:v>79.900000000000006</c:v>
                </c:pt>
                <c:pt idx="894">
                  <c:v>79</c:v>
                </c:pt>
                <c:pt idx="895">
                  <c:v>72.599999999999994</c:v>
                </c:pt>
                <c:pt idx="896">
                  <c:v>72.45</c:v>
                </c:pt>
                <c:pt idx="897">
                  <c:v>60.4</c:v>
                </c:pt>
                <c:pt idx="898">
                  <c:v>59.22</c:v>
                </c:pt>
                <c:pt idx="899">
                  <c:v>56.2</c:v>
                </c:pt>
                <c:pt idx="900">
                  <c:v>50.6</c:v>
                </c:pt>
                <c:pt idx="901">
                  <c:v>50.4</c:v>
                </c:pt>
                <c:pt idx="902">
                  <c:v>36.799999999999997</c:v>
                </c:pt>
                <c:pt idx="903">
                  <c:v>10</c:v>
                </c:pt>
                <c:pt idx="904">
                  <c:v>10</c:v>
                </c:pt>
                <c:pt idx="905">
                  <c:v>10</c:v>
                </c:pt>
                <c:pt idx="906">
                  <c:v>10</c:v>
                </c:pt>
                <c:pt idx="907">
                  <c:v>7.5</c:v>
                </c:pt>
                <c:pt idx="908">
                  <c:v>383.52</c:v>
                </c:pt>
                <c:pt idx="909">
                  <c:v>304.67500000000001</c:v>
                </c:pt>
                <c:pt idx="910">
                  <c:v>303.2</c:v>
                </c:pt>
                <c:pt idx="911">
                  <c:v>302.39999999999998</c:v>
                </c:pt>
                <c:pt idx="912">
                  <c:v>301.14</c:v>
                </c:pt>
                <c:pt idx="913">
                  <c:v>301.10000000000002</c:v>
                </c:pt>
                <c:pt idx="914">
                  <c:v>298.8</c:v>
                </c:pt>
                <c:pt idx="915">
                  <c:v>298.60000000000002</c:v>
                </c:pt>
                <c:pt idx="916">
                  <c:v>286.62</c:v>
                </c:pt>
                <c:pt idx="917">
                  <c:v>247</c:v>
                </c:pt>
                <c:pt idx="918">
                  <c:v>239.8</c:v>
                </c:pt>
                <c:pt idx="919">
                  <c:v>225.6</c:v>
                </c:pt>
                <c:pt idx="920">
                  <c:v>218</c:v>
                </c:pt>
                <c:pt idx="921">
                  <c:v>218</c:v>
                </c:pt>
                <c:pt idx="922">
                  <c:v>209.4</c:v>
                </c:pt>
                <c:pt idx="923">
                  <c:v>202.74</c:v>
                </c:pt>
                <c:pt idx="924">
                  <c:v>199.4</c:v>
                </c:pt>
                <c:pt idx="925">
                  <c:v>198</c:v>
                </c:pt>
                <c:pt idx="926">
                  <c:v>197.4</c:v>
                </c:pt>
                <c:pt idx="927">
                  <c:v>184.9</c:v>
                </c:pt>
                <c:pt idx="928">
                  <c:v>180.07499999999999</c:v>
                </c:pt>
                <c:pt idx="929">
                  <c:v>166.08</c:v>
                </c:pt>
                <c:pt idx="930">
                  <c:v>155</c:v>
                </c:pt>
                <c:pt idx="931">
                  <c:v>153.6</c:v>
                </c:pt>
                <c:pt idx="932">
                  <c:v>140</c:v>
                </c:pt>
                <c:pt idx="933">
                  <c:v>137.75</c:v>
                </c:pt>
                <c:pt idx="934">
                  <c:v>125.47499999999999</c:v>
                </c:pt>
                <c:pt idx="935">
                  <c:v>118.1</c:v>
                </c:pt>
                <c:pt idx="936">
                  <c:v>100.8</c:v>
                </c:pt>
                <c:pt idx="937">
                  <c:v>99.8</c:v>
                </c:pt>
                <c:pt idx="938">
                  <c:v>93.06</c:v>
                </c:pt>
                <c:pt idx="939">
                  <c:v>996.4</c:v>
                </c:pt>
                <c:pt idx="940">
                  <c:v>393.6</c:v>
                </c:pt>
                <c:pt idx="941">
                  <c:v>335.99999999999989</c:v>
                </c:pt>
                <c:pt idx="942">
                  <c:v>304.00000000000034</c:v>
                </c:pt>
                <c:pt idx="943">
                  <c:v>302.40000000000038</c:v>
                </c:pt>
                <c:pt idx="944">
                  <c:v>299.35999999999967</c:v>
                </c:pt>
                <c:pt idx="945">
                  <c:v>264</c:v>
                </c:pt>
                <c:pt idx="946">
                  <c:v>201.30000000000007</c:v>
                </c:pt>
                <c:pt idx="947">
                  <c:v>120.39999999999992</c:v>
                </c:pt>
                <c:pt idx="948">
                  <c:v>72.450000000000031</c:v>
                </c:pt>
                <c:pt idx="949">
                  <c:v>21.76</c:v>
                </c:pt>
                <c:pt idx="950">
                  <c:v>20</c:v>
                </c:pt>
                <c:pt idx="951">
                  <c:v>5.64</c:v>
                </c:pt>
              </c:numCache>
            </c:numRef>
          </c:bubbleSize>
          <c:bubble3D val="0"/>
          <c:extLst>
            <c:ext xmlns:c16="http://schemas.microsoft.com/office/drawing/2014/chart" uri="{C3380CC4-5D6E-409C-BE32-E72D297353CC}">
              <c16:uniqueId val="{00000000-CF6B-4928-A165-0BF7B6E5F652}"/>
            </c:ext>
          </c:extLst>
        </c:ser>
        <c:dLbls>
          <c:showLegendKey val="0"/>
          <c:showVal val="0"/>
          <c:showCatName val="0"/>
          <c:showSerName val="0"/>
          <c:showPercent val="0"/>
          <c:showBubbleSize val="0"/>
        </c:dLbls>
        <c:bubbleScale val="40"/>
        <c:showNegBubbles val="0"/>
        <c:axId val="737260280"/>
        <c:axId val="737260608"/>
      </c:bubbleChart>
      <c:valAx>
        <c:axId val="737260280"/>
        <c:scaling>
          <c:orientation val="minMax"/>
          <c:max val="21.5"/>
          <c:min val="0.5"/>
        </c:scaling>
        <c:delete val="0"/>
        <c:axPos val="b"/>
        <c:majorGridlines>
          <c:spPr>
            <a:ln w="9525" cap="flat" cmpd="sng" algn="ctr">
              <a:noFill/>
              <a:round/>
            </a:ln>
            <a:effectLst/>
          </c:spPr>
        </c:majorGridlines>
        <c:numFmt formatCode="General" sourceLinked="1"/>
        <c:majorTickMark val="out"/>
        <c:minorTickMark val="none"/>
        <c:tickLblPos val="none"/>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7260608"/>
        <c:crosses val="autoZero"/>
        <c:crossBetween val="midCat"/>
        <c:majorUnit val="1"/>
      </c:valAx>
      <c:valAx>
        <c:axId val="737260608"/>
        <c:scaling>
          <c:orientation val="minMax"/>
          <c:max val="160"/>
          <c:min val="0"/>
        </c:scaling>
        <c:delete val="1"/>
        <c:axPos val="l"/>
        <c:majorGridlines>
          <c:spPr>
            <a:ln w="9525" cap="flat" cmpd="sng" algn="ctr">
              <a:noFill/>
              <a:round/>
            </a:ln>
            <a:effectLst/>
          </c:spPr>
        </c:majorGridlines>
        <c:numFmt formatCode="0" sourceLinked="0"/>
        <c:majorTickMark val="none"/>
        <c:minorTickMark val="none"/>
        <c:tickLblPos val="nextTo"/>
        <c:crossAx val="737260280"/>
        <c:crosses val="autoZero"/>
        <c:crossBetween val="midCat"/>
      </c:valAx>
      <c:spPr>
        <a:noFill/>
        <a:ln>
          <a:noFill/>
        </a:ln>
        <a:effectLst/>
      </c:spPr>
    </c:plotArea>
    <c:plotVisOnly val="1"/>
    <c:dispBlanksAs val="gap"/>
    <c:showDLblsOverMax val="0"/>
  </c:chart>
  <c:spPr>
    <a:no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'Report_Figure 23_Data'!$B$9</c:f>
              <c:strCache>
                <c:ptCount val="1"/>
                <c:pt idx="0">
                  <c:v>Energy Revenue</c:v>
                </c:pt>
              </c:strCache>
            </c:strRef>
          </c:tx>
          <c:spPr>
            <a:solidFill>
              <a:schemeClr val="accent2"/>
            </a:solidFill>
            <a:ln>
              <a:noFill/>
            </a:ln>
            <a:effectLst/>
          </c:spPr>
          <c:invertIfNegative val="0"/>
          <c:dLbls>
            <c:dLbl>
              <c:idx val="0"/>
              <c:layout>
                <c:manualLayout>
                  <c:x val="6.6006600660066E-2"/>
                  <c:y val="-1.47922312032668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21-4831-BDA5-EAAD28AA0610}"/>
                </c:ext>
              </c:extLst>
            </c:dLbl>
            <c:dLbl>
              <c:idx val="1"/>
              <c:layout>
                <c:manualLayout>
                  <c:x val="7.480748074807475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321-4831-BDA5-EAAD28AA0610}"/>
                </c:ext>
              </c:extLst>
            </c:dLbl>
            <c:dLbl>
              <c:idx val="2"/>
              <c:layout>
                <c:manualLayout>
                  <c:x val="6.6006600660066E-2"/>
                  <c:y val="-1.47922312032668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321-4831-BDA5-EAAD28AA0610}"/>
                </c:ext>
              </c:extLst>
            </c:dLbl>
            <c:dLbl>
              <c:idx val="3"/>
              <c:layout>
                <c:manualLayout>
                  <c:x val="6.453978731206443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321-4831-BDA5-EAAD28AA0610}"/>
                </c:ext>
              </c:extLst>
            </c:dLbl>
            <c:numFmt formatCode="&quot;$&quot;#,##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'Report_Figure 23_Data'!$A$10:$A$13</c:f>
              <c:strCache>
                <c:ptCount val="4"/>
                <c:pt idx="0">
                  <c:v>OSW</c:v>
                </c:pt>
                <c:pt idx="1">
                  <c:v>Storage</c:v>
                </c:pt>
                <c:pt idx="2">
                  <c:v>SOO Green</c:v>
                </c:pt>
                <c:pt idx="3">
                  <c:v>All</c:v>
                </c:pt>
              </c:strCache>
            </c:strRef>
          </c:cat>
          <c:val>
            <c:numRef>
              <c:f>'Report_Figure 23_Data'!$B$10:$B$13</c:f>
              <c:numCache>
                <c:formatCode>0.00</c:formatCode>
                <c:ptCount val="4"/>
                <c:pt idx="0">
                  <c:v>40.839613269500731</c:v>
                </c:pt>
                <c:pt idx="1">
                  <c:v>19.166386553933908</c:v>
                </c:pt>
                <c:pt idx="2">
                  <c:v>36.390023459387869</c:v>
                </c:pt>
                <c:pt idx="3">
                  <c:v>30.254111388889918</c:v>
                </c:pt>
              </c:numCache>
            </c:numRef>
          </c:val>
          <c:extLst>
            <c:ext xmlns:c16="http://schemas.microsoft.com/office/drawing/2014/chart" uri="{C3380CC4-5D6E-409C-BE32-E72D297353CC}">
              <c16:uniqueId val="{00000004-4321-4831-BDA5-EAAD28AA0610}"/>
            </c:ext>
          </c:extLst>
        </c:ser>
        <c:ser>
          <c:idx val="1"/>
          <c:order val="1"/>
          <c:tx>
            <c:strRef>
              <c:f>'Report_Figure 23_Data'!$C$9</c:f>
              <c:strCache>
                <c:ptCount val="1"/>
                <c:pt idx="0">
                  <c:v>Capacity Revenue</c:v>
                </c:pt>
              </c:strCache>
            </c:strRef>
          </c:tx>
          <c:spPr>
            <a:solidFill>
              <a:schemeClr val="accent4"/>
            </a:solidFill>
            <a:ln>
              <a:noFill/>
            </a:ln>
            <a:effectLst/>
          </c:spPr>
          <c:invertIfNegative val="0"/>
          <c:dLbls>
            <c:dLbl>
              <c:idx val="0"/>
              <c:layout>
                <c:manualLayout>
                  <c:x val="6.4539787312064542E-2"/>
                  <c:y val="-1.47922312032668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321-4831-BDA5-EAAD28AA0610}"/>
                </c:ext>
              </c:extLst>
            </c:dLbl>
            <c:dLbl>
              <c:idx val="1"/>
              <c:layout>
                <c:manualLayout>
                  <c:x val="6.8940227356068834E-2"/>
                  <c:y val="-7.396115601633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321-4831-BDA5-EAAD28AA0610}"/>
                </c:ext>
              </c:extLst>
            </c:dLbl>
            <c:dLbl>
              <c:idx val="2"/>
              <c:layout>
                <c:manualLayout>
                  <c:x val="6.600660066006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321-4831-BDA5-EAAD28AA0610}"/>
                </c:ext>
              </c:extLst>
            </c:dLbl>
            <c:dLbl>
              <c:idx val="3"/>
              <c:layout>
                <c:manualLayout>
                  <c:x val="6.453978731206443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321-4831-BDA5-EAAD28AA0610}"/>
                </c:ext>
              </c:extLst>
            </c:dLbl>
            <c:numFmt formatCode="&quot;$&quot;#,##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'Report_Figure 23_Data'!$A$10:$A$13</c:f>
              <c:strCache>
                <c:ptCount val="4"/>
                <c:pt idx="0">
                  <c:v>OSW</c:v>
                </c:pt>
                <c:pt idx="1">
                  <c:v>Storage</c:v>
                </c:pt>
                <c:pt idx="2">
                  <c:v>SOO Green</c:v>
                </c:pt>
                <c:pt idx="3">
                  <c:v>All</c:v>
                </c:pt>
              </c:strCache>
            </c:strRef>
          </c:cat>
          <c:val>
            <c:numRef>
              <c:f>'Report_Figure 23_Data'!$C$10:$C$13</c:f>
              <c:numCache>
                <c:formatCode>0.00</c:formatCode>
                <c:ptCount val="4"/>
                <c:pt idx="0">
                  <c:v>12.708344967481151</c:v>
                </c:pt>
                <c:pt idx="1">
                  <c:v>137.56754986095535</c:v>
                </c:pt>
                <c:pt idx="2">
                  <c:v>27.532305539607265</c:v>
                </c:pt>
                <c:pt idx="3">
                  <c:v>68.237533155651505</c:v>
                </c:pt>
              </c:numCache>
            </c:numRef>
          </c:val>
          <c:extLst>
            <c:ext xmlns:c16="http://schemas.microsoft.com/office/drawing/2014/chart" uri="{C3380CC4-5D6E-409C-BE32-E72D297353CC}">
              <c16:uniqueId val="{00000009-4321-4831-BDA5-EAAD28AA0610}"/>
            </c:ext>
          </c:extLst>
        </c:ser>
        <c:ser>
          <c:idx val="2"/>
          <c:order val="2"/>
          <c:tx>
            <c:strRef>
              <c:f>'Report_Figure 23_Data'!$D$9</c:f>
              <c:strCache>
                <c:ptCount val="1"/>
                <c:pt idx="0">
                  <c:v>Energy Market Impact</c:v>
                </c:pt>
              </c:strCache>
            </c:strRef>
          </c:tx>
          <c:spPr>
            <a:solidFill>
              <a:schemeClr val="accent6"/>
            </a:solidFill>
            <a:ln>
              <a:noFill/>
            </a:ln>
            <a:effectLst/>
          </c:spPr>
          <c:invertIfNegative val="0"/>
          <c:dLbls>
            <c:dLbl>
              <c:idx val="0"/>
              <c:layout>
                <c:manualLayout>
                  <c:x val="6.8940227356068945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321-4831-BDA5-EAAD28AA0610}"/>
                </c:ext>
              </c:extLst>
            </c:dLbl>
            <c:dLbl>
              <c:idx val="1"/>
              <c:layout>
                <c:manualLayout>
                  <c:x val="7.920792079207909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321-4831-BDA5-EAAD28AA0610}"/>
                </c:ext>
              </c:extLst>
            </c:dLbl>
            <c:dLbl>
              <c:idx val="2"/>
              <c:layout>
                <c:manualLayout>
                  <c:x val="6.600660066006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321-4831-BDA5-EAAD28AA0610}"/>
                </c:ext>
              </c:extLst>
            </c:dLbl>
            <c:dLbl>
              <c:idx val="3"/>
              <c:layout>
                <c:manualLayout>
                  <c:x val="6.453978731206454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321-4831-BDA5-EAAD28AA0610}"/>
                </c:ext>
              </c:extLst>
            </c:dLbl>
            <c:numFmt formatCode="&quot;$&quot;#,##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'Report_Figure 23_Data'!$A$10:$A$13</c:f>
              <c:strCache>
                <c:ptCount val="4"/>
                <c:pt idx="0">
                  <c:v>OSW</c:v>
                </c:pt>
                <c:pt idx="1">
                  <c:v>Storage</c:v>
                </c:pt>
                <c:pt idx="2">
                  <c:v>SOO Green</c:v>
                </c:pt>
                <c:pt idx="3">
                  <c:v>All</c:v>
                </c:pt>
              </c:strCache>
            </c:strRef>
          </c:cat>
          <c:val>
            <c:numRef>
              <c:f>'Report_Figure 23_Data'!$D$10:$D$13</c:f>
              <c:numCache>
                <c:formatCode>0.00</c:formatCode>
                <c:ptCount val="4"/>
                <c:pt idx="0">
                  <c:v>22.071930307096313</c:v>
                </c:pt>
                <c:pt idx="1">
                  <c:v>4.5950495172450507</c:v>
                </c:pt>
                <c:pt idx="2">
                  <c:v>22.803596068657232</c:v>
                </c:pt>
                <c:pt idx="3">
                  <c:v>14.460329585599309</c:v>
                </c:pt>
              </c:numCache>
            </c:numRef>
          </c:val>
          <c:extLst>
            <c:ext xmlns:c16="http://schemas.microsoft.com/office/drawing/2014/chart" uri="{C3380CC4-5D6E-409C-BE32-E72D297353CC}">
              <c16:uniqueId val="{0000000E-4321-4831-BDA5-EAAD28AA0610}"/>
            </c:ext>
          </c:extLst>
        </c:ser>
        <c:ser>
          <c:idx val="4"/>
          <c:order val="4"/>
          <c:tx>
            <c:strRef>
              <c:f>'Report_Figure 23_Data'!$E$9</c:f>
              <c:strCache>
                <c:ptCount val="1"/>
                <c:pt idx="0">
                  <c:v>Rate Increase</c:v>
                </c:pt>
              </c:strCache>
            </c:strRef>
          </c:tx>
          <c:spPr>
            <a:pattFill prst="wdUpDiag">
              <a:fgClr>
                <a:srgbClr val="FF0000"/>
              </a:fgClr>
              <a:bgClr>
                <a:schemeClr val="bg1"/>
              </a:bgClr>
            </a:pattFill>
            <a:ln>
              <a:noFill/>
            </a:ln>
            <a:effectLst/>
          </c:spPr>
          <c:invertIfNegative val="0"/>
          <c:dPt>
            <c:idx val="0"/>
            <c:invertIfNegative val="0"/>
            <c:bubble3D val="0"/>
            <c:spPr>
              <a:pattFill prst="wdUpDiag">
                <a:fgClr>
                  <a:srgbClr val="FF0000"/>
                </a:fgClr>
                <a:bgClr>
                  <a:schemeClr val="bg1"/>
                </a:bgClr>
              </a:pattFill>
              <a:ln>
                <a:noFill/>
              </a:ln>
              <a:effectLst/>
            </c:spPr>
            <c:extLst>
              <c:ext xmlns:c16="http://schemas.microsoft.com/office/drawing/2014/chart" uri="{C3380CC4-5D6E-409C-BE32-E72D297353CC}">
                <c16:uniqueId val="{0000000F-4321-4831-BDA5-EAAD28AA0610}"/>
              </c:ext>
            </c:extLst>
          </c:dPt>
          <c:dLbls>
            <c:dLbl>
              <c:idx val="0"/>
              <c:layout>
                <c:manualLayout>
                  <c:x val="6.600660066006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321-4831-BDA5-EAAD28AA0610}"/>
                </c:ext>
              </c:extLst>
            </c:dLbl>
            <c:dLbl>
              <c:idx val="1"/>
              <c:delete val="1"/>
              <c:extLst>
                <c:ext xmlns:c15="http://schemas.microsoft.com/office/drawing/2012/chart" uri="{CE6537A1-D6FC-4f65-9D91-7224C49458BB}"/>
                <c:ext xmlns:c16="http://schemas.microsoft.com/office/drawing/2014/chart" uri="{C3380CC4-5D6E-409C-BE32-E72D297353CC}">
                  <c16:uniqueId val="{00000010-4321-4831-BDA5-EAAD28AA0610}"/>
                </c:ext>
              </c:extLst>
            </c:dLbl>
            <c:dLbl>
              <c:idx val="2"/>
              <c:delete val="1"/>
              <c:extLst>
                <c:ext xmlns:c15="http://schemas.microsoft.com/office/drawing/2012/chart" uri="{CE6537A1-D6FC-4f65-9D91-7224C49458BB}"/>
                <c:ext xmlns:c16="http://schemas.microsoft.com/office/drawing/2014/chart" uri="{C3380CC4-5D6E-409C-BE32-E72D297353CC}">
                  <c16:uniqueId val="{00000011-4321-4831-BDA5-EAAD28AA0610}"/>
                </c:ext>
              </c:extLst>
            </c:dLbl>
            <c:dLbl>
              <c:idx val="3"/>
              <c:delete val="1"/>
              <c:extLst>
                <c:ext xmlns:c15="http://schemas.microsoft.com/office/drawing/2012/chart" uri="{CE6537A1-D6FC-4f65-9D91-7224C49458BB}"/>
                <c:ext xmlns:c16="http://schemas.microsoft.com/office/drawing/2014/chart" uri="{C3380CC4-5D6E-409C-BE32-E72D297353CC}">
                  <c16:uniqueId val="{00000012-4321-4831-BDA5-EAAD28AA0610}"/>
                </c:ext>
              </c:extLst>
            </c:dLbl>
            <c:numFmt formatCode="&quot;$&quot;#,##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'Report_Figure 23_Data'!$A$10:$A$13</c:f>
              <c:strCache>
                <c:ptCount val="4"/>
                <c:pt idx="0">
                  <c:v>OSW</c:v>
                </c:pt>
                <c:pt idx="1">
                  <c:v>Storage</c:v>
                </c:pt>
                <c:pt idx="2">
                  <c:v>SOO Green</c:v>
                </c:pt>
                <c:pt idx="3">
                  <c:v>All</c:v>
                </c:pt>
              </c:strCache>
            </c:strRef>
          </c:cat>
          <c:val>
            <c:numRef>
              <c:f>'Report_Figure 23_Data'!$E$10:$E$13</c:f>
              <c:numCache>
                <c:formatCode>0.00</c:formatCode>
                <c:ptCount val="4"/>
                <c:pt idx="0">
                  <c:v>48.108774678790496</c:v>
                </c:pt>
              </c:numCache>
            </c:numRef>
          </c:val>
          <c:extLst>
            <c:ext xmlns:c16="http://schemas.microsoft.com/office/drawing/2014/chart" uri="{C3380CC4-5D6E-409C-BE32-E72D297353CC}">
              <c16:uniqueId val="{00000013-4321-4831-BDA5-EAAD28AA0610}"/>
            </c:ext>
          </c:extLst>
        </c:ser>
        <c:dLbls>
          <c:showLegendKey val="0"/>
          <c:showVal val="0"/>
          <c:showCatName val="0"/>
          <c:showSerName val="0"/>
          <c:showPercent val="0"/>
          <c:showBubbleSize val="0"/>
        </c:dLbls>
        <c:gapWidth val="150"/>
        <c:overlap val="100"/>
        <c:axId val="451009055"/>
        <c:axId val="451004015"/>
      </c:barChart>
      <c:lineChart>
        <c:grouping val="standard"/>
        <c:varyColors val="0"/>
        <c:ser>
          <c:idx val="3"/>
          <c:order val="3"/>
          <c:tx>
            <c:v>LCoE</c:v>
          </c:tx>
          <c:spPr>
            <a:ln w="25400" cap="rnd">
              <a:noFill/>
              <a:round/>
            </a:ln>
            <a:effectLst/>
          </c:spPr>
          <c:marker>
            <c:symbol val="circle"/>
            <c:size val="5"/>
            <c:spPr>
              <a:solidFill>
                <a:schemeClr val="tx1"/>
              </a:solidFill>
              <a:ln w="25400">
                <a:solidFill>
                  <a:schemeClr val="tx1"/>
                </a:solidFill>
              </a:ln>
              <a:effectLst/>
            </c:spPr>
          </c:marker>
          <c:dLbls>
            <c:numFmt formatCode="&quot;$&quot;#,##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'Report_Figure 23_Data'!$G$10:$G$13</c:f>
              <c:numCache>
                <c:formatCode>#,##0.00</c:formatCode>
                <c:ptCount val="4"/>
                <c:pt idx="0">
                  <c:v>126.62391816935524</c:v>
                </c:pt>
                <c:pt idx="1">
                  <c:v>210.85742856861495</c:v>
                </c:pt>
                <c:pt idx="2">
                  <c:v>115.39146964788118</c:v>
                </c:pt>
                <c:pt idx="3" formatCode="0.00">
                  <c:v>152.93667919005605</c:v>
                </c:pt>
              </c:numCache>
            </c:numRef>
          </c:val>
          <c:smooth val="0"/>
          <c:extLst>
            <c:ext xmlns:c16="http://schemas.microsoft.com/office/drawing/2014/chart" uri="{C3380CC4-5D6E-409C-BE32-E72D297353CC}">
              <c16:uniqueId val="{00000014-4321-4831-BDA5-EAAD28AA0610}"/>
            </c:ext>
          </c:extLst>
        </c:ser>
        <c:dLbls>
          <c:showLegendKey val="0"/>
          <c:showVal val="0"/>
          <c:showCatName val="0"/>
          <c:showSerName val="0"/>
          <c:showPercent val="0"/>
          <c:showBubbleSize val="0"/>
        </c:dLbls>
        <c:marker val="1"/>
        <c:smooth val="0"/>
        <c:axId val="451009055"/>
        <c:axId val="451004015"/>
      </c:lineChart>
      <c:catAx>
        <c:axId val="45100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51004015"/>
        <c:crosses val="autoZero"/>
        <c:auto val="1"/>
        <c:lblAlgn val="ctr"/>
        <c:lblOffset val="100"/>
        <c:noMultiLvlLbl val="0"/>
      </c:catAx>
      <c:valAx>
        <c:axId val="45100401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$Nominal/MWh</a:t>
                </a:r>
              </a:p>
            </c:rich>
          </c:tx>
          <c:layout>
            <c:manualLayout>
              <c:xMode val="edge"/>
              <c:yMode val="edge"/>
              <c:x val="5.8672533920058672E-3"/>
              <c:y val="0.36852712624235134"/>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51009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'Report_Figure 24_Data'!$B$9</c:f>
              <c:strCache>
                <c:ptCount val="1"/>
                <c:pt idx="0">
                  <c:v>Energy Revenue</c:v>
                </c:pt>
              </c:strCache>
            </c:strRef>
          </c:tx>
          <c:spPr>
            <a:solidFill>
              <a:schemeClr val="accent2"/>
            </a:solidFill>
            <a:ln>
              <a:noFill/>
            </a:ln>
            <a:effectLst/>
          </c:spPr>
          <c:invertIfNegative val="0"/>
          <c:dLbls>
            <c:dLbl>
              <c:idx val="0"/>
              <c:layout>
                <c:manualLayout>
                  <c:x val="6.600660066006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45-42D0-BC98-C9AB90A345E3}"/>
                </c:ext>
              </c:extLst>
            </c:dLbl>
            <c:dLbl>
              <c:idx val="1"/>
              <c:layout>
                <c:manualLayout>
                  <c:x val="6.600660066006595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45-42D0-BC98-C9AB90A345E3}"/>
                </c:ext>
              </c:extLst>
            </c:dLbl>
            <c:dLbl>
              <c:idx val="2"/>
              <c:layout>
                <c:manualLayout>
                  <c:x val="6.4539787312064542E-2"/>
                  <c:y val="-1.47922312032668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45-42D0-BC98-C9AB90A345E3}"/>
                </c:ext>
              </c:extLst>
            </c:dLbl>
            <c:dLbl>
              <c:idx val="3"/>
              <c:layout>
                <c:manualLayout>
                  <c:x val="6.7473414008067473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45-42D0-BC98-C9AB90A345E3}"/>
                </c:ext>
              </c:extLst>
            </c:dLbl>
            <c:numFmt formatCode="&quot;$&quot;#,##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'Report_Figure 24_Data'!$A$10:$A$13</c:f>
              <c:strCache>
                <c:ptCount val="4"/>
                <c:pt idx="0">
                  <c:v>OSW</c:v>
                </c:pt>
                <c:pt idx="1">
                  <c:v>Storage</c:v>
                </c:pt>
                <c:pt idx="2">
                  <c:v>SOO Green</c:v>
                </c:pt>
                <c:pt idx="3">
                  <c:v>All</c:v>
                </c:pt>
              </c:strCache>
            </c:strRef>
          </c:cat>
          <c:val>
            <c:numRef>
              <c:f>'Report_Figure 24_Data'!$B$10:$B$13</c:f>
              <c:numCache>
                <c:formatCode>0.00</c:formatCode>
                <c:ptCount val="4"/>
                <c:pt idx="0">
                  <c:v>25.784176153723156</c:v>
                </c:pt>
                <c:pt idx="1">
                  <c:v>11.970941680300172</c:v>
                </c:pt>
                <c:pt idx="2">
                  <c:v>23.043995694173791</c:v>
                </c:pt>
                <c:pt idx="3">
                  <c:v>19.10331489460382</c:v>
                </c:pt>
              </c:numCache>
            </c:numRef>
          </c:val>
          <c:extLst>
            <c:ext xmlns:c16="http://schemas.microsoft.com/office/drawing/2014/chart" uri="{C3380CC4-5D6E-409C-BE32-E72D297353CC}">
              <c16:uniqueId val="{00000004-3B45-42D0-BC98-C9AB90A345E3}"/>
            </c:ext>
          </c:extLst>
        </c:ser>
        <c:ser>
          <c:idx val="1"/>
          <c:order val="1"/>
          <c:tx>
            <c:strRef>
              <c:f>'Report_Figure 24_Data'!$C$9</c:f>
              <c:strCache>
                <c:ptCount val="1"/>
                <c:pt idx="0">
                  <c:v>Capacity Revenue</c:v>
                </c:pt>
              </c:strCache>
            </c:strRef>
          </c:tx>
          <c:spPr>
            <a:solidFill>
              <a:schemeClr val="accent4"/>
            </a:solidFill>
            <a:ln>
              <a:noFill/>
            </a:ln>
            <a:effectLst/>
          </c:spPr>
          <c:invertIfNegative val="0"/>
          <c:dLbls>
            <c:dLbl>
              <c:idx val="0"/>
              <c:layout>
                <c:manualLayout>
                  <c:x val="6.7473414008067473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B45-42D0-BC98-C9AB90A345E3}"/>
                </c:ext>
              </c:extLst>
            </c:dLbl>
            <c:dLbl>
              <c:idx val="1"/>
              <c:layout>
                <c:manualLayout>
                  <c:x val="6.4539787312064542E-2"/>
                  <c:y val="-7.396115601633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B45-42D0-BC98-C9AB90A345E3}"/>
                </c:ext>
              </c:extLst>
            </c:dLbl>
            <c:dLbl>
              <c:idx val="2"/>
              <c:layout>
                <c:manualLayout>
                  <c:x val="6.453978731206454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B45-42D0-BC98-C9AB90A345E3}"/>
                </c:ext>
              </c:extLst>
            </c:dLbl>
            <c:dLbl>
              <c:idx val="3"/>
              <c:layout>
                <c:manualLayout>
                  <c:x val="6.6006600660066E-2"/>
                  <c:y val="-7.396115601633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B45-42D0-BC98-C9AB90A345E3}"/>
                </c:ext>
              </c:extLst>
            </c:dLbl>
            <c:numFmt formatCode="&quot;$&quot;#,##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'Report_Figure 24_Data'!$A$10:$A$13</c:f>
              <c:strCache>
                <c:ptCount val="4"/>
                <c:pt idx="0">
                  <c:v>OSW</c:v>
                </c:pt>
                <c:pt idx="1">
                  <c:v>Storage</c:v>
                </c:pt>
                <c:pt idx="2">
                  <c:v>SOO Green</c:v>
                </c:pt>
                <c:pt idx="3">
                  <c:v>All</c:v>
                </c:pt>
              </c:strCache>
            </c:strRef>
          </c:cat>
          <c:val>
            <c:numRef>
              <c:f>'Report_Figure 24_Data'!$C$10:$C$13</c:f>
              <c:numCache>
                <c:formatCode>0.00</c:formatCode>
                <c:ptCount val="4"/>
                <c:pt idx="0">
                  <c:v>7.6528232466659425</c:v>
                </c:pt>
                <c:pt idx="1">
                  <c:v>83.186539799382913</c:v>
                </c:pt>
                <c:pt idx="2">
                  <c:v>16.579646555626791</c:v>
                </c:pt>
                <c:pt idx="3">
                  <c:v>41.220754928889193</c:v>
                </c:pt>
              </c:numCache>
            </c:numRef>
          </c:val>
          <c:extLst>
            <c:ext xmlns:c16="http://schemas.microsoft.com/office/drawing/2014/chart" uri="{C3380CC4-5D6E-409C-BE32-E72D297353CC}">
              <c16:uniqueId val="{00000009-3B45-42D0-BC98-C9AB90A345E3}"/>
            </c:ext>
          </c:extLst>
        </c:ser>
        <c:ser>
          <c:idx val="2"/>
          <c:order val="2"/>
          <c:tx>
            <c:strRef>
              <c:f>'Report_Figure 24_Data'!$D$9</c:f>
              <c:strCache>
                <c:ptCount val="1"/>
                <c:pt idx="0">
                  <c:v>Energy Market Impact</c:v>
                </c:pt>
              </c:strCache>
            </c:strRef>
          </c:tx>
          <c:spPr>
            <a:solidFill>
              <a:schemeClr val="accent6"/>
            </a:solidFill>
            <a:ln>
              <a:noFill/>
            </a:ln>
            <a:effectLst/>
          </c:spPr>
          <c:invertIfNegative val="0"/>
          <c:dLbls>
            <c:dLbl>
              <c:idx val="0"/>
              <c:layout>
                <c:manualLayout>
                  <c:x val="6.7473414008067473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B45-42D0-BC98-C9AB90A345E3}"/>
                </c:ext>
              </c:extLst>
            </c:dLbl>
            <c:dLbl>
              <c:idx val="1"/>
              <c:layout>
                <c:manualLayout>
                  <c:x val="6.894022735606883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B45-42D0-BC98-C9AB90A345E3}"/>
                </c:ext>
              </c:extLst>
            </c:dLbl>
            <c:dLbl>
              <c:idx val="2"/>
              <c:layout>
                <c:manualLayout>
                  <c:x val="6.8940227356068834E-2"/>
                  <c:y val="7.396115601633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B45-42D0-BC98-C9AB90A345E3}"/>
                </c:ext>
              </c:extLst>
            </c:dLbl>
            <c:dLbl>
              <c:idx val="3"/>
              <c:layout>
                <c:manualLayout>
                  <c:x val="6.747341400806736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B45-42D0-BC98-C9AB90A345E3}"/>
                </c:ext>
              </c:extLst>
            </c:dLbl>
            <c:numFmt formatCode="&quot;$&quot;#,##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'Report_Figure 24_Data'!$A$10:$A$13</c:f>
              <c:strCache>
                <c:ptCount val="4"/>
                <c:pt idx="0">
                  <c:v>OSW</c:v>
                </c:pt>
                <c:pt idx="1">
                  <c:v>Storage</c:v>
                </c:pt>
                <c:pt idx="2">
                  <c:v>SOO Green</c:v>
                </c:pt>
                <c:pt idx="3">
                  <c:v>All</c:v>
                </c:pt>
              </c:strCache>
            </c:strRef>
          </c:cat>
          <c:val>
            <c:numRef>
              <c:f>'Report_Figure 24_Data'!$D$10:$D$13</c:f>
              <c:numCache>
                <c:formatCode>0.00</c:formatCode>
                <c:ptCount val="4"/>
                <c:pt idx="0">
                  <c:v>12.989021486995798</c:v>
                </c:pt>
                <c:pt idx="1">
                  <c:v>2.8121270186047793</c:v>
                </c:pt>
                <c:pt idx="2">
                  <c:v>13.881793941292214</c:v>
                </c:pt>
                <c:pt idx="3">
                  <c:v>8.7574503063995373</c:v>
                </c:pt>
              </c:numCache>
            </c:numRef>
          </c:val>
          <c:extLst>
            <c:ext xmlns:c16="http://schemas.microsoft.com/office/drawing/2014/chart" uri="{C3380CC4-5D6E-409C-BE32-E72D297353CC}">
              <c16:uniqueId val="{0000000E-3B45-42D0-BC98-C9AB90A345E3}"/>
            </c:ext>
          </c:extLst>
        </c:ser>
        <c:ser>
          <c:idx val="4"/>
          <c:order val="4"/>
          <c:tx>
            <c:strRef>
              <c:f>'Report_Figure 24_Data'!$E$9</c:f>
              <c:strCache>
                <c:ptCount val="1"/>
                <c:pt idx="0">
                  <c:v>Rate Increase</c:v>
                </c:pt>
              </c:strCache>
            </c:strRef>
          </c:tx>
          <c:spPr>
            <a:pattFill prst="wdUpDiag">
              <a:fgClr>
                <a:srgbClr val="FF0000"/>
              </a:fgClr>
              <a:bgClr>
                <a:schemeClr val="bg1"/>
              </a:bgClr>
            </a:pattFill>
            <a:ln>
              <a:noFill/>
            </a:ln>
            <a:effectLst/>
          </c:spPr>
          <c:invertIfNegative val="0"/>
          <c:dLbls>
            <c:dLbl>
              <c:idx val="0"/>
              <c:layout>
                <c:manualLayout>
                  <c:x val="6.453978731206454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B45-42D0-BC98-C9AB90A345E3}"/>
                </c:ext>
              </c:extLst>
            </c:dLbl>
            <c:numFmt formatCode="&quot;$&quot;#,##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'Report_Figure 24_Data'!$A$10:$A$13</c:f>
              <c:strCache>
                <c:ptCount val="4"/>
                <c:pt idx="0">
                  <c:v>OSW</c:v>
                </c:pt>
                <c:pt idx="1">
                  <c:v>Storage</c:v>
                </c:pt>
                <c:pt idx="2">
                  <c:v>SOO Green</c:v>
                </c:pt>
                <c:pt idx="3">
                  <c:v>All</c:v>
                </c:pt>
              </c:strCache>
            </c:strRef>
          </c:cat>
          <c:val>
            <c:numRef>
              <c:f>'Report_Figure 24_Data'!$E$10:$E$13</c:f>
              <c:numCache>
                <c:formatCode>0.00</c:formatCode>
                <c:ptCount val="4"/>
                <c:pt idx="0">
                  <c:v>30.686721579158732</c:v>
                </c:pt>
              </c:numCache>
            </c:numRef>
          </c:val>
          <c:extLst>
            <c:ext xmlns:c16="http://schemas.microsoft.com/office/drawing/2014/chart" uri="{C3380CC4-5D6E-409C-BE32-E72D297353CC}">
              <c16:uniqueId val="{00000010-3B45-42D0-BC98-C9AB90A345E3}"/>
            </c:ext>
          </c:extLst>
        </c:ser>
        <c:dLbls>
          <c:showLegendKey val="0"/>
          <c:showVal val="0"/>
          <c:showCatName val="0"/>
          <c:showSerName val="0"/>
          <c:showPercent val="0"/>
          <c:showBubbleSize val="0"/>
        </c:dLbls>
        <c:gapWidth val="150"/>
        <c:overlap val="100"/>
        <c:axId val="451009055"/>
        <c:axId val="451004015"/>
      </c:barChart>
      <c:lineChart>
        <c:grouping val="standard"/>
        <c:varyColors val="0"/>
        <c:ser>
          <c:idx val="3"/>
          <c:order val="3"/>
          <c:tx>
            <c:v>LCoE</c:v>
          </c:tx>
          <c:spPr>
            <a:ln w="25400" cap="rnd">
              <a:noFill/>
              <a:round/>
            </a:ln>
            <a:effectLst/>
          </c:spPr>
          <c:marker>
            <c:symbol val="circle"/>
            <c:size val="5"/>
            <c:spPr>
              <a:solidFill>
                <a:schemeClr val="tx1"/>
              </a:solidFill>
              <a:ln w="25400">
                <a:solidFill>
                  <a:schemeClr val="tx1"/>
                </a:solidFill>
              </a:ln>
              <a:effectLst/>
            </c:spPr>
          </c:marker>
          <c:dLbls>
            <c:numFmt formatCode="&quot;$&quot;#,##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'Report_Figure 24_Data'!$G$10:$G$13</c:f>
              <c:numCache>
                <c:formatCode>#,##0.00</c:formatCode>
                <c:ptCount val="4"/>
                <c:pt idx="0">
                  <c:v>80.380117514321043</c:v>
                </c:pt>
                <c:pt idx="1">
                  <c:v>130.57686265041249</c:v>
                </c:pt>
                <c:pt idx="2" formatCode="0.00">
                  <c:v>74.623101264675498</c:v>
                </c:pt>
                <c:pt idx="3">
                  <c:v>95.876120882409836</c:v>
                </c:pt>
              </c:numCache>
            </c:numRef>
          </c:val>
          <c:smooth val="0"/>
          <c:extLst>
            <c:ext xmlns:c16="http://schemas.microsoft.com/office/drawing/2014/chart" uri="{C3380CC4-5D6E-409C-BE32-E72D297353CC}">
              <c16:uniqueId val="{00000011-3B45-42D0-BC98-C9AB90A345E3}"/>
            </c:ext>
          </c:extLst>
        </c:ser>
        <c:dLbls>
          <c:showLegendKey val="0"/>
          <c:showVal val="0"/>
          <c:showCatName val="0"/>
          <c:showSerName val="0"/>
          <c:showPercent val="0"/>
          <c:showBubbleSize val="0"/>
        </c:dLbls>
        <c:marker val="1"/>
        <c:smooth val="0"/>
        <c:axId val="451009055"/>
        <c:axId val="451004015"/>
      </c:lineChart>
      <c:catAx>
        <c:axId val="45100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51004015"/>
        <c:crosses val="autoZero"/>
        <c:auto val="1"/>
        <c:lblAlgn val="ctr"/>
        <c:lblOffset val="100"/>
        <c:noMultiLvlLbl val="0"/>
      </c:catAx>
      <c:valAx>
        <c:axId val="45100401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$2022/MWh</a:t>
                </a:r>
              </a:p>
            </c:rich>
          </c:tx>
          <c:layout>
            <c:manualLayout>
              <c:xMode val="edge"/>
              <c:yMode val="edge"/>
              <c:x val="2.9336266960029336E-3"/>
              <c:y val="0.38673194595002403"/>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51009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6510196951458E-2"/>
          <c:y val="2.4861400645645466E-2"/>
          <c:w val="0.89655535632303385"/>
          <c:h val="0.86365031905051204"/>
        </c:manualLayout>
      </c:layout>
      <c:barChart>
        <c:barDir val="col"/>
        <c:grouping val="stacked"/>
        <c:varyColors val="0"/>
        <c:ser>
          <c:idx val="0"/>
          <c:order val="0"/>
          <c:tx>
            <c:strRef>
              <c:f>'Report_Figure 25_Data'!$B$9</c:f>
              <c:strCache>
                <c:ptCount val="1"/>
                <c:pt idx="0">
                  <c:v>Energy Revenue</c:v>
                </c:pt>
              </c:strCache>
            </c:strRef>
          </c:tx>
          <c:spPr>
            <a:solidFill>
              <a:schemeClr val="accent2"/>
            </a:solidFill>
            <a:ln>
              <a:noFill/>
            </a:ln>
            <a:effectLst/>
          </c:spPr>
          <c:invertIfNegative val="0"/>
          <c:dLbls>
            <c:dLbl>
              <c:idx val="0"/>
              <c:layout>
                <c:manualLayout>
                  <c:x val="6.453978731206454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CE-455E-AC2E-B6F846028CF4}"/>
                </c:ext>
              </c:extLst>
            </c:dLbl>
            <c:dLbl>
              <c:idx val="1"/>
              <c:layout>
                <c:manualLayout>
                  <c:x val="6.894022735606883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CE-455E-AC2E-B6F846028CF4}"/>
                </c:ext>
              </c:extLst>
            </c:dLbl>
            <c:dLbl>
              <c:idx val="2"/>
              <c:layout>
                <c:manualLayout>
                  <c:x val="6.600660066006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CE-455E-AC2E-B6F846028CF4}"/>
                </c:ext>
              </c:extLst>
            </c:dLbl>
            <c:dLbl>
              <c:idx val="3"/>
              <c:layout>
                <c:manualLayout>
                  <c:x val="6.4539787312064431E-2"/>
                  <c:y val="-1.47922312032668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CE-455E-AC2E-B6F846028CF4}"/>
                </c:ext>
              </c:extLst>
            </c:dLbl>
            <c:numFmt formatCode="&quot;$&quot;#,##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'Report_Figure 25_Data'!$A$10:$A$13</c:f>
              <c:strCache>
                <c:ptCount val="4"/>
                <c:pt idx="0">
                  <c:v>OSW</c:v>
                </c:pt>
                <c:pt idx="1">
                  <c:v>Storage</c:v>
                </c:pt>
                <c:pt idx="2">
                  <c:v>SOO Green</c:v>
                </c:pt>
                <c:pt idx="3">
                  <c:v>All</c:v>
                </c:pt>
              </c:strCache>
            </c:strRef>
          </c:cat>
          <c:val>
            <c:numRef>
              <c:f>'Report_Figure 25_Data'!$B$10:$B$13</c:f>
              <c:numCache>
                <c:formatCode>0.00</c:formatCode>
                <c:ptCount val="4"/>
                <c:pt idx="0">
                  <c:v>20.994263476173003</c:v>
                </c:pt>
                <c:pt idx="1">
                  <c:v>9.638223636321575</c:v>
                </c:pt>
                <c:pt idx="2">
                  <c:v>18.809554832481489</c:v>
                </c:pt>
                <c:pt idx="3">
                  <c:v>15.546552429698265</c:v>
                </c:pt>
              </c:numCache>
            </c:numRef>
          </c:val>
          <c:extLst>
            <c:ext xmlns:c16="http://schemas.microsoft.com/office/drawing/2014/chart" uri="{C3380CC4-5D6E-409C-BE32-E72D297353CC}">
              <c16:uniqueId val="{00000004-83CE-455E-AC2E-B6F846028CF4}"/>
            </c:ext>
          </c:extLst>
        </c:ser>
        <c:ser>
          <c:idx val="1"/>
          <c:order val="1"/>
          <c:tx>
            <c:strRef>
              <c:f>'Report_Figure 25_Data'!$C$9</c:f>
              <c:strCache>
                <c:ptCount val="1"/>
                <c:pt idx="0">
                  <c:v>Capacity Revenue</c:v>
                </c:pt>
              </c:strCache>
            </c:strRef>
          </c:tx>
          <c:spPr>
            <a:solidFill>
              <a:schemeClr val="accent4"/>
            </a:solidFill>
            <a:ln>
              <a:noFill/>
            </a:ln>
            <a:effectLst/>
          </c:spPr>
          <c:invertIfNegative val="0"/>
          <c:dLbls>
            <c:dLbl>
              <c:idx val="0"/>
              <c:layout>
                <c:manualLayout>
                  <c:x val="6.7473414008067473E-2"/>
                  <c:y val="-1.47922312032668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3CE-455E-AC2E-B6F846028CF4}"/>
                </c:ext>
              </c:extLst>
            </c:dLbl>
            <c:dLbl>
              <c:idx val="1"/>
              <c:layout>
                <c:manualLayout>
                  <c:x val="6.4539787312064542E-2"/>
                  <c:y val="-7.396115601633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3CE-455E-AC2E-B6F846028CF4}"/>
                </c:ext>
              </c:extLst>
            </c:dLbl>
            <c:dLbl>
              <c:idx val="2"/>
              <c:layout>
                <c:manualLayout>
                  <c:x val="6.600660066006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3CE-455E-AC2E-B6F846028CF4}"/>
                </c:ext>
              </c:extLst>
            </c:dLbl>
            <c:dLbl>
              <c:idx val="3"/>
              <c:layout>
                <c:manualLayout>
                  <c:x val="6.600660066006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3CE-455E-AC2E-B6F846028CF4}"/>
                </c:ext>
              </c:extLst>
            </c:dLbl>
            <c:numFmt formatCode="&quot;$&quot;#,##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'Report_Figure 25_Data'!$A$10:$A$13</c:f>
              <c:strCache>
                <c:ptCount val="4"/>
                <c:pt idx="0">
                  <c:v>OSW</c:v>
                </c:pt>
                <c:pt idx="1">
                  <c:v>Storage</c:v>
                </c:pt>
                <c:pt idx="2">
                  <c:v>SOO Green</c:v>
                </c:pt>
                <c:pt idx="3">
                  <c:v>All</c:v>
                </c:pt>
              </c:strCache>
            </c:strRef>
          </c:cat>
          <c:val>
            <c:numRef>
              <c:f>'Report_Figure 25_Data'!$C$10:$C$13</c:f>
              <c:numCache>
                <c:formatCode>0.00</c:formatCode>
                <c:ptCount val="4"/>
                <c:pt idx="0">
                  <c:v>5.9737143182185264</c:v>
                </c:pt>
                <c:pt idx="1">
                  <c:v>65.139044928849188</c:v>
                </c:pt>
                <c:pt idx="2">
                  <c:v>12.941899848987015</c:v>
                </c:pt>
                <c:pt idx="3">
                  <c:v>32.252905280966147</c:v>
                </c:pt>
              </c:numCache>
            </c:numRef>
          </c:val>
          <c:extLst>
            <c:ext xmlns:c16="http://schemas.microsoft.com/office/drawing/2014/chart" uri="{C3380CC4-5D6E-409C-BE32-E72D297353CC}">
              <c16:uniqueId val="{00000009-83CE-455E-AC2E-B6F846028CF4}"/>
            </c:ext>
          </c:extLst>
        </c:ser>
        <c:ser>
          <c:idx val="2"/>
          <c:order val="2"/>
          <c:tx>
            <c:strRef>
              <c:f>'Report_Figure 25_Data'!$D$9</c:f>
              <c:strCache>
                <c:ptCount val="1"/>
                <c:pt idx="0">
                  <c:v>Energy Market Impact</c:v>
                </c:pt>
              </c:strCache>
            </c:strRef>
          </c:tx>
          <c:spPr>
            <a:solidFill>
              <a:schemeClr val="accent6"/>
            </a:solidFill>
            <a:ln>
              <a:noFill/>
            </a:ln>
            <a:effectLst/>
          </c:spPr>
          <c:invertIfNegative val="0"/>
          <c:dLbls>
            <c:dLbl>
              <c:idx val="0"/>
              <c:layout>
                <c:manualLayout>
                  <c:x val="6.600660066006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3CE-455E-AC2E-B6F846028CF4}"/>
                </c:ext>
              </c:extLst>
            </c:dLbl>
            <c:dLbl>
              <c:idx val="1"/>
              <c:layout>
                <c:manualLayout>
                  <c:x val="6.6006600660065903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3CE-455E-AC2E-B6F846028CF4}"/>
                </c:ext>
              </c:extLst>
            </c:dLbl>
            <c:dLbl>
              <c:idx val="2"/>
              <c:layout>
                <c:manualLayout>
                  <c:x val="6.8940227356068834E-2"/>
                  <c:y val="-7.396115601633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3CE-455E-AC2E-B6F846028CF4}"/>
                </c:ext>
              </c:extLst>
            </c:dLbl>
            <c:dLbl>
              <c:idx val="3"/>
              <c:layout>
                <c:manualLayout>
                  <c:x val="6.8940227356068834E-2"/>
                  <c:y val="7.396115601633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3CE-455E-AC2E-B6F846028CF4}"/>
                </c:ext>
              </c:extLst>
            </c:dLbl>
            <c:numFmt formatCode="&quot;$&quot;#,##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'Report_Figure 25_Data'!$A$10:$A$13</c:f>
              <c:strCache>
                <c:ptCount val="4"/>
                <c:pt idx="0">
                  <c:v>OSW</c:v>
                </c:pt>
                <c:pt idx="1">
                  <c:v>Storage</c:v>
                </c:pt>
                <c:pt idx="2">
                  <c:v>SOO Green</c:v>
                </c:pt>
                <c:pt idx="3">
                  <c:v>All</c:v>
                </c:pt>
              </c:strCache>
            </c:strRef>
          </c:cat>
          <c:val>
            <c:numRef>
              <c:f>'Report_Figure 25_Data'!$D$10:$D$13</c:f>
              <c:numCache>
                <c:formatCode>0.00</c:formatCode>
                <c:ptCount val="4"/>
                <c:pt idx="0">
                  <c:v>10.007764180093186</c:v>
                </c:pt>
                <c:pt idx="1">
                  <c:v>2.2492460793103164</c:v>
                </c:pt>
                <c:pt idx="2">
                  <c:v>10.975002439535455</c:v>
                </c:pt>
                <c:pt idx="3">
                  <c:v>6.9035585063767373</c:v>
                </c:pt>
              </c:numCache>
            </c:numRef>
          </c:val>
          <c:extLst>
            <c:ext xmlns:c16="http://schemas.microsoft.com/office/drawing/2014/chart" uri="{C3380CC4-5D6E-409C-BE32-E72D297353CC}">
              <c16:uniqueId val="{0000000E-83CE-455E-AC2E-B6F846028CF4}"/>
            </c:ext>
          </c:extLst>
        </c:ser>
        <c:ser>
          <c:idx val="4"/>
          <c:order val="4"/>
          <c:tx>
            <c:strRef>
              <c:f>'Report_Figure 25_Data'!$E$9</c:f>
              <c:strCache>
                <c:ptCount val="1"/>
                <c:pt idx="0">
                  <c:v>Rate Increase</c:v>
                </c:pt>
              </c:strCache>
            </c:strRef>
          </c:tx>
          <c:spPr>
            <a:pattFill prst="wdUpDiag">
              <a:fgClr>
                <a:srgbClr val="FF0000"/>
              </a:fgClr>
              <a:bgClr>
                <a:schemeClr val="bg1"/>
              </a:bgClr>
            </a:pattFill>
            <a:ln>
              <a:noFill/>
            </a:ln>
            <a:effectLst/>
          </c:spPr>
          <c:invertIfNegative val="0"/>
          <c:dLbls>
            <c:dLbl>
              <c:idx val="0"/>
              <c:numFmt formatCode="&quot;$&quot;#,##0.00" sourceLinked="0"/>
              <c:spPr>
                <a:noFill/>
                <a:ln>
                  <a:noFill/>
                </a:ln>
                <a:effectLst/>
              </c:spPr>
              <c:txPr>
                <a:bodyPr rot="0" spcFirstLastPara="1" vertOverflow="overflow" horzOverflow="overflow" vert="horz" wrap="square" lIns="118872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83CE-455E-AC2E-B6F846028CF4}"/>
                </c:ext>
              </c:extLst>
            </c:dLbl>
            <c:numFmt formatCode="&quot;$&quot;#,##0.00" sourceLinked="0"/>
            <c:spPr>
              <a:noFill/>
              <a:ln>
                <a:noFill/>
              </a:ln>
              <a:effectLst/>
            </c:spPr>
            <c:txPr>
              <a:bodyPr rot="0" spcFirstLastPara="1" vertOverflow="ellipsis" vert="horz" wrap="square" lIns="118872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'Report_Figure 25_Data'!$A$10:$A$13</c:f>
              <c:strCache>
                <c:ptCount val="4"/>
                <c:pt idx="0">
                  <c:v>OSW</c:v>
                </c:pt>
                <c:pt idx="1">
                  <c:v>Storage</c:v>
                </c:pt>
                <c:pt idx="2">
                  <c:v>SOO Green</c:v>
                </c:pt>
                <c:pt idx="3">
                  <c:v>All</c:v>
                </c:pt>
              </c:strCache>
            </c:strRef>
          </c:cat>
          <c:val>
            <c:numRef>
              <c:f>'Report_Figure 25_Data'!$E$10:$E$13</c:f>
              <c:numCache>
                <c:formatCode>0.00</c:formatCode>
                <c:ptCount val="4"/>
                <c:pt idx="0">
                  <c:v>25.145785807611038</c:v>
                </c:pt>
              </c:numCache>
            </c:numRef>
          </c:val>
          <c:extLst>
            <c:ext xmlns:c16="http://schemas.microsoft.com/office/drawing/2014/chart" uri="{C3380CC4-5D6E-409C-BE32-E72D297353CC}">
              <c16:uniqueId val="{00000010-83CE-455E-AC2E-B6F846028CF4}"/>
            </c:ext>
          </c:extLst>
        </c:ser>
        <c:dLbls>
          <c:showLegendKey val="0"/>
          <c:showVal val="0"/>
          <c:showCatName val="0"/>
          <c:showSerName val="0"/>
          <c:showPercent val="0"/>
          <c:showBubbleSize val="0"/>
        </c:dLbls>
        <c:gapWidth val="150"/>
        <c:overlap val="100"/>
        <c:axId val="451009055"/>
        <c:axId val="451004015"/>
      </c:barChart>
      <c:lineChart>
        <c:grouping val="standard"/>
        <c:varyColors val="0"/>
        <c:ser>
          <c:idx val="3"/>
          <c:order val="3"/>
          <c:tx>
            <c:v>LCoE</c:v>
          </c:tx>
          <c:spPr>
            <a:ln w="25400" cap="rnd">
              <a:noFill/>
              <a:round/>
            </a:ln>
            <a:effectLst/>
          </c:spPr>
          <c:marker>
            <c:symbol val="circle"/>
            <c:size val="5"/>
            <c:spPr>
              <a:solidFill>
                <a:schemeClr val="tx1"/>
              </a:solidFill>
              <a:ln w="25400">
                <a:solidFill>
                  <a:schemeClr val="tx1"/>
                </a:solidFill>
              </a:ln>
              <a:effectLst/>
            </c:spPr>
          </c:marker>
          <c:dLbls>
            <c:numFmt formatCode="&quot;$&quot;#,##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'Report_Figure 25_Data'!$G$10:$G$13</c:f>
              <c:numCache>
                <c:formatCode>#,##0.00</c:formatCode>
                <c:ptCount val="4"/>
                <c:pt idx="0">
                  <c:v>65.71650668831515</c:v>
                </c:pt>
                <c:pt idx="1">
                  <c:v>104.3918516671062</c:v>
                </c:pt>
                <c:pt idx="2" formatCode="0.00">
                  <c:v>61.027424801933307</c:v>
                </c:pt>
                <c:pt idx="3">
                  <c:v>77.512789145281403</c:v>
                </c:pt>
              </c:numCache>
            </c:numRef>
          </c:val>
          <c:smooth val="0"/>
          <c:extLst>
            <c:ext xmlns:c16="http://schemas.microsoft.com/office/drawing/2014/chart" uri="{C3380CC4-5D6E-409C-BE32-E72D297353CC}">
              <c16:uniqueId val="{00000011-83CE-455E-AC2E-B6F846028CF4}"/>
            </c:ext>
          </c:extLst>
        </c:ser>
        <c:dLbls>
          <c:showLegendKey val="0"/>
          <c:showVal val="0"/>
          <c:showCatName val="0"/>
          <c:showSerName val="0"/>
          <c:showPercent val="0"/>
          <c:showBubbleSize val="0"/>
        </c:dLbls>
        <c:marker val="1"/>
        <c:smooth val="0"/>
        <c:axId val="451009055"/>
        <c:axId val="451004015"/>
      </c:lineChart>
      <c:catAx>
        <c:axId val="45100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51004015"/>
        <c:crosses val="autoZero"/>
        <c:auto val="1"/>
        <c:lblAlgn val="ctr"/>
        <c:lblOffset val="100"/>
        <c:noMultiLvlLbl val="0"/>
      </c:catAx>
      <c:valAx>
        <c:axId val="451004015"/>
        <c:scaling>
          <c:orientation val="minMax"/>
          <c:max val="1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$NPV/MWh</a:t>
                </a:r>
              </a:p>
            </c:rich>
          </c:tx>
          <c:layout>
            <c:manualLayout>
              <c:xMode val="edge"/>
              <c:yMode val="edge"/>
              <c:x val="5.8674756698999771E-3"/>
              <c:y val="0.39027094729137723"/>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51009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371424725755434E-2"/>
          <c:y val="0.11458671309302418"/>
          <c:w val="0.93529191062655626"/>
          <c:h val="0.75155298053803543"/>
        </c:manualLayout>
      </c:layout>
      <c:barChart>
        <c:barDir val="col"/>
        <c:grouping val="stacked"/>
        <c:varyColors val="0"/>
        <c:ser>
          <c:idx val="0"/>
          <c:order val="0"/>
          <c:tx>
            <c:v> Nationwide</c:v>
          </c:tx>
          <c:spPr>
            <a:solidFill>
              <a:schemeClr val="accent6"/>
            </a:solidFill>
            <a:ln w="12700">
              <a:noFill/>
              <a:prstDash val="solid"/>
            </a:ln>
          </c:spPr>
          <c:invertIfNegative val="0"/>
          <c:dLbls>
            <c:spPr>
              <a:noFill/>
              <a:ln>
                <a:noFill/>
              </a:ln>
              <a:effectLst/>
            </c:spPr>
            <c:txPr>
              <a:bodyPr wrap="square" lIns="38100" tIns="19050" rIns="38100" bIns="19050" anchor="ctr">
                <a:spAutoFit/>
              </a:bodyPr>
              <a:lstStyle/>
              <a:p>
                <a:pPr>
                  <a:defRPr b="0">
                    <a:solidFill>
                      <a:sysClr val="windowText" lastClr="000000"/>
                    </a:solidFil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'LCOE of Utility-Scale PV'!$A$27:$A$39</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'LCOE of Utility-Scale PV'!$B$27:$B$39</c:f>
              <c:numCache>
                <c:formatCode>0</c:formatCode>
                <c:ptCount val="13"/>
                <c:pt idx="0">
                  <c:v>243.28343398120433</c:v>
                </c:pt>
                <c:pt idx="1">
                  <c:v>225.77540211411443</c:v>
                </c:pt>
                <c:pt idx="2">
                  <c:v>164.43366773382471</c:v>
                </c:pt>
                <c:pt idx="3">
                  <c:v>151.71784466209979</c:v>
                </c:pt>
                <c:pt idx="4">
                  <c:v>145.26002114214927</c:v>
                </c:pt>
                <c:pt idx="5">
                  <c:v>109.34406258792184</c:v>
                </c:pt>
                <c:pt idx="6">
                  <c:v>82.484646983776912</c:v>
                </c:pt>
                <c:pt idx="7">
                  <c:v>80.418651057823823</c:v>
                </c:pt>
                <c:pt idx="8">
                  <c:v>65.142027344016086</c:v>
                </c:pt>
                <c:pt idx="9">
                  <c:v>55.642154005232797</c:v>
                </c:pt>
                <c:pt idx="10">
                  <c:v>47.845113058159967</c:v>
                </c:pt>
                <c:pt idx="11">
                  <c:v>41.311348628667623</c:v>
                </c:pt>
                <c:pt idx="12">
                  <c:v>38.788120950915207</c:v>
                </c:pt>
              </c:numCache>
            </c:numRef>
          </c:val>
          <c:extLst>
            <c:ext xmlns:c16="http://schemas.microsoft.com/office/drawing/2014/chart" uri="{C3380CC4-5D6E-409C-BE32-E72D297353CC}">
              <c16:uniqueId val="{00000000-C489-4C3C-A8BF-DDCEA9E1D517}"/>
            </c:ext>
          </c:extLst>
        </c:ser>
        <c:dLbls>
          <c:showLegendKey val="0"/>
          <c:showVal val="0"/>
          <c:showCatName val="0"/>
          <c:showSerName val="0"/>
          <c:showPercent val="0"/>
          <c:showBubbleSize val="0"/>
        </c:dLbls>
        <c:gapWidth val="30"/>
        <c:overlap val="100"/>
        <c:axId val="556873352"/>
        <c:axId val="556869040"/>
      </c:barChart>
      <c:catAx>
        <c:axId val="556873352"/>
        <c:scaling>
          <c:orientation val="minMax"/>
        </c:scaling>
        <c:delete val="0"/>
        <c:axPos val="b"/>
        <c:numFmt formatCode="General" sourceLinked="1"/>
        <c:majorTickMark val="out"/>
        <c:minorTickMark val="none"/>
        <c:tickLblPos val="nextTo"/>
        <c:spPr>
          <a:ln w="3175">
            <a:noFill/>
            <a:prstDash val="solid"/>
          </a:ln>
        </c:spPr>
        <c:txPr>
          <a:bodyPr rot="0" vert="horz"/>
          <a:lstStyle/>
          <a:p>
            <a:pPr>
              <a:defRPr b="1"/>
            </a:pPr>
            <a:endParaRPr lang="en-US"/>
          </a:p>
        </c:txPr>
        <c:crossAx val="556869040"/>
        <c:crosses val="autoZero"/>
        <c:auto val="1"/>
        <c:lblAlgn val="ctr"/>
        <c:lblOffset val="50"/>
        <c:tickLblSkip val="1"/>
        <c:tickMarkSkip val="1"/>
        <c:noMultiLvlLbl val="1"/>
      </c:catAx>
      <c:valAx>
        <c:axId val="556869040"/>
        <c:scaling>
          <c:orientation val="minMax"/>
          <c:min val="0"/>
        </c:scaling>
        <c:delete val="0"/>
        <c:axPos val="l"/>
        <c:majorGridlines>
          <c:spPr>
            <a:ln w="3175">
              <a:solidFill>
                <a:schemeClr val="bg1">
                  <a:lumMod val="75000"/>
                </a:schemeClr>
              </a:solidFill>
            </a:ln>
          </c:spPr>
        </c:majorGridlines>
        <c:numFmt formatCode="#,##0" sourceLinked="0"/>
        <c:majorTickMark val="out"/>
        <c:minorTickMark val="none"/>
        <c:tickLblPos val="nextTo"/>
        <c:spPr>
          <a:noFill/>
          <a:ln w="3175">
            <a:noFill/>
            <a:prstDash val="solid"/>
          </a:ln>
        </c:spPr>
        <c:txPr>
          <a:bodyPr rot="0" vert="horz"/>
          <a:lstStyle/>
          <a:p>
            <a:pPr>
              <a:defRPr b="1"/>
            </a:pPr>
            <a:endParaRPr lang="en-US"/>
          </a:p>
        </c:txPr>
        <c:crossAx val="556873352"/>
        <c:crosses val="autoZero"/>
        <c:crossBetween val="between"/>
        <c:majorUnit val="40"/>
      </c:valAx>
      <c:spPr>
        <a:noFill/>
        <a:ln w="25400">
          <a:noFill/>
        </a:ln>
      </c:spPr>
    </c:plotArea>
    <c:plotVisOnly val="1"/>
    <c:dispBlanksAs val="gap"/>
    <c:showDLblsOverMax val="0"/>
  </c:chart>
  <c:spPr>
    <a:solidFill>
      <a:schemeClr val="bg1"/>
    </a:solidFill>
    <a:ln w="9525">
      <a:noFill/>
    </a:ln>
  </c:spPr>
  <c:txPr>
    <a:bodyPr/>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printSettings>
    <c:headerFooter alignWithMargins="0"/>
    <c:pageMargins b="1" l="0.75" r="0.75" t="1" header="0.5" footer="0.5"/>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50817686250757E-2"/>
          <c:y val="0.11458671309302418"/>
          <c:w val="0.93315515848980413"/>
          <c:h val="0.74302924747853549"/>
        </c:manualLayout>
      </c:layout>
      <c:barChart>
        <c:barDir val="col"/>
        <c:grouping val="stacked"/>
        <c:varyColors val="0"/>
        <c:ser>
          <c:idx val="0"/>
          <c:order val="2"/>
          <c:tx>
            <c:v> Nationwide</c:v>
          </c:tx>
          <c:spPr>
            <a:solidFill>
              <a:schemeClr val="accent6"/>
            </a:solidFill>
            <a:ln w="12700">
              <a:noFill/>
              <a:prstDash val="solid"/>
            </a:ln>
          </c:spPr>
          <c:invertIfNegative val="0"/>
          <c:cat>
            <c:numRef>
              <c:f>'LCOE of Utility-Scale PV'!$A$27:$A$39</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'LCOE of Utility-Scale PV'!$B$27:$B$39</c:f>
              <c:numCache>
                <c:formatCode>0</c:formatCode>
                <c:ptCount val="13"/>
                <c:pt idx="0">
                  <c:v>243.28343398120433</c:v>
                </c:pt>
                <c:pt idx="1">
                  <c:v>225.77540211411443</c:v>
                </c:pt>
                <c:pt idx="2">
                  <c:v>164.43366773382471</c:v>
                </c:pt>
                <c:pt idx="3">
                  <c:v>151.71784466209979</c:v>
                </c:pt>
                <c:pt idx="4">
                  <c:v>145.26002114214927</c:v>
                </c:pt>
                <c:pt idx="5">
                  <c:v>109.34406258792184</c:v>
                </c:pt>
                <c:pt idx="6">
                  <c:v>82.484646983776912</c:v>
                </c:pt>
                <c:pt idx="7">
                  <c:v>80.418651057823823</c:v>
                </c:pt>
                <c:pt idx="8">
                  <c:v>65.142027344016086</c:v>
                </c:pt>
                <c:pt idx="9">
                  <c:v>55.642154005232797</c:v>
                </c:pt>
                <c:pt idx="10">
                  <c:v>47.845113058159967</c:v>
                </c:pt>
                <c:pt idx="11">
                  <c:v>41.311348628667623</c:v>
                </c:pt>
                <c:pt idx="12">
                  <c:v>38.788120950915207</c:v>
                </c:pt>
              </c:numCache>
            </c:numRef>
          </c:val>
          <c:extLst>
            <c:ext xmlns:c16="http://schemas.microsoft.com/office/drawing/2014/chart" uri="{C3380CC4-5D6E-409C-BE32-E72D297353CC}">
              <c16:uniqueId val="{00000000-3A82-45F9-BCE2-DD619402EC9C}"/>
            </c:ext>
          </c:extLst>
        </c:ser>
        <c:dLbls>
          <c:showLegendKey val="0"/>
          <c:showVal val="0"/>
          <c:showCatName val="0"/>
          <c:showSerName val="0"/>
          <c:showPercent val="0"/>
          <c:showBubbleSize val="0"/>
        </c:dLbls>
        <c:gapWidth val="30"/>
        <c:overlap val="100"/>
        <c:axId val="556861200"/>
        <c:axId val="556861984"/>
      </c:barChart>
      <c:lineChart>
        <c:grouping val="standard"/>
        <c:varyColors val="0"/>
        <c:ser>
          <c:idx val="10"/>
          <c:order val="0"/>
          <c:tx>
            <c:v> Hawaii</c:v>
          </c:tx>
          <c:spPr>
            <a:ln>
              <a:solidFill>
                <a:schemeClr val="tx1">
                  <a:lumMod val="50000"/>
                  <a:lumOff val="50000"/>
                </a:schemeClr>
              </a:solidFill>
              <a:prstDash val="sysDash"/>
            </a:ln>
          </c:spPr>
          <c:marker>
            <c:symbol val="circle"/>
            <c:size val="5"/>
            <c:spPr>
              <a:solidFill>
                <a:schemeClr val="bg1"/>
              </a:solidFill>
              <a:ln w="6350">
                <a:solidFill>
                  <a:schemeClr val="tx1">
                    <a:lumMod val="50000"/>
                    <a:lumOff val="50000"/>
                  </a:schemeClr>
                </a:solidFill>
              </a:ln>
            </c:spPr>
          </c:marker>
          <c:cat>
            <c:numRef>
              <c:f>'LCOE of Utility-Scale PV'!$A$27:$A$39</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'LCOE of Utility-Scale PV'!$K$27:$K$39</c:f>
              <c:numCache>
                <c:formatCode>0</c:formatCode>
                <c:ptCount val="13"/>
                <c:pt idx="7">
                  <c:v>141.03979137069422</c:v>
                </c:pt>
                <c:pt idx="8">
                  <c:v>#N/A</c:v>
                </c:pt>
                <c:pt idx="9">
                  <c:v>108.70110014386758</c:v>
                </c:pt>
              </c:numCache>
            </c:numRef>
          </c:val>
          <c:smooth val="0"/>
          <c:extLst>
            <c:ext xmlns:c16="http://schemas.microsoft.com/office/drawing/2014/chart" uri="{C3380CC4-5D6E-409C-BE32-E72D297353CC}">
              <c16:uniqueId val="{00000001-3A82-45F9-BCE2-DD619402EC9C}"/>
            </c:ext>
          </c:extLst>
        </c:ser>
        <c:ser>
          <c:idx val="6"/>
          <c:order val="1"/>
          <c:tx>
            <c:v> ISO-NE</c:v>
          </c:tx>
          <c:spPr>
            <a:ln w="19050">
              <a:solidFill>
                <a:schemeClr val="tx2">
                  <a:lumMod val="60000"/>
                  <a:lumOff val="40000"/>
                </a:schemeClr>
              </a:solidFill>
            </a:ln>
          </c:spPr>
          <c:marker>
            <c:symbol val="circle"/>
            <c:size val="5"/>
            <c:spPr>
              <a:solidFill>
                <a:schemeClr val="bg1"/>
              </a:solidFill>
              <a:ln w="6350"/>
            </c:spPr>
          </c:marker>
          <c:dPt>
            <c:idx val="6"/>
            <c:bubble3D val="0"/>
            <c:spPr>
              <a:ln w="19050">
                <a:solidFill>
                  <a:schemeClr val="tx2">
                    <a:lumMod val="60000"/>
                    <a:lumOff val="40000"/>
                  </a:schemeClr>
                </a:solidFill>
                <a:prstDash val="sysDash"/>
              </a:ln>
            </c:spPr>
            <c:extLst>
              <c:ext xmlns:c16="http://schemas.microsoft.com/office/drawing/2014/chart" uri="{C3380CC4-5D6E-409C-BE32-E72D297353CC}">
                <c16:uniqueId val="{00000003-3A82-45F9-BCE2-DD619402EC9C}"/>
              </c:ext>
            </c:extLst>
          </c:dPt>
          <c:cat>
            <c:numRef>
              <c:f>'LCOE of Utility-Scale PV'!$A$27:$A$39</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'LCOE of Utility-Scale PV'!$H$27:$H$39</c:f>
              <c:numCache>
                <c:formatCode>0</c:formatCode>
                <c:ptCount val="13"/>
                <c:pt idx="4">
                  <c:v>281.08516824477545</c:v>
                </c:pt>
                <c:pt idx="5">
                  <c:v>#N/A</c:v>
                </c:pt>
                <c:pt idx="6">
                  <c:v>335.21065006311852</c:v>
                </c:pt>
                <c:pt idx="7">
                  <c:v>130.56138663737315</c:v>
                </c:pt>
                <c:pt idx="8">
                  <c:v>97.216727633306434</c:v>
                </c:pt>
                <c:pt idx="9">
                  <c:v>95.052544130302607</c:v>
                </c:pt>
                <c:pt idx="10">
                  <c:v>83.297955530056967</c:v>
                </c:pt>
                <c:pt idx="11">
                  <c:v>73.986100484423957</c:v>
                </c:pt>
                <c:pt idx="12">
                  <c:v>63.386364302353122</c:v>
                </c:pt>
              </c:numCache>
            </c:numRef>
          </c:val>
          <c:smooth val="0"/>
          <c:extLst>
            <c:ext xmlns:c16="http://schemas.microsoft.com/office/drawing/2014/chart" uri="{C3380CC4-5D6E-409C-BE32-E72D297353CC}">
              <c16:uniqueId val="{00000004-3A82-45F9-BCE2-DD619402EC9C}"/>
            </c:ext>
          </c:extLst>
        </c:ser>
        <c:ser>
          <c:idx val="4"/>
          <c:order val="3"/>
          <c:tx>
            <c:v> PJM</c:v>
          </c:tx>
          <c:spPr>
            <a:ln w="19050">
              <a:solidFill>
                <a:schemeClr val="accent6">
                  <a:lumMod val="60000"/>
                  <a:lumOff val="40000"/>
                </a:schemeClr>
              </a:solidFill>
              <a:prstDash val="solid"/>
            </a:ln>
          </c:spPr>
          <c:marker>
            <c:symbol val="none"/>
          </c:marker>
          <c:dPt>
            <c:idx val="6"/>
            <c:bubble3D val="0"/>
            <c:extLst>
              <c:ext xmlns:c16="http://schemas.microsoft.com/office/drawing/2014/chart" uri="{C3380CC4-5D6E-409C-BE32-E72D297353CC}">
                <c16:uniqueId val="{00000005-3A82-45F9-BCE2-DD619402EC9C}"/>
              </c:ext>
            </c:extLst>
          </c:dPt>
          <c:dPt>
            <c:idx val="8"/>
            <c:bubble3D val="0"/>
            <c:extLst>
              <c:ext xmlns:c16="http://schemas.microsoft.com/office/drawing/2014/chart" uri="{C3380CC4-5D6E-409C-BE32-E72D297353CC}">
                <c16:uniqueId val="{00000006-3A82-45F9-BCE2-DD619402EC9C}"/>
              </c:ext>
            </c:extLst>
          </c:dPt>
          <c:dPt>
            <c:idx val="12"/>
            <c:bubble3D val="0"/>
            <c:extLst>
              <c:ext xmlns:c16="http://schemas.microsoft.com/office/drawing/2014/chart" uri="{C3380CC4-5D6E-409C-BE32-E72D297353CC}">
                <c16:uniqueId val="{00000007-3A82-45F9-BCE2-DD619402EC9C}"/>
              </c:ext>
            </c:extLst>
          </c:dPt>
          <c:cat>
            <c:numRef>
              <c:f>'LCOE of Utility-Scale PV'!$A$27:$A$39</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'LCOE of Utility-Scale PV'!$G$27:$G$39</c:f>
              <c:numCache>
                <c:formatCode>0</c:formatCode>
                <c:ptCount val="13"/>
                <c:pt idx="0">
                  <c:v>402.48464054483179</c:v>
                </c:pt>
                <c:pt idx="1">
                  <c:v>304.7034949751573</c:v>
                </c:pt>
                <c:pt idx="2">
                  <c:v>263.98856510397263</c:v>
                </c:pt>
                <c:pt idx="3">
                  <c:v>293.92837072738979</c:v>
                </c:pt>
                <c:pt idx="4">
                  <c:v>161.73292289793136</c:v>
                </c:pt>
                <c:pt idx="5">
                  <c:v>123.64298172566386</c:v>
                </c:pt>
                <c:pt idx="6">
                  <c:v>122.70127261480289</c:v>
                </c:pt>
                <c:pt idx="7">
                  <c:v>88.385724791948817</c:v>
                </c:pt>
                <c:pt idx="8">
                  <c:v>86.295773378681972</c:v>
                </c:pt>
                <c:pt idx="9">
                  <c:v>69.78876720717949</c:v>
                </c:pt>
                <c:pt idx="10">
                  <c:v>68.057158940462855</c:v>
                </c:pt>
                <c:pt idx="11">
                  <c:v>47.734502571840338</c:v>
                </c:pt>
                <c:pt idx="12">
                  <c:v>50.087959235848949</c:v>
                </c:pt>
              </c:numCache>
            </c:numRef>
          </c:val>
          <c:smooth val="0"/>
          <c:extLst>
            <c:ext xmlns:c16="http://schemas.microsoft.com/office/drawing/2014/chart" uri="{C3380CC4-5D6E-409C-BE32-E72D297353CC}">
              <c16:uniqueId val="{00000008-3A82-45F9-BCE2-DD619402EC9C}"/>
            </c:ext>
          </c:extLst>
        </c:ser>
        <c:ser>
          <c:idx val="3"/>
          <c:order val="4"/>
          <c:tx>
            <c:v> MISO</c:v>
          </c:tx>
          <c:spPr>
            <a:ln w="19050">
              <a:solidFill>
                <a:schemeClr val="accent3">
                  <a:lumMod val="75000"/>
                </a:schemeClr>
              </a:solidFill>
              <a:prstDash val="solid"/>
            </a:ln>
          </c:spPr>
          <c:marker>
            <c:symbol val="none"/>
          </c:marker>
          <c:dPt>
            <c:idx val="3"/>
            <c:bubble3D val="0"/>
            <c:extLst>
              <c:ext xmlns:c16="http://schemas.microsoft.com/office/drawing/2014/chart" uri="{C3380CC4-5D6E-409C-BE32-E72D297353CC}">
                <c16:uniqueId val="{00000009-3A82-45F9-BCE2-DD619402EC9C}"/>
              </c:ext>
            </c:extLst>
          </c:dPt>
          <c:dPt>
            <c:idx val="4"/>
            <c:bubble3D val="0"/>
            <c:extLst>
              <c:ext xmlns:c16="http://schemas.microsoft.com/office/drawing/2014/chart" uri="{C3380CC4-5D6E-409C-BE32-E72D297353CC}">
                <c16:uniqueId val="{0000000A-3A82-45F9-BCE2-DD619402EC9C}"/>
              </c:ext>
            </c:extLst>
          </c:dPt>
          <c:dPt>
            <c:idx val="5"/>
            <c:bubble3D val="0"/>
            <c:extLst>
              <c:ext xmlns:c16="http://schemas.microsoft.com/office/drawing/2014/chart" uri="{C3380CC4-5D6E-409C-BE32-E72D297353CC}">
                <c16:uniqueId val="{0000000B-3A82-45F9-BCE2-DD619402EC9C}"/>
              </c:ext>
            </c:extLst>
          </c:dPt>
          <c:dPt>
            <c:idx val="6"/>
            <c:bubble3D val="0"/>
            <c:extLst>
              <c:ext xmlns:c16="http://schemas.microsoft.com/office/drawing/2014/chart" uri="{C3380CC4-5D6E-409C-BE32-E72D297353CC}">
                <c16:uniqueId val="{0000000C-3A82-45F9-BCE2-DD619402EC9C}"/>
              </c:ext>
            </c:extLst>
          </c:dPt>
          <c:dPt>
            <c:idx val="12"/>
            <c:bubble3D val="0"/>
            <c:extLst>
              <c:ext xmlns:c16="http://schemas.microsoft.com/office/drawing/2014/chart" uri="{C3380CC4-5D6E-409C-BE32-E72D297353CC}">
                <c16:uniqueId val="{0000000D-3A82-45F9-BCE2-DD619402EC9C}"/>
              </c:ext>
            </c:extLst>
          </c:dPt>
          <c:cat>
            <c:numRef>
              <c:f>'LCOE of Utility-Scale PV'!$A$27:$A$39</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'LCOE of Utility-Scale PV'!$E$27:$E$39</c:f>
              <c:numCache>
                <c:formatCode>0</c:formatCode>
                <c:ptCount val="13"/>
                <c:pt idx="3">
                  <c:v>199.39401778179294</c:v>
                </c:pt>
                <c:pt idx="4">
                  <c:v>187.48854340252271</c:v>
                </c:pt>
                <c:pt idx="5">
                  <c:v>176.90528795177204</c:v>
                </c:pt>
                <c:pt idx="6">
                  <c:v>104.20037414882532</c:v>
                </c:pt>
                <c:pt idx="7">
                  <c:v>105.30463449022122</c:v>
                </c:pt>
                <c:pt idx="8">
                  <c:v>50.034777042161139</c:v>
                </c:pt>
                <c:pt idx="9">
                  <c:v>71.394622341299396</c:v>
                </c:pt>
                <c:pt idx="10">
                  <c:v>59.005433994880896</c:v>
                </c:pt>
                <c:pt idx="11">
                  <c:v>46.811922646094295</c:v>
                </c:pt>
                <c:pt idx="12">
                  <c:v>52.203656728519036</c:v>
                </c:pt>
              </c:numCache>
            </c:numRef>
          </c:val>
          <c:smooth val="0"/>
          <c:extLst>
            <c:ext xmlns:c16="http://schemas.microsoft.com/office/drawing/2014/chart" uri="{C3380CC4-5D6E-409C-BE32-E72D297353CC}">
              <c16:uniqueId val="{0000000E-3A82-45F9-BCE2-DD619402EC9C}"/>
            </c:ext>
          </c:extLst>
        </c:ser>
        <c:ser>
          <c:idx val="2"/>
          <c:order val="5"/>
          <c:tx>
            <c:v> SPP</c:v>
          </c:tx>
          <c:spPr>
            <a:ln w="19050">
              <a:solidFill>
                <a:schemeClr val="bg2">
                  <a:lumMod val="50000"/>
                </a:schemeClr>
              </a:solidFill>
              <a:prstDash val="solid"/>
            </a:ln>
          </c:spPr>
          <c:marker>
            <c:symbol val="none"/>
          </c:marker>
          <c:dPt>
            <c:idx val="2"/>
            <c:bubble3D val="0"/>
            <c:extLst>
              <c:ext xmlns:c16="http://schemas.microsoft.com/office/drawing/2014/chart" uri="{C3380CC4-5D6E-409C-BE32-E72D297353CC}">
                <c16:uniqueId val="{0000000F-3A82-45F9-BCE2-DD619402EC9C}"/>
              </c:ext>
            </c:extLst>
          </c:dPt>
          <c:dPt>
            <c:idx val="3"/>
            <c:bubble3D val="0"/>
            <c:extLst>
              <c:ext xmlns:c16="http://schemas.microsoft.com/office/drawing/2014/chart" uri="{C3380CC4-5D6E-409C-BE32-E72D297353CC}">
                <c16:uniqueId val="{00000010-3A82-45F9-BCE2-DD619402EC9C}"/>
              </c:ext>
            </c:extLst>
          </c:dPt>
          <c:dPt>
            <c:idx val="5"/>
            <c:bubble3D val="0"/>
            <c:extLst>
              <c:ext xmlns:c16="http://schemas.microsoft.com/office/drawing/2014/chart" uri="{C3380CC4-5D6E-409C-BE32-E72D297353CC}">
                <c16:uniqueId val="{00000011-3A82-45F9-BCE2-DD619402EC9C}"/>
              </c:ext>
            </c:extLst>
          </c:dPt>
          <c:cat>
            <c:numRef>
              <c:f>'LCOE of Utility-Scale PV'!$A$27:$A$39</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'LCOE of Utility-Scale PV'!$D$27:$D$39</c:f>
              <c:numCache>
                <c:formatCode>0</c:formatCode>
                <c:ptCount val="13"/>
                <c:pt idx="6">
                  <c:v>70.643623425541747</c:v>
                </c:pt>
                <c:pt idx="7">
                  <c:v>82.784280159258046</c:v>
                </c:pt>
                <c:pt idx="8">
                  <c:v>71.959048257994382</c:v>
                </c:pt>
                <c:pt idx="9">
                  <c:v>50.3718776500979</c:v>
                </c:pt>
                <c:pt idx="10">
                  <c:v>48.768918819117395</c:v>
                </c:pt>
                <c:pt idx="11">
                  <c:v>#N/A</c:v>
                </c:pt>
                <c:pt idx="12">
                  <c:v>#N/A</c:v>
                </c:pt>
              </c:numCache>
            </c:numRef>
          </c:val>
          <c:smooth val="0"/>
          <c:extLst>
            <c:ext xmlns:c16="http://schemas.microsoft.com/office/drawing/2014/chart" uri="{C3380CC4-5D6E-409C-BE32-E72D297353CC}">
              <c16:uniqueId val="{00000012-3A82-45F9-BCE2-DD619402EC9C}"/>
            </c:ext>
          </c:extLst>
        </c:ser>
        <c:ser>
          <c:idx val="1"/>
          <c:order val="6"/>
          <c:tx>
            <c:v> ERCOT</c:v>
          </c:tx>
          <c:spPr>
            <a:ln w="19050">
              <a:solidFill>
                <a:schemeClr val="tx1">
                  <a:lumMod val="75000"/>
                  <a:lumOff val="25000"/>
                </a:schemeClr>
              </a:solidFill>
            </a:ln>
          </c:spPr>
          <c:marker>
            <c:symbol val="circle"/>
            <c:size val="5"/>
            <c:spPr>
              <a:solidFill>
                <a:schemeClr val="bg1"/>
              </a:solidFill>
              <a:ln w="6350">
                <a:solidFill>
                  <a:schemeClr val="tx1"/>
                </a:solidFill>
              </a:ln>
            </c:spPr>
          </c:marker>
          <c:dPt>
            <c:idx val="5"/>
            <c:bubble3D val="0"/>
            <c:spPr>
              <a:ln w="19050">
                <a:solidFill>
                  <a:schemeClr val="tx1">
                    <a:lumMod val="75000"/>
                    <a:lumOff val="25000"/>
                  </a:schemeClr>
                </a:solidFill>
                <a:prstDash val="sysDash"/>
              </a:ln>
            </c:spPr>
            <c:extLst>
              <c:ext xmlns:c16="http://schemas.microsoft.com/office/drawing/2014/chart" uri="{C3380CC4-5D6E-409C-BE32-E72D297353CC}">
                <c16:uniqueId val="{00000014-3A82-45F9-BCE2-DD619402EC9C}"/>
              </c:ext>
            </c:extLst>
          </c:dPt>
          <c:cat>
            <c:numRef>
              <c:f>'LCOE of Utility-Scale PV'!$A$27:$A$39</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'LCOE of Utility-Scale PV'!$C$27:$C$39</c:f>
              <c:numCache>
                <c:formatCode>0</c:formatCode>
                <c:ptCount val="13"/>
                <c:pt idx="2">
                  <c:v>270.33083168869626</c:v>
                </c:pt>
                <c:pt idx="3">
                  <c:v>306.18077806436276</c:v>
                </c:pt>
                <c:pt idx="4">
                  <c:v>#N/A</c:v>
                </c:pt>
                <c:pt idx="5">
                  <c:v>107.39077910772069</c:v>
                </c:pt>
                <c:pt idx="6">
                  <c:v>81.417698688985709</c:v>
                </c:pt>
                <c:pt idx="7">
                  <c:v>71.502867727885587</c:v>
                </c:pt>
                <c:pt idx="8">
                  <c:v>53.589587152528289</c:v>
                </c:pt>
                <c:pt idx="9">
                  <c:v>53.689009147006523</c:v>
                </c:pt>
                <c:pt idx="10">
                  <c:v>40.809489352407674</c:v>
                </c:pt>
                <c:pt idx="11">
                  <c:v>40.454415101005317</c:v>
                </c:pt>
                <c:pt idx="12">
                  <c:v>31.658246941039948</c:v>
                </c:pt>
              </c:numCache>
            </c:numRef>
          </c:val>
          <c:smooth val="0"/>
          <c:extLst>
            <c:ext xmlns:c16="http://schemas.microsoft.com/office/drawing/2014/chart" uri="{C3380CC4-5D6E-409C-BE32-E72D297353CC}">
              <c16:uniqueId val="{00000015-3A82-45F9-BCE2-DD619402EC9C}"/>
            </c:ext>
          </c:extLst>
        </c:ser>
        <c:ser>
          <c:idx val="9"/>
          <c:order val="7"/>
          <c:tx>
            <c:v> Southeast (non-ISO)</c:v>
          </c:tx>
          <c:spPr>
            <a:ln w="25400">
              <a:solidFill>
                <a:schemeClr val="accent4">
                  <a:lumMod val="60000"/>
                  <a:lumOff val="40000"/>
                </a:schemeClr>
              </a:solidFill>
            </a:ln>
          </c:spPr>
          <c:marker>
            <c:symbol val="circle"/>
            <c:size val="5"/>
            <c:spPr>
              <a:solidFill>
                <a:schemeClr val="bg1"/>
              </a:solidFill>
              <a:ln w="6350"/>
            </c:spPr>
          </c:marker>
          <c:dPt>
            <c:idx val="2"/>
            <c:bubble3D val="0"/>
            <c:spPr>
              <a:ln w="25400">
                <a:solidFill>
                  <a:schemeClr val="accent4">
                    <a:lumMod val="60000"/>
                    <a:lumOff val="40000"/>
                  </a:schemeClr>
                </a:solidFill>
                <a:prstDash val="sysDash"/>
              </a:ln>
            </c:spPr>
            <c:extLst>
              <c:ext xmlns:c16="http://schemas.microsoft.com/office/drawing/2014/chart" uri="{C3380CC4-5D6E-409C-BE32-E72D297353CC}">
                <c16:uniqueId val="{00000017-3A82-45F9-BCE2-DD619402EC9C}"/>
              </c:ext>
            </c:extLst>
          </c:dPt>
          <c:cat>
            <c:numRef>
              <c:f>'LCOE of Utility-Scale PV'!$A$27:$A$39</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'LCOE of Utility-Scale PV'!$J$27:$J$39</c:f>
              <c:numCache>
                <c:formatCode>0</c:formatCode>
                <c:ptCount val="13"/>
                <c:pt idx="0">
                  <c:v>348.69704562879446</c:v>
                </c:pt>
                <c:pt idx="1">
                  <c:v>#N/A</c:v>
                </c:pt>
                <c:pt idx="2">
                  <c:v>211.66540325085322</c:v>
                </c:pt>
                <c:pt idx="3">
                  <c:v>192.88626476250403</c:v>
                </c:pt>
                <c:pt idx="4">
                  <c:v>138.06684088194507</c:v>
                </c:pt>
                <c:pt idx="5">
                  <c:v>110.56285474885314</c:v>
                </c:pt>
                <c:pt idx="6">
                  <c:v>89.855852603697244</c:v>
                </c:pt>
                <c:pt idx="7">
                  <c:v>82.07787612242943</c:v>
                </c:pt>
                <c:pt idx="8">
                  <c:v>59.223199906046794</c:v>
                </c:pt>
                <c:pt idx="9">
                  <c:v>51.596306464952164</c:v>
                </c:pt>
                <c:pt idx="10">
                  <c:v>47.566750764045374</c:v>
                </c:pt>
                <c:pt idx="11">
                  <c:v>43.156788662352938</c:v>
                </c:pt>
                <c:pt idx="12">
                  <c:v>37.821249806614951</c:v>
                </c:pt>
              </c:numCache>
            </c:numRef>
          </c:val>
          <c:smooth val="0"/>
          <c:extLst>
            <c:ext xmlns:c16="http://schemas.microsoft.com/office/drawing/2014/chart" uri="{C3380CC4-5D6E-409C-BE32-E72D297353CC}">
              <c16:uniqueId val="{00000018-3A82-45F9-BCE2-DD619402EC9C}"/>
            </c:ext>
          </c:extLst>
        </c:ser>
        <c:ser>
          <c:idx val="5"/>
          <c:order val="8"/>
          <c:tx>
            <c:v> West (non-ISO)</c:v>
          </c:tx>
          <c:spPr>
            <a:ln w="25400">
              <a:solidFill>
                <a:schemeClr val="accent2"/>
              </a:solidFill>
              <a:prstDash val="solid"/>
            </a:ln>
          </c:spPr>
          <c:marker>
            <c:symbol val="none"/>
          </c:marker>
          <c:dPt>
            <c:idx val="13"/>
            <c:bubble3D val="0"/>
            <c:extLst>
              <c:ext xmlns:c16="http://schemas.microsoft.com/office/drawing/2014/chart" uri="{C3380CC4-5D6E-409C-BE32-E72D297353CC}">
                <c16:uniqueId val="{00000019-3A82-45F9-BCE2-DD619402EC9C}"/>
              </c:ext>
            </c:extLst>
          </c:dPt>
          <c:dPt>
            <c:idx val="14"/>
            <c:bubble3D val="0"/>
            <c:extLst>
              <c:ext xmlns:c16="http://schemas.microsoft.com/office/drawing/2014/chart" uri="{C3380CC4-5D6E-409C-BE32-E72D297353CC}">
                <c16:uniqueId val="{0000001A-3A82-45F9-BCE2-DD619402EC9C}"/>
              </c:ext>
            </c:extLst>
          </c:dPt>
          <c:dPt>
            <c:idx val="16"/>
            <c:bubble3D val="0"/>
            <c:extLst>
              <c:ext xmlns:c16="http://schemas.microsoft.com/office/drawing/2014/chart" uri="{C3380CC4-5D6E-409C-BE32-E72D297353CC}">
                <c16:uniqueId val="{0000001B-3A82-45F9-BCE2-DD619402EC9C}"/>
              </c:ext>
            </c:extLst>
          </c:dPt>
          <c:cat>
            <c:numRef>
              <c:f>'LCOE of Utility-Scale PV'!$A$27:$A$39</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'LCOE of Utility-Scale PV'!$F$27:$F$39</c:f>
              <c:numCache>
                <c:formatCode>0</c:formatCode>
                <c:ptCount val="13"/>
                <c:pt idx="0">
                  <c:v>189.86610723923673</c:v>
                </c:pt>
                <c:pt idx="1">
                  <c:v>195.22863556646234</c:v>
                </c:pt>
                <c:pt idx="2">
                  <c:v>179.06631051922136</c:v>
                </c:pt>
                <c:pt idx="3">
                  <c:v>142.57772702875434</c:v>
                </c:pt>
                <c:pt idx="4">
                  <c:v>116.95717500986613</c:v>
                </c:pt>
                <c:pt idx="5">
                  <c:v>88.559022105860478</c:v>
                </c:pt>
                <c:pt idx="6">
                  <c:v>74.960188812493087</c:v>
                </c:pt>
                <c:pt idx="7">
                  <c:v>69.428155221172773</c:v>
                </c:pt>
                <c:pt idx="8">
                  <c:v>63.716644133491712</c:v>
                </c:pt>
                <c:pt idx="9">
                  <c:v>49.561625875746387</c:v>
                </c:pt>
                <c:pt idx="10">
                  <c:v>47.29466440921906</c:v>
                </c:pt>
                <c:pt idx="11">
                  <c:v>34.468906239460637</c:v>
                </c:pt>
                <c:pt idx="12">
                  <c:v>33.233661322688548</c:v>
                </c:pt>
              </c:numCache>
            </c:numRef>
          </c:val>
          <c:smooth val="0"/>
          <c:extLst>
            <c:ext xmlns:c16="http://schemas.microsoft.com/office/drawing/2014/chart" uri="{C3380CC4-5D6E-409C-BE32-E72D297353CC}">
              <c16:uniqueId val="{0000001C-3A82-45F9-BCE2-DD619402EC9C}"/>
            </c:ext>
          </c:extLst>
        </c:ser>
        <c:ser>
          <c:idx val="7"/>
          <c:order val="9"/>
          <c:tx>
            <c:v> CAISO</c:v>
          </c:tx>
          <c:spPr>
            <a:ln w="22225">
              <a:solidFill>
                <a:schemeClr val="accent4">
                  <a:lumMod val="75000"/>
                </a:schemeClr>
              </a:solidFill>
            </a:ln>
          </c:spPr>
          <c:marker>
            <c:symbol val="none"/>
          </c:marker>
          <c:cat>
            <c:numRef>
              <c:f>'LCOE of Utility-Scale PV'!$A$27:$A$39</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'LCOE of Utility-Scale PV'!$I$27:$I$39</c:f>
              <c:numCache>
                <c:formatCode>0</c:formatCode>
                <c:ptCount val="13"/>
                <c:pt idx="1">
                  <c:v>231.22592639903539</c:v>
                </c:pt>
                <c:pt idx="2">
                  <c:v>129.50436563946823</c:v>
                </c:pt>
                <c:pt idx="3">
                  <c:v>146.47232939220834</c:v>
                </c:pt>
                <c:pt idx="4">
                  <c:v>146.51475559374541</c:v>
                </c:pt>
                <c:pt idx="5">
                  <c:v>117.23008821790305</c:v>
                </c:pt>
                <c:pt idx="6">
                  <c:v>81.273791103650183</c:v>
                </c:pt>
                <c:pt idx="7">
                  <c:v>89.11465898688067</c:v>
                </c:pt>
                <c:pt idx="8">
                  <c:v>73.296744755539621</c:v>
                </c:pt>
                <c:pt idx="9">
                  <c:v>57.376109996225757</c:v>
                </c:pt>
                <c:pt idx="10">
                  <c:v>44.944595328175851</c:v>
                </c:pt>
                <c:pt idx="11">
                  <c:v>37.04131157006497</c:v>
                </c:pt>
                <c:pt idx="12">
                  <c:v>41.025304357456569</c:v>
                </c:pt>
              </c:numCache>
            </c:numRef>
          </c:val>
          <c:smooth val="0"/>
          <c:extLst>
            <c:ext xmlns:c16="http://schemas.microsoft.com/office/drawing/2014/chart" uri="{C3380CC4-5D6E-409C-BE32-E72D297353CC}">
              <c16:uniqueId val="{0000001D-3A82-45F9-BCE2-DD619402EC9C}"/>
            </c:ext>
          </c:extLst>
        </c:ser>
        <c:ser>
          <c:idx val="8"/>
          <c:order val="10"/>
          <c:spPr>
            <a:ln w="19050">
              <a:solidFill>
                <a:schemeClr val="accent4">
                  <a:lumMod val="75000"/>
                </a:schemeClr>
              </a:solidFill>
              <a:prstDash val="sysDot"/>
            </a:ln>
          </c:spPr>
          <c:marker>
            <c:symbol val="circle"/>
            <c:size val="5"/>
            <c:spPr>
              <a:solidFill>
                <a:schemeClr val="bg1"/>
              </a:solidFill>
              <a:ln>
                <a:solidFill>
                  <a:schemeClr val="accent4">
                    <a:lumMod val="75000"/>
                  </a:schemeClr>
                </a:solidFill>
              </a:ln>
            </c:spPr>
          </c:marker>
          <c:dPt>
            <c:idx val="10"/>
            <c:bubble3D val="0"/>
            <c:spPr>
              <a:ln w="19050">
                <a:solidFill>
                  <a:schemeClr val="accent4">
                    <a:lumMod val="75000"/>
                  </a:schemeClr>
                </a:solidFill>
                <a:prstDash val="solid"/>
              </a:ln>
            </c:spPr>
            <c:extLst>
              <c:ext xmlns:c16="http://schemas.microsoft.com/office/drawing/2014/chart" uri="{C3380CC4-5D6E-409C-BE32-E72D297353CC}">
                <c16:uniqueId val="{0000001F-3A82-45F9-BCE2-DD619402EC9C}"/>
              </c:ext>
            </c:extLst>
          </c:dPt>
          <c:cat>
            <c:numRef>
              <c:f>'LCOE of Utility-Scale PV'!$A$27:$A$39</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'LCOE of Utility-Scale PV'!$L$27:$L$39</c:f>
              <c:numCache>
                <c:formatCode>0</c:formatCode>
                <c:ptCount val="13"/>
                <c:pt idx="7">
                  <c:v>128.37069915470917</c:v>
                </c:pt>
                <c:pt idx="8">
                  <c:v>#N/A</c:v>
                </c:pt>
                <c:pt idx="9">
                  <c:v>91.838645490111958</c:v>
                </c:pt>
                <c:pt idx="10">
                  <c:v>92.221100686601417</c:v>
                </c:pt>
                <c:pt idx="11">
                  <c:v>#N/A</c:v>
                </c:pt>
                <c:pt idx="12">
                  <c:v>48.970215599167211</c:v>
                </c:pt>
              </c:numCache>
            </c:numRef>
          </c:val>
          <c:smooth val="0"/>
          <c:extLst>
            <c:ext xmlns:c16="http://schemas.microsoft.com/office/drawing/2014/chart" uri="{C3380CC4-5D6E-409C-BE32-E72D297353CC}">
              <c16:uniqueId val="{00000020-3A82-45F9-BCE2-DD619402EC9C}"/>
            </c:ext>
          </c:extLst>
        </c:ser>
        <c:dLbls>
          <c:showLegendKey val="0"/>
          <c:showVal val="0"/>
          <c:showCatName val="0"/>
          <c:showSerName val="0"/>
          <c:showPercent val="0"/>
          <c:showBubbleSize val="0"/>
        </c:dLbls>
        <c:marker val="1"/>
        <c:smooth val="0"/>
        <c:axId val="556861200"/>
        <c:axId val="556861984"/>
      </c:lineChart>
      <c:catAx>
        <c:axId val="556861200"/>
        <c:scaling>
          <c:orientation val="minMax"/>
        </c:scaling>
        <c:delete val="0"/>
        <c:axPos val="b"/>
        <c:numFmt formatCode="General" sourceLinked="1"/>
        <c:majorTickMark val="out"/>
        <c:minorTickMark val="none"/>
        <c:tickLblPos val="nextTo"/>
        <c:spPr>
          <a:ln w="3175">
            <a:noFill/>
            <a:prstDash val="solid"/>
          </a:ln>
        </c:spPr>
        <c:txPr>
          <a:bodyPr rot="0" vert="horz"/>
          <a:lstStyle/>
          <a:p>
            <a:pPr>
              <a:defRPr b="1"/>
            </a:pPr>
            <a:endParaRPr lang="en-US"/>
          </a:p>
        </c:txPr>
        <c:crossAx val="556861984"/>
        <c:crosses val="autoZero"/>
        <c:auto val="1"/>
        <c:lblAlgn val="ctr"/>
        <c:lblOffset val="50"/>
        <c:tickLblSkip val="1"/>
        <c:tickMarkSkip val="1"/>
        <c:noMultiLvlLbl val="1"/>
      </c:catAx>
      <c:valAx>
        <c:axId val="556861984"/>
        <c:scaling>
          <c:orientation val="minMax"/>
          <c:max val="360"/>
          <c:min val="0"/>
        </c:scaling>
        <c:delete val="0"/>
        <c:axPos val="l"/>
        <c:majorGridlines>
          <c:spPr>
            <a:ln w="3175">
              <a:solidFill>
                <a:schemeClr val="bg1">
                  <a:lumMod val="75000"/>
                </a:schemeClr>
              </a:solidFill>
            </a:ln>
          </c:spPr>
        </c:majorGridlines>
        <c:numFmt formatCode="#,##0" sourceLinked="0"/>
        <c:majorTickMark val="out"/>
        <c:minorTickMark val="none"/>
        <c:tickLblPos val="nextTo"/>
        <c:spPr>
          <a:noFill/>
          <a:ln w="3175">
            <a:noFill/>
            <a:prstDash val="solid"/>
          </a:ln>
        </c:spPr>
        <c:txPr>
          <a:bodyPr rot="0" vert="horz"/>
          <a:lstStyle/>
          <a:p>
            <a:pPr>
              <a:defRPr b="1"/>
            </a:pPr>
            <a:endParaRPr lang="en-US"/>
          </a:p>
        </c:txPr>
        <c:crossAx val="556861200"/>
        <c:crosses val="autoZero"/>
        <c:crossBetween val="between"/>
      </c:valAx>
      <c:spPr>
        <a:noFill/>
        <a:ln w="25400">
          <a:noFill/>
        </a:ln>
      </c:spPr>
    </c:plotArea>
    <c:plotVisOnly val="1"/>
    <c:dispBlanksAs val="gap"/>
    <c:showDLblsOverMax val="0"/>
  </c:chart>
  <c:spPr>
    <a:solidFill>
      <a:schemeClr val="bg1"/>
    </a:solidFill>
    <a:ln w="9525">
      <a:noFill/>
    </a:ln>
  </c:spPr>
  <c:txPr>
    <a:bodyPr/>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printSettings>
    <c:headerFooter alignWithMargins="0"/>
    <c:pageMargins b="1" l="0.75" r="0.75" t="1" header="0.5" footer="0.5"/>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371424725755434E-2"/>
          <c:y val="0.10166219391685671"/>
          <c:w val="0.93529191062655626"/>
          <c:h val="0.76077216928535396"/>
        </c:manualLayout>
      </c:layout>
      <c:barChart>
        <c:barDir val="col"/>
        <c:grouping val="stacked"/>
        <c:varyColors val="0"/>
        <c:ser>
          <c:idx val="0"/>
          <c:order val="0"/>
          <c:tx>
            <c:v> Nationwide</c:v>
          </c:tx>
          <c:spPr>
            <a:solidFill>
              <a:schemeClr val="accent6"/>
            </a:solidFill>
            <a:ln w="12700">
              <a:noFill/>
              <a:prstDash val="solid"/>
            </a:ln>
          </c:spPr>
          <c:invertIfNegative val="0"/>
          <c:cat>
            <c:numRef>
              <c:f>'LCOE of Utility-Scale PV'!$A$27:$A$39</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'LCOE of Utility-Scale PV'!$B$27:$B$39</c:f>
              <c:numCache>
                <c:formatCode>0</c:formatCode>
                <c:ptCount val="13"/>
                <c:pt idx="0">
                  <c:v>243.28343398120433</c:v>
                </c:pt>
                <c:pt idx="1">
                  <c:v>225.77540211411443</c:v>
                </c:pt>
                <c:pt idx="2">
                  <c:v>164.43366773382471</c:v>
                </c:pt>
                <c:pt idx="3">
                  <c:v>151.71784466209979</c:v>
                </c:pt>
                <c:pt idx="4">
                  <c:v>145.26002114214927</c:v>
                </c:pt>
                <c:pt idx="5">
                  <c:v>109.34406258792184</c:v>
                </c:pt>
                <c:pt idx="6">
                  <c:v>82.484646983776912</c:v>
                </c:pt>
                <c:pt idx="7">
                  <c:v>80.418651057823823</c:v>
                </c:pt>
                <c:pt idx="8">
                  <c:v>65.142027344016086</c:v>
                </c:pt>
                <c:pt idx="9">
                  <c:v>55.642154005232797</c:v>
                </c:pt>
                <c:pt idx="10">
                  <c:v>47.845113058159967</c:v>
                </c:pt>
                <c:pt idx="11">
                  <c:v>41.311348628667623</c:v>
                </c:pt>
                <c:pt idx="12">
                  <c:v>38.788120950915207</c:v>
                </c:pt>
              </c:numCache>
            </c:numRef>
          </c:val>
          <c:extLst>
            <c:ext xmlns:c16="http://schemas.microsoft.com/office/drawing/2014/chart" uri="{C3380CC4-5D6E-409C-BE32-E72D297353CC}">
              <c16:uniqueId val="{00000000-9C60-4A6E-ADD5-91F2FC6A5D06}"/>
            </c:ext>
          </c:extLst>
        </c:ser>
        <c:dLbls>
          <c:showLegendKey val="0"/>
          <c:showVal val="0"/>
          <c:showCatName val="0"/>
          <c:showSerName val="0"/>
          <c:showPercent val="0"/>
          <c:showBubbleSize val="0"/>
        </c:dLbls>
        <c:gapWidth val="30"/>
        <c:overlap val="100"/>
        <c:axId val="556869824"/>
        <c:axId val="556870608"/>
      </c:barChart>
      <c:catAx>
        <c:axId val="556869824"/>
        <c:scaling>
          <c:orientation val="minMax"/>
        </c:scaling>
        <c:delete val="0"/>
        <c:axPos val="b"/>
        <c:numFmt formatCode="General" sourceLinked="1"/>
        <c:majorTickMark val="out"/>
        <c:minorTickMark val="none"/>
        <c:tickLblPos val="nextTo"/>
        <c:spPr>
          <a:ln w="3175">
            <a:noFill/>
            <a:prstDash val="solid"/>
          </a:ln>
        </c:spPr>
        <c:txPr>
          <a:bodyPr rot="0" vert="horz"/>
          <a:lstStyle/>
          <a:p>
            <a:pPr>
              <a:defRPr b="1"/>
            </a:pPr>
            <a:endParaRPr lang="en-US"/>
          </a:p>
        </c:txPr>
        <c:crossAx val="556870608"/>
        <c:crosses val="autoZero"/>
        <c:auto val="1"/>
        <c:lblAlgn val="ctr"/>
        <c:lblOffset val="50"/>
        <c:tickLblSkip val="1"/>
        <c:tickMarkSkip val="1"/>
        <c:noMultiLvlLbl val="1"/>
      </c:catAx>
      <c:valAx>
        <c:axId val="556870608"/>
        <c:scaling>
          <c:orientation val="minMax"/>
          <c:max val="400"/>
          <c:min val="0"/>
        </c:scaling>
        <c:delete val="0"/>
        <c:axPos val="l"/>
        <c:majorGridlines>
          <c:spPr>
            <a:ln w="3175">
              <a:solidFill>
                <a:schemeClr val="bg1">
                  <a:lumMod val="75000"/>
                </a:schemeClr>
              </a:solidFill>
            </a:ln>
          </c:spPr>
        </c:majorGridlines>
        <c:numFmt formatCode="#,##0" sourceLinked="0"/>
        <c:majorTickMark val="out"/>
        <c:minorTickMark val="none"/>
        <c:tickLblPos val="nextTo"/>
        <c:spPr>
          <a:noFill/>
          <a:ln w="3175">
            <a:noFill/>
            <a:prstDash val="solid"/>
          </a:ln>
        </c:spPr>
        <c:txPr>
          <a:bodyPr rot="0" vert="horz"/>
          <a:lstStyle/>
          <a:p>
            <a:pPr>
              <a:defRPr b="1"/>
            </a:pPr>
            <a:endParaRPr lang="en-US"/>
          </a:p>
        </c:txPr>
        <c:crossAx val="556869824"/>
        <c:crosses val="autoZero"/>
        <c:crossBetween val="between"/>
        <c:majorUnit val="50"/>
      </c:valAx>
      <c:spPr>
        <a:noFill/>
        <a:ln w="25400">
          <a:noFill/>
        </a:ln>
      </c:spPr>
    </c:plotArea>
    <c:plotVisOnly val="1"/>
    <c:dispBlanksAs val="gap"/>
    <c:showDLblsOverMax val="0"/>
  </c:chart>
  <c:spPr>
    <a:solidFill>
      <a:schemeClr val="bg1"/>
    </a:solidFill>
    <a:ln w="9525">
      <a:noFill/>
    </a:ln>
  </c:spPr>
  <c:txPr>
    <a:bodyPr/>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printSettings>
    <c:headerFooter alignWithMargins="0"/>
    <c:pageMargins b="1" l="0.75" r="0.75" t="1" header="0.5" footer="0.5"/>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50817686250757E-2"/>
          <c:y val="4.0376486039098727E-2"/>
          <c:w val="0.93849187412179536"/>
          <c:h val="0.87728243684028462"/>
        </c:manualLayout>
      </c:layout>
      <c:bubbleChart>
        <c:varyColors val="0"/>
        <c:ser>
          <c:idx val="0"/>
          <c:order val="0"/>
          <c:spPr>
            <a:noFill/>
            <a:ln w="3175">
              <a:solidFill>
                <a:schemeClr val="bg2">
                  <a:lumMod val="25000"/>
                </a:schemeClr>
              </a:solidFill>
            </a:ln>
            <a:effectLst/>
          </c:spPr>
          <c:invertIfNegative val="0"/>
          <c:xVal>
            <c:numRef>
              <c:f>'LCOE of Utility-Scale PV'!$R$27:$R$1127</c:f>
              <c:numCache>
                <c:formatCode>General</c:formatCode>
                <c:ptCount val="1101"/>
                <c:pt idx="0">
                  <c:v>1</c:v>
                </c:pt>
                <c:pt idx="1">
                  <c:v>1</c:v>
                </c:pt>
                <c:pt idx="2">
                  <c:v>1</c:v>
                </c:pt>
                <c:pt idx="3">
                  <c:v>1</c:v>
                </c:pt>
                <c:pt idx="4">
                  <c:v>1</c:v>
                </c:pt>
                <c:pt idx="5">
                  <c:v>1</c:v>
                </c:pt>
                <c:pt idx="6">
                  <c:v>1</c:v>
                </c:pt>
                <c:pt idx="7">
                  <c:v>1</c:v>
                </c:pt>
                <c:pt idx="8">
                  <c:v>1</c:v>
                </c:pt>
                <c:pt idx="9">
                  <c:v>1</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3</c:v>
                </c:pt>
                <c:pt idx="64">
                  <c:v>3</c:v>
                </c:pt>
                <c:pt idx="65">
                  <c:v>3</c:v>
                </c:pt>
                <c:pt idx="66">
                  <c:v>3</c:v>
                </c:pt>
                <c:pt idx="67">
                  <c:v>3</c:v>
                </c:pt>
                <c:pt idx="68">
                  <c:v>3</c:v>
                </c:pt>
                <c:pt idx="69">
                  <c:v>3</c:v>
                </c:pt>
                <c:pt idx="70">
                  <c:v>3</c:v>
                </c:pt>
                <c:pt idx="71">
                  <c:v>3</c:v>
                </c:pt>
                <c:pt idx="72">
                  <c:v>3</c:v>
                </c:pt>
                <c:pt idx="73">
                  <c:v>3</c:v>
                </c:pt>
                <c:pt idx="74">
                  <c:v>3</c:v>
                </c:pt>
                <c:pt idx="75">
                  <c:v>3</c:v>
                </c:pt>
                <c:pt idx="76">
                  <c:v>3</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5</c:v>
                </c:pt>
                <c:pt idx="116">
                  <c:v>5</c:v>
                </c:pt>
                <c:pt idx="117">
                  <c:v>5</c:v>
                </c:pt>
                <c:pt idx="118">
                  <c:v>5</c:v>
                </c:pt>
                <c:pt idx="119">
                  <c:v>5</c:v>
                </c:pt>
                <c:pt idx="120">
                  <c:v>5</c:v>
                </c:pt>
                <c:pt idx="121">
                  <c:v>5</c:v>
                </c:pt>
                <c:pt idx="122">
                  <c:v>5</c:v>
                </c:pt>
                <c:pt idx="123">
                  <c:v>5</c:v>
                </c:pt>
                <c:pt idx="124">
                  <c:v>5</c:v>
                </c:pt>
                <c:pt idx="125">
                  <c:v>5</c:v>
                </c:pt>
                <c:pt idx="126">
                  <c:v>5</c:v>
                </c:pt>
                <c:pt idx="127">
                  <c:v>5</c:v>
                </c:pt>
                <c:pt idx="128">
                  <c:v>5</c:v>
                </c:pt>
                <c:pt idx="129">
                  <c:v>5</c:v>
                </c:pt>
                <c:pt idx="130">
                  <c:v>5</c:v>
                </c:pt>
                <c:pt idx="131">
                  <c:v>5</c:v>
                </c:pt>
                <c:pt idx="132">
                  <c:v>5</c:v>
                </c:pt>
                <c:pt idx="133">
                  <c:v>5</c:v>
                </c:pt>
                <c:pt idx="134">
                  <c:v>5</c:v>
                </c:pt>
                <c:pt idx="135">
                  <c:v>5</c:v>
                </c:pt>
                <c:pt idx="136">
                  <c:v>5</c:v>
                </c:pt>
                <c:pt idx="137">
                  <c:v>5</c:v>
                </c:pt>
                <c:pt idx="138">
                  <c:v>5</c:v>
                </c:pt>
                <c:pt idx="139">
                  <c:v>5</c:v>
                </c:pt>
                <c:pt idx="140">
                  <c:v>5</c:v>
                </c:pt>
                <c:pt idx="141">
                  <c:v>5</c:v>
                </c:pt>
                <c:pt idx="142">
                  <c:v>5</c:v>
                </c:pt>
                <c:pt idx="143">
                  <c:v>5</c:v>
                </c:pt>
                <c:pt idx="144">
                  <c:v>5</c:v>
                </c:pt>
                <c:pt idx="145">
                  <c:v>5</c:v>
                </c:pt>
                <c:pt idx="146">
                  <c:v>5</c:v>
                </c:pt>
                <c:pt idx="147">
                  <c:v>5</c:v>
                </c:pt>
                <c:pt idx="148">
                  <c:v>5</c:v>
                </c:pt>
                <c:pt idx="149">
                  <c:v>5</c:v>
                </c:pt>
                <c:pt idx="150">
                  <c:v>5</c:v>
                </c:pt>
                <c:pt idx="151">
                  <c:v>5</c:v>
                </c:pt>
                <c:pt idx="152">
                  <c:v>5</c:v>
                </c:pt>
                <c:pt idx="153">
                  <c:v>5</c:v>
                </c:pt>
                <c:pt idx="154">
                  <c:v>5</c:v>
                </c:pt>
                <c:pt idx="155">
                  <c:v>5</c:v>
                </c:pt>
                <c:pt idx="156">
                  <c:v>5</c:v>
                </c:pt>
                <c:pt idx="157">
                  <c:v>5</c:v>
                </c:pt>
                <c:pt idx="158">
                  <c:v>5</c:v>
                </c:pt>
                <c:pt idx="159">
                  <c:v>5</c:v>
                </c:pt>
                <c:pt idx="160">
                  <c:v>5</c:v>
                </c:pt>
                <c:pt idx="161">
                  <c:v>5</c:v>
                </c:pt>
                <c:pt idx="162">
                  <c:v>5</c:v>
                </c:pt>
                <c:pt idx="163">
                  <c:v>5</c:v>
                </c:pt>
                <c:pt idx="164">
                  <c:v>5</c:v>
                </c:pt>
                <c:pt idx="165">
                  <c:v>5</c:v>
                </c:pt>
                <c:pt idx="166">
                  <c:v>5</c:v>
                </c:pt>
                <c:pt idx="167">
                  <c:v>5</c:v>
                </c:pt>
                <c:pt idx="168">
                  <c:v>5</c:v>
                </c:pt>
                <c:pt idx="169">
                  <c:v>5</c:v>
                </c:pt>
                <c:pt idx="170">
                  <c:v>5</c:v>
                </c:pt>
                <c:pt idx="171">
                  <c:v>5</c:v>
                </c:pt>
                <c:pt idx="172">
                  <c:v>5</c:v>
                </c:pt>
                <c:pt idx="173">
                  <c:v>5</c:v>
                </c:pt>
                <c:pt idx="174">
                  <c:v>5</c:v>
                </c:pt>
                <c:pt idx="175">
                  <c:v>5</c:v>
                </c:pt>
                <c:pt idx="176">
                  <c:v>5</c:v>
                </c:pt>
                <c:pt idx="177">
                  <c:v>5</c:v>
                </c:pt>
                <c:pt idx="178">
                  <c:v>6</c:v>
                </c:pt>
                <c:pt idx="179">
                  <c:v>6</c:v>
                </c:pt>
                <c:pt idx="180">
                  <c:v>6</c:v>
                </c:pt>
                <c:pt idx="181">
                  <c:v>6</c:v>
                </c:pt>
                <c:pt idx="182">
                  <c:v>6</c:v>
                </c:pt>
                <c:pt idx="183">
                  <c:v>6</c:v>
                </c:pt>
                <c:pt idx="184">
                  <c:v>6</c:v>
                </c:pt>
                <c:pt idx="185">
                  <c:v>6</c:v>
                </c:pt>
                <c:pt idx="186">
                  <c:v>6</c:v>
                </c:pt>
                <c:pt idx="187">
                  <c:v>6</c:v>
                </c:pt>
                <c:pt idx="188">
                  <c:v>6</c:v>
                </c:pt>
                <c:pt idx="189">
                  <c:v>6</c:v>
                </c:pt>
                <c:pt idx="190">
                  <c:v>6</c:v>
                </c:pt>
                <c:pt idx="191">
                  <c:v>6</c:v>
                </c:pt>
                <c:pt idx="192">
                  <c:v>6</c:v>
                </c:pt>
                <c:pt idx="193">
                  <c:v>6</c:v>
                </c:pt>
                <c:pt idx="194">
                  <c:v>6</c:v>
                </c:pt>
                <c:pt idx="195">
                  <c:v>6</c:v>
                </c:pt>
                <c:pt idx="196">
                  <c:v>6</c:v>
                </c:pt>
                <c:pt idx="197">
                  <c:v>6</c:v>
                </c:pt>
                <c:pt idx="198">
                  <c:v>6</c:v>
                </c:pt>
                <c:pt idx="199">
                  <c:v>6</c:v>
                </c:pt>
                <c:pt idx="200">
                  <c:v>6</c:v>
                </c:pt>
                <c:pt idx="201">
                  <c:v>6</c:v>
                </c:pt>
                <c:pt idx="202">
                  <c:v>6</c:v>
                </c:pt>
                <c:pt idx="203">
                  <c:v>6</c:v>
                </c:pt>
                <c:pt idx="204">
                  <c:v>6</c:v>
                </c:pt>
                <c:pt idx="205">
                  <c:v>6</c:v>
                </c:pt>
                <c:pt idx="206">
                  <c:v>6</c:v>
                </c:pt>
                <c:pt idx="207">
                  <c:v>6</c:v>
                </c:pt>
                <c:pt idx="208">
                  <c:v>6</c:v>
                </c:pt>
                <c:pt idx="209">
                  <c:v>6</c:v>
                </c:pt>
                <c:pt idx="210">
                  <c:v>6</c:v>
                </c:pt>
                <c:pt idx="211">
                  <c:v>6</c:v>
                </c:pt>
                <c:pt idx="212">
                  <c:v>6</c:v>
                </c:pt>
                <c:pt idx="213">
                  <c:v>6</c:v>
                </c:pt>
                <c:pt idx="214">
                  <c:v>6</c:v>
                </c:pt>
                <c:pt idx="215">
                  <c:v>6</c:v>
                </c:pt>
                <c:pt idx="216">
                  <c:v>6</c:v>
                </c:pt>
                <c:pt idx="217">
                  <c:v>6</c:v>
                </c:pt>
                <c:pt idx="218">
                  <c:v>6</c:v>
                </c:pt>
                <c:pt idx="219">
                  <c:v>6</c:v>
                </c:pt>
                <c:pt idx="220">
                  <c:v>6</c:v>
                </c:pt>
                <c:pt idx="221">
                  <c:v>6</c:v>
                </c:pt>
                <c:pt idx="222">
                  <c:v>6</c:v>
                </c:pt>
                <c:pt idx="223">
                  <c:v>6</c:v>
                </c:pt>
                <c:pt idx="224">
                  <c:v>6</c:v>
                </c:pt>
                <c:pt idx="225">
                  <c:v>6</c:v>
                </c:pt>
                <c:pt idx="226">
                  <c:v>6</c:v>
                </c:pt>
                <c:pt idx="227">
                  <c:v>6</c:v>
                </c:pt>
                <c:pt idx="228">
                  <c:v>6</c:v>
                </c:pt>
                <c:pt idx="229">
                  <c:v>6</c:v>
                </c:pt>
                <c:pt idx="230">
                  <c:v>6</c:v>
                </c:pt>
                <c:pt idx="231">
                  <c:v>6</c:v>
                </c:pt>
                <c:pt idx="232">
                  <c:v>6</c:v>
                </c:pt>
                <c:pt idx="233">
                  <c:v>6</c:v>
                </c:pt>
                <c:pt idx="234">
                  <c:v>6</c:v>
                </c:pt>
                <c:pt idx="235">
                  <c:v>6</c:v>
                </c:pt>
                <c:pt idx="236">
                  <c:v>6</c:v>
                </c:pt>
                <c:pt idx="237">
                  <c:v>6</c:v>
                </c:pt>
                <c:pt idx="238">
                  <c:v>6</c:v>
                </c:pt>
                <c:pt idx="239">
                  <c:v>6</c:v>
                </c:pt>
                <c:pt idx="240">
                  <c:v>6</c:v>
                </c:pt>
                <c:pt idx="241">
                  <c:v>6</c:v>
                </c:pt>
                <c:pt idx="242">
                  <c:v>6</c:v>
                </c:pt>
                <c:pt idx="243">
                  <c:v>6</c:v>
                </c:pt>
                <c:pt idx="244">
                  <c:v>6</c:v>
                </c:pt>
                <c:pt idx="245">
                  <c:v>6</c:v>
                </c:pt>
                <c:pt idx="246">
                  <c:v>6</c:v>
                </c:pt>
                <c:pt idx="247">
                  <c:v>6</c:v>
                </c:pt>
                <c:pt idx="248">
                  <c:v>6</c:v>
                </c:pt>
                <c:pt idx="249">
                  <c:v>6</c:v>
                </c:pt>
                <c:pt idx="250">
                  <c:v>6</c:v>
                </c:pt>
                <c:pt idx="251">
                  <c:v>6</c:v>
                </c:pt>
                <c:pt idx="252">
                  <c:v>6</c:v>
                </c:pt>
                <c:pt idx="253">
                  <c:v>6</c:v>
                </c:pt>
                <c:pt idx="254">
                  <c:v>6</c:v>
                </c:pt>
                <c:pt idx="255">
                  <c:v>6</c:v>
                </c:pt>
                <c:pt idx="256">
                  <c:v>6</c:v>
                </c:pt>
                <c:pt idx="257">
                  <c:v>6</c:v>
                </c:pt>
                <c:pt idx="258">
                  <c:v>6</c:v>
                </c:pt>
                <c:pt idx="259">
                  <c:v>6</c:v>
                </c:pt>
                <c:pt idx="260">
                  <c:v>6</c:v>
                </c:pt>
                <c:pt idx="261">
                  <c:v>6</c:v>
                </c:pt>
                <c:pt idx="262">
                  <c:v>6</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7</c:v>
                </c:pt>
                <c:pt idx="374">
                  <c:v>7</c:v>
                </c:pt>
                <c:pt idx="375">
                  <c:v>7</c:v>
                </c:pt>
                <c:pt idx="376">
                  <c:v>7</c:v>
                </c:pt>
                <c:pt idx="377">
                  <c:v>7</c:v>
                </c:pt>
                <c:pt idx="378">
                  <c:v>7</c:v>
                </c:pt>
                <c:pt idx="379">
                  <c:v>7</c:v>
                </c:pt>
                <c:pt idx="380">
                  <c:v>7</c:v>
                </c:pt>
                <c:pt idx="381">
                  <c:v>7</c:v>
                </c:pt>
                <c:pt idx="382">
                  <c:v>7</c:v>
                </c:pt>
                <c:pt idx="383">
                  <c:v>7</c:v>
                </c:pt>
                <c:pt idx="384">
                  <c:v>7</c:v>
                </c:pt>
                <c:pt idx="385">
                  <c:v>7</c:v>
                </c:pt>
                <c:pt idx="386">
                  <c:v>7</c:v>
                </c:pt>
                <c:pt idx="387">
                  <c:v>7</c:v>
                </c:pt>
                <c:pt idx="388">
                  <c:v>7</c:v>
                </c:pt>
                <c:pt idx="389">
                  <c:v>7</c:v>
                </c:pt>
                <c:pt idx="390">
                  <c:v>7</c:v>
                </c:pt>
                <c:pt idx="391">
                  <c:v>7</c:v>
                </c:pt>
                <c:pt idx="392">
                  <c:v>7</c:v>
                </c:pt>
                <c:pt idx="393">
                  <c:v>7</c:v>
                </c:pt>
                <c:pt idx="394">
                  <c:v>7</c:v>
                </c:pt>
                <c:pt idx="395">
                  <c:v>7</c:v>
                </c:pt>
                <c:pt idx="396">
                  <c:v>7</c:v>
                </c:pt>
                <c:pt idx="397">
                  <c:v>7</c:v>
                </c:pt>
                <c:pt idx="398">
                  <c:v>7</c:v>
                </c:pt>
                <c:pt idx="399">
                  <c:v>7</c:v>
                </c:pt>
                <c:pt idx="400">
                  <c:v>7</c:v>
                </c:pt>
                <c:pt idx="401">
                  <c:v>7</c:v>
                </c:pt>
                <c:pt idx="402">
                  <c:v>7</c:v>
                </c:pt>
                <c:pt idx="403">
                  <c:v>7</c:v>
                </c:pt>
                <c:pt idx="404">
                  <c:v>7</c:v>
                </c:pt>
                <c:pt idx="405">
                  <c:v>7</c:v>
                </c:pt>
                <c:pt idx="406">
                  <c:v>7</c:v>
                </c:pt>
                <c:pt idx="407">
                  <c:v>7</c:v>
                </c:pt>
                <c:pt idx="408">
                  <c:v>8</c:v>
                </c:pt>
                <c:pt idx="409">
                  <c:v>8</c:v>
                </c:pt>
                <c:pt idx="410">
                  <c:v>8</c:v>
                </c:pt>
                <c:pt idx="411">
                  <c:v>8</c:v>
                </c:pt>
                <c:pt idx="412">
                  <c:v>8</c:v>
                </c:pt>
                <c:pt idx="413">
                  <c:v>8</c:v>
                </c:pt>
                <c:pt idx="414">
                  <c:v>8</c:v>
                </c:pt>
                <c:pt idx="415">
                  <c:v>8</c:v>
                </c:pt>
                <c:pt idx="416">
                  <c:v>8</c:v>
                </c:pt>
                <c:pt idx="417">
                  <c:v>8</c:v>
                </c:pt>
                <c:pt idx="418">
                  <c:v>8</c:v>
                </c:pt>
                <c:pt idx="419">
                  <c:v>8</c:v>
                </c:pt>
                <c:pt idx="420">
                  <c:v>8</c:v>
                </c:pt>
                <c:pt idx="421">
                  <c:v>8</c:v>
                </c:pt>
                <c:pt idx="422">
                  <c:v>8</c:v>
                </c:pt>
                <c:pt idx="423">
                  <c:v>8</c:v>
                </c:pt>
                <c:pt idx="424">
                  <c:v>8</c:v>
                </c:pt>
                <c:pt idx="425">
                  <c:v>8</c:v>
                </c:pt>
                <c:pt idx="426">
                  <c:v>8</c:v>
                </c:pt>
                <c:pt idx="427">
                  <c:v>8</c:v>
                </c:pt>
                <c:pt idx="428">
                  <c:v>8</c:v>
                </c:pt>
                <c:pt idx="429">
                  <c:v>8</c:v>
                </c:pt>
                <c:pt idx="430">
                  <c:v>8</c:v>
                </c:pt>
                <c:pt idx="431">
                  <c:v>8</c:v>
                </c:pt>
                <c:pt idx="432">
                  <c:v>8</c:v>
                </c:pt>
                <c:pt idx="433">
                  <c:v>8</c:v>
                </c:pt>
                <c:pt idx="434">
                  <c:v>8</c:v>
                </c:pt>
                <c:pt idx="435">
                  <c:v>8</c:v>
                </c:pt>
                <c:pt idx="436">
                  <c:v>8</c:v>
                </c:pt>
                <c:pt idx="437">
                  <c:v>8</c:v>
                </c:pt>
                <c:pt idx="438">
                  <c:v>8</c:v>
                </c:pt>
                <c:pt idx="439">
                  <c:v>8</c:v>
                </c:pt>
                <c:pt idx="440">
                  <c:v>8</c:v>
                </c:pt>
                <c:pt idx="441">
                  <c:v>8</c:v>
                </c:pt>
                <c:pt idx="442">
                  <c:v>8</c:v>
                </c:pt>
                <c:pt idx="443">
                  <c:v>8</c:v>
                </c:pt>
                <c:pt idx="444">
                  <c:v>8</c:v>
                </c:pt>
                <c:pt idx="445">
                  <c:v>8</c:v>
                </c:pt>
                <c:pt idx="446">
                  <c:v>8</c:v>
                </c:pt>
                <c:pt idx="447">
                  <c:v>8</c:v>
                </c:pt>
                <c:pt idx="448">
                  <c:v>8</c:v>
                </c:pt>
                <c:pt idx="449">
                  <c:v>8</c:v>
                </c:pt>
                <c:pt idx="450">
                  <c:v>8</c:v>
                </c:pt>
                <c:pt idx="451">
                  <c:v>8</c:v>
                </c:pt>
                <c:pt idx="452">
                  <c:v>8</c:v>
                </c:pt>
                <c:pt idx="453">
                  <c:v>8</c:v>
                </c:pt>
                <c:pt idx="454">
                  <c:v>8</c:v>
                </c:pt>
                <c:pt idx="455">
                  <c:v>8</c:v>
                </c:pt>
                <c:pt idx="456">
                  <c:v>8</c:v>
                </c:pt>
                <c:pt idx="457">
                  <c:v>8</c:v>
                </c:pt>
                <c:pt idx="458">
                  <c:v>8</c:v>
                </c:pt>
                <c:pt idx="459">
                  <c:v>8</c:v>
                </c:pt>
                <c:pt idx="460">
                  <c:v>8</c:v>
                </c:pt>
                <c:pt idx="461">
                  <c:v>8</c:v>
                </c:pt>
                <c:pt idx="462">
                  <c:v>8</c:v>
                </c:pt>
                <c:pt idx="463">
                  <c:v>8</c:v>
                </c:pt>
                <c:pt idx="464">
                  <c:v>8</c:v>
                </c:pt>
                <c:pt idx="465">
                  <c:v>8</c:v>
                </c:pt>
                <c:pt idx="466">
                  <c:v>8</c:v>
                </c:pt>
                <c:pt idx="467">
                  <c:v>8</c:v>
                </c:pt>
                <c:pt idx="468">
                  <c:v>8</c:v>
                </c:pt>
                <c:pt idx="469">
                  <c:v>8</c:v>
                </c:pt>
                <c:pt idx="470">
                  <c:v>8</c:v>
                </c:pt>
                <c:pt idx="471">
                  <c:v>8</c:v>
                </c:pt>
                <c:pt idx="472">
                  <c:v>8</c:v>
                </c:pt>
                <c:pt idx="473">
                  <c:v>8</c:v>
                </c:pt>
                <c:pt idx="474">
                  <c:v>8</c:v>
                </c:pt>
                <c:pt idx="475">
                  <c:v>8</c:v>
                </c:pt>
                <c:pt idx="476">
                  <c:v>8</c:v>
                </c:pt>
                <c:pt idx="477">
                  <c:v>8</c:v>
                </c:pt>
                <c:pt idx="478">
                  <c:v>8</c:v>
                </c:pt>
                <c:pt idx="479">
                  <c:v>8</c:v>
                </c:pt>
                <c:pt idx="480">
                  <c:v>8</c:v>
                </c:pt>
                <c:pt idx="481">
                  <c:v>8</c:v>
                </c:pt>
                <c:pt idx="482">
                  <c:v>8</c:v>
                </c:pt>
                <c:pt idx="483">
                  <c:v>8</c:v>
                </c:pt>
                <c:pt idx="484">
                  <c:v>8</c:v>
                </c:pt>
                <c:pt idx="485">
                  <c:v>8</c:v>
                </c:pt>
                <c:pt idx="486">
                  <c:v>8</c:v>
                </c:pt>
                <c:pt idx="487">
                  <c:v>8</c:v>
                </c:pt>
                <c:pt idx="488">
                  <c:v>8</c:v>
                </c:pt>
                <c:pt idx="489">
                  <c:v>8</c:v>
                </c:pt>
                <c:pt idx="490">
                  <c:v>8</c:v>
                </c:pt>
                <c:pt idx="491">
                  <c:v>8</c:v>
                </c:pt>
                <c:pt idx="492">
                  <c:v>8</c:v>
                </c:pt>
                <c:pt idx="493">
                  <c:v>8</c:v>
                </c:pt>
                <c:pt idx="494">
                  <c:v>8</c:v>
                </c:pt>
                <c:pt idx="495">
                  <c:v>8</c:v>
                </c:pt>
                <c:pt idx="496">
                  <c:v>8</c:v>
                </c:pt>
                <c:pt idx="497">
                  <c:v>8</c:v>
                </c:pt>
                <c:pt idx="498">
                  <c:v>8</c:v>
                </c:pt>
                <c:pt idx="499">
                  <c:v>8</c:v>
                </c:pt>
                <c:pt idx="500">
                  <c:v>8</c:v>
                </c:pt>
                <c:pt idx="501">
                  <c:v>8</c:v>
                </c:pt>
                <c:pt idx="502">
                  <c:v>8</c:v>
                </c:pt>
                <c:pt idx="503">
                  <c:v>8</c:v>
                </c:pt>
                <c:pt idx="504">
                  <c:v>8</c:v>
                </c:pt>
                <c:pt idx="505">
                  <c:v>8</c:v>
                </c:pt>
                <c:pt idx="506">
                  <c:v>8</c:v>
                </c:pt>
                <c:pt idx="507">
                  <c:v>8</c:v>
                </c:pt>
                <c:pt idx="508">
                  <c:v>8</c:v>
                </c:pt>
                <c:pt idx="509">
                  <c:v>8</c:v>
                </c:pt>
                <c:pt idx="510">
                  <c:v>8</c:v>
                </c:pt>
                <c:pt idx="511">
                  <c:v>8</c:v>
                </c:pt>
                <c:pt idx="512">
                  <c:v>8</c:v>
                </c:pt>
                <c:pt idx="513">
                  <c:v>8</c:v>
                </c:pt>
                <c:pt idx="514">
                  <c:v>8</c:v>
                </c:pt>
                <c:pt idx="515">
                  <c:v>8</c:v>
                </c:pt>
                <c:pt idx="516">
                  <c:v>8</c:v>
                </c:pt>
                <c:pt idx="517">
                  <c:v>8</c:v>
                </c:pt>
                <c:pt idx="518">
                  <c:v>8</c:v>
                </c:pt>
                <c:pt idx="519">
                  <c:v>8</c:v>
                </c:pt>
                <c:pt idx="520">
                  <c:v>8</c:v>
                </c:pt>
                <c:pt idx="521">
                  <c:v>8</c:v>
                </c:pt>
                <c:pt idx="522">
                  <c:v>8</c:v>
                </c:pt>
                <c:pt idx="523">
                  <c:v>8</c:v>
                </c:pt>
                <c:pt idx="524">
                  <c:v>8</c:v>
                </c:pt>
                <c:pt idx="525">
                  <c:v>8</c:v>
                </c:pt>
                <c:pt idx="526">
                  <c:v>8</c:v>
                </c:pt>
                <c:pt idx="527">
                  <c:v>8</c:v>
                </c:pt>
                <c:pt idx="528">
                  <c:v>8</c:v>
                </c:pt>
                <c:pt idx="529">
                  <c:v>8</c:v>
                </c:pt>
                <c:pt idx="530">
                  <c:v>8</c:v>
                </c:pt>
                <c:pt idx="531">
                  <c:v>8</c:v>
                </c:pt>
                <c:pt idx="532">
                  <c:v>8</c:v>
                </c:pt>
                <c:pt idx="533">
                  <c:v>8</c:v>
                </c:pt>
                <c:pt idx="534">
                  <c:v>8</c:v>
                </c:pt>
                <c:pt idx="535">
                  <c:v>8</c:v>
                </c:pt>
                <c:pt idx="536">
                  <c:v>8</c:v>
                </c:pt>
                <c:pt idx="537">
                  <c:v>8</c:v>
                </c:pt>
                <c:pt idx="538">
                  <c:v>8</c:v>
                </c:pt>
                <c:pt idx="539">
                  <c:v>8</c:v>
                </c:pt>
                <c:pt idx="540">
                  <c:v>8</c:v>
                </c:pt>
                <c:pt idx="541">
                  <c:v>8</c:v>
                </c:pt>
                <c:pt idx="542">
                  <c:v>8</c:v>
                </c:pt>
                <c:pt idx="543">
                  <c:v>8</c:v>
                </c:pt>
                <c:pt idx="544">
                  <c:v>8</c:v>
                </c:pt>
                <c:pt idx="545">
                  <c:v>8</c:v>
                </c:pt>
                <c:pt idx="546">
                  <c:v>8</c:v>
                </c:pt>
                <c:pt idx="547">
                  <c:v>8</c:v>
                </c:pt>
                <c:pt idx="548">
                  <c:v>8</c:v>
                </c:pt>
                <c:pt idx="549">
                  <c:v>8</c:v>
                </c:pt>
                <c:pt idx="550">
                  <c:v>8</c:v>
                </c:pt>
                <c:pt idx="551">
                  <c:v>8</c:v>
                </c:pt>
                <c:pt idx="552">
                  <c:v>8</c:v>
                </c:pt>
                <c:pt idx="553">
                  <c:v>8</c:v>
                </c:pt>
                <c:pt idx="554">
                  <c:v>8</c:v>
                </c:pt>
                <c:pt idx="555">
                  <c:v>8</c:v>
                </c:pt>
                <c:pt idx="556">
                  <c:v>8</c:v>
                </c:pt>
                <c:pt idx="557">
                  <c:v>8</c:v>
                </c:pt>
                <c:pt idx="558">
                  <c:v>8</c:v>
                </c:pt>
                <c:pt idx="559">
                  <c:v>8</c:v>
                </c:pt>
                <c:pt idx="560">
                  <c:v>8</c:v>
                </c:pt>
                <c:pt idx="561">
                  <c:v>8</c:v>
                </c:pt>
                <c:pt idx="562">
                  <c:v>8</c:v>
                </c:pt>
                <c:pt idx="563">
                  <c:v>8</c:v>
                </c:pt>
                <c:pt idx="564">
                  <c:v>8</c:v>
                </c:pt>
                <c:pt idx="565">
                  <c:v>8</c:v>
                </c:pt>
                <c:pt idx="566">
                  <c:v>8</c:v>
                </c:pt>
                <c:pt idx="567">
                  <c:v>8</c:v>
                </c:pt>
                <c:pt idx="568">
                  <c:v>9</c:v>
                </c:pt>
                <c:pt idx="569">
                  <c:v>9</c:v>
                </c:pt>
                <c:pt idx="570">
                  <c:v>9</c:v>
                </c:pt>
                <c:pt idx="571">
                  <c:v>9</c:v>
                </c:pt>
                <c:pt idx="572">
                  <c:v>9</c:v>
                </c:pt>
                <c:pt idx="573">
                  <c:v>9</c:v>
                </c:pt>
                <c:pt idx="574">
                  <c:v>9</c:v>
                </c:pt>
                <c:pt idx="575">
                  <c:v>9</c:v>
                </c:pt>
                <c:pt idx="576">
                  <c:v>9</c:v>
                </c:pt>
                <c:pt idx="577">
                  <c:v>9</c:v>
                </c:pt>
                <c:pt idx="578">
                  <c:v>9</c:v>
                </c:pt>
                <c:pt idx="579">
                  <c:v>9</c:v>
                </c:pt>
                <c:pt idx="580">
                  <c:v>9</c:v>
                </c:pt>
                <c:pt idx="581">
                  <c:v>9</c:v>
                </c:pt>
                <c:pt idx="582">
                  <c:v>9</c:v>
                </c:pt>
                <c:pt idx="583">
                  <c:v>9</c:v>
                </c:pt>
                <c:pt idx="584">
                  <c:v>9</c:v>
                </c:pt>
                <c:pt idx="585">
                  <c:v>9</c:v>
                </c:pt>
                <c:pt idx="586">
                  <c:v>9</c:v>
                </c:pt>
                <c:pt idx="587">
                  <c:v>9</c:v>
                </c:pt>
                <c:pt idx="588">
                  <c:v>9</c:v>
                </c:pt>
                <c:pt idx="589">
                  <c:v>9</c:v>
                </c:pt>
                <c:pt idx="590">
                  <c:v>9</c:v>
                </c:pt>
                <c:pt idx="591">
                  <c:v>9</c:v>
                </c:pt>
                <c:pt idx="592">
                  <c:v>9</c:v>
                </c:pt>
                <c:pt idx="593">
                  <c:v>9</c:v>
                </c:pt>
                <c:pt idx="594">
                  <c:v>9</c:v>
                </c:pt>
                <c:pt idx="595">
                  <c:v>9</c:v>
                </c:pt>
                <c:pt idx="596">
                  <c:v>9</c:v>
                </c:pt>
                <c:pt idx="597">
                  <c:v>9</c:v>
                </c:pt>
                <c:pt idx="598">
                  <c:v>9</c:v>
                </c:pt>
                <c:pt idx="599">
                  <c:v>9</c:v>
                </c:pt>
                <c:pt idx="600">
                  <c:v>9</c:v>
                </c:pt>
                <c:pt idx="601">
                  <c:v>9</c:v>
                </c:pt>
                <c:pt idx="602">
                  <c:v>9</c:v>
                </c:pt>
                <c:pt idx="603">
                  <c:v>9</c:v>
                </c:pt>
                <c:pt idx="604">
                  <c:v>9</c:v>
                </c:pt>
                <c:pt idx="605">
                  <c:v>9</c:v>
                </c:pt>
                <c:pt idx="606">
                  <c:v>9</c:v>
                </c:pt>
                <c:pt idx="607">
                  <c:v>9</c:v>
                </c:pt>
                <c:pt idx="608">
                  <c:v>9</c:v>
                </c:pt>
                <c:pt idx="609">
                  <c:v>9</c:v>
                </c:pt>
                <c:pt idx="610">
                  <c:v>9</c:v>
                </c:pt>
                <c:pt idx="611">
                  <c:v>9</c:v>
                </c:pt>
                <c:pt idx="612">
                  <c:v>9</c:v>
                </c:pt>
                <c:pt idx="613">
                  <c:v>9</c:v>
                </c:pt>
                <c:pt idx="614">
                  <c:v>9</c:v>
                </c:pt>
                <c:pt idx="615">
                  <c:v>9</c:v>
                </c:pt>
                <c:pt idx="616">
                  <c:v>9</c:v>
                </c:pt>
                <c:pt idx="617">
                  <c:v>9</c:v>
                </c:pt>
                <c:pt idx="618">
                  <c:v>9</c:v>
                </c:pt>
                <c:pt idx="619">
                  <c:v>9</c:v>
                </c:pt>
                <c:pt idx="620">
                  <c:v>9</c:v>
                </c:pt>
                <c:pt idx="621">
                  <c:v>9</c:v>
                </c:pt>
                <c:pt idx="622">
                  <c:v>9</c:v>
                </c:pt>
                <c:pt idx="623">
                  <c:v>9</c:v>
                </c:pt>
                <c:pt idx="624">
                  <c:v>9</c:v>
                </c:pt>
                <c:pt idx="625">
                  <c:v>9</c:v>
                </c:pt>
                <c:pt idx="626">
                  <c:v>9</c:v>
                </c:pt>
                <c:pt idx="627">
                  <c:v>9</c:v>
                </c:pt>
                <c:pt idx="628">
                  <c:v>9</c:v>
                </c:pt>
                <c:pt idx="629">
                  <c:v>9</c:v>
                </c:pt>
                <c:pt idx="630">
                  <c:v>9</c:v>
                </c:pt>
                <c:pt idx="631">
                  <c:v>9</c:v>
                </c:pt>
                <c:pt idx="632">
                  <c:v>9</c:v>
                </c:pt>
                <c:pt idx="633">
                  <c:v>9</c:v>
                </c:pt>
                <c:pt idx="634">
                  <c:v>9</c:v>
                </c:pt>
                <c:pt idx="635">
                  <c:v>9</c:v>
                </c:pt>
                <c:pt idx="636">
                  <c:v>9</c:v>
                </c:pt>
                <c:pt idx="637">
                  <c:v>9</c:v>
                </c:pt>
                <c:pt idx="638">
                  <c:v>9</c:v>
                </c:pt>
                <c:pt idx="639">
                  <c:v>9</c:v>
                </c:pt>
                <c:pt idx="640">
                  <c:v>9</c:v>
                </c:pt>
                <c:pt idx="641">
                  <c:v>9</c:v>
                </c:pt>
                <c:pt idx="642">
                  <c:v>9</c:v>
                </c:pt>
                <c:pt idx="643">
                  <c:v>9</c:v>
                </c:pt>
                <c:pt idx="644">
                  <c:v>9</c:v>
                </c:pt>
                <c:pt idx="645">
                  <c:v>9</c:v>
                </c:pt>
                <c:pt idx="646">
                  <c:v>9</c:v>
                </c:pt>
                <c:pt idx="647">
                  <c:v>9</c:v>
                </c:pt>
                <c:pt idx="648">
                  <c:v>9</c:v>
                </c:pt>
                <c:pt idx="649">
                  <c:v>9</c:v>
                </c:pt>
                <c:pt idx="650">
                  <c:v>9</c:v>
                </c:pt>
                <c:pt idx="651">
                  <c:v>9</c:v>
                </c:pt>
                <c:pt idx="652">
                  <c:v>9</c:v>
                </c:pt>
                <c:pt idx="653">
                  <c:v>9</c:v>
                </c:pt>
                <c:pt idx="654">
                  <c:v>9</c:v>
                </c:pt>
                <c:pt idx="655">
                  <c:v>9</c:v>
                </c:pt>
                <c:pt idx="656">
                  <c:v>9</c:v>
                </c:pt>
                <c:pt idx="657">
                  <c:v>9</c:v>
                </c:pt>
                <c:pt idx="658">
                  <c:v>9</c:v>
                </c:pt>
                <c:pt idx="659">
                  <c:v>9</c:v>
                </c:pt>
                <c:pt idx="660">
                  <c:v>9</c:v>
                </c:pt>
                <c:pt idx="661">
                  <c:v>10</c:v>
                </c:pt>
                <c:pt idx="662">
                  <c:v>10</c:v>
                </c:pt>
                <c:pt idx="663">
                  <c:v>10</c:v>
                </c:pt>
                <c:pt idx="664">
                  <c:v>10</c:v>
                </c:pt>
                <c:pt idx="665">
                  <c:v>10</c:v>
                </c:pt>
                <c:pt idx="666">
                  <c:v>10</c:v>
                </c:pt>
                <c:pt idx="667">
                  <c:v>10</c:v>
                </c:pt>
                <c:pt idx="668">
                  <c:v>10</c:v>
                </c:pt>
                <c:pt idx="669">
                  <c:v>10</c:v>
                </c:pt>
                <c:pt idx="670">
                  <c:v>10</c:v>
                </c:pt>
                <c:pt idx="671">
                  <c:v>10</c:v>
                </c:pt>
                <c:pt idx="672">
                  <c:v>10</c:v>
                </c:pt>
                <c:pt idx="673">
                  <c:v>10</c:v>
                </c:pt>
                <c:pt idx="674">
                  <c:v>10</c:v>
                </c:pt>
                <c:pt idx="675">
                  <c:v>10</c:v>
                </c:pt>
                <c:pt idx="676">
                  <c:v>10</c:v>
                </c:pt>
                <c:pt idx="677">
                  <c:v>10</c:v>
                </c:pt>
                <c:pt idx="678">
                  <c:v>10</c:v>
                </c:pt>
                <c:pt idx="679">
                  <c:v>10</c:v>
                </c:pt>
                <c:pt idx="680">
                  <c:v>10</c:v>
                </c:pt>
                <c:pt idx="681">
                  <c:v>10</c:v>
                </c:pt>
                <c:pt idx="682">
                  <c:v>10</c:v>
                </c:pt>
                <c:pt idx="683">
                  <c:v>10</c:v>
                </c:pt>
                <c:pt idx="684">
                  <c:v>10</c:v>
                </c:pt>
                <c:pt idx="685">
                  <c:v>10</c:v>
                </c:pt>
                <c:pt idx="686">
                  <c:v>10</c:v>
                </c:pt>
                <c:pt idx="687">
                  <c:v>10</c:v>
                </c:pt>
                <c:pt idx="688">
                  <c:v>10</c:v>
                </c:pt>
                <c:pt idx="689">
                  <c:v>10</c:v>
                </c:pt>
                <c:pt idx="690">
                  <c:v>10</c:v>
                </c:pt>
                <c:pt idx="691">
                  <c:v>10</c:v>
                </c:pt>
                <c:pt idx="692">
                  <c:v>10</c:v>
                </c:pt>
                <c:pt idx="693">
                  <c:v>10</c:v>
                </c:pt>
                <c:pt idx="694">
                  <c:v>10</c:v>
                </c:pt>
                <c:pt idx="695">
                  <c:v>10</c:v>
                </c:pt>
                <c:pt idx="696">
                  <c:v>10</c:v>
                </c:pt>
                <c:pt idx="697">
                  <c:v>10</c:v>
                </c:pt>
                <c:pt idx="698">
                  <c:v>10</c:v>
                </c:pt>
                <c:pt idx="699">
                  <c:v>10</c:v>
                </c:pt>
                <c:pt idx="700">
                  <c:v>10</c:v>
                </c:pt>
                <c:pt idx="701">
                  <c:v>10</c:v>
                </c:pt>
                <c:pt idx="702">
                  <c:v>10</c:v>
                </c:pt>
                <c:pt idx="703">
                  <c:v>10</c:v>
                </c:pt>
                <c:pt idx="704">
                  <c:v>10</c:v>
                </c:pt>
                <c:pt idx="705">
                  <c:v>10</c:v>
                </c:pt>
                <c:pt idx="706">
                  <c:v>10</c:v>
                </c:pt>
                <c:pt idx="707">
                  <c:v>10</c:v>
                </c:pt>
                <c:pt idx="708">
                  <c:v>10</c:v>
                </c:pt>
                <c:pt idx="709">
                  <c:v>10</c:v>
                </c:pt>
                <c:pt idx="710">
                  <c:v>10</c:v>
                </c:pt>
                <c:pt idx="711">
                  <c:v>10</c:v>
                </c:pt>
                <c:pt idx="712">
                  <c:v>10</c:v>
                </c:pt>
                <c:pt idx="713">
                  <c:v>10</c:v>
                </c:pt>
                <c:pt idx="714">
                  <c:v>10</c:v>
                </c:pt>
                <c:pt idx="715">
                  <c:v>10</c:v>
                </c:pt>
                <c:pt idx="716">
                  <c:v>10</c:v>
                </c:pt>
                <c:pt idx="717">
                  <c:v>10</c:v>
                </c:pt>
                <c:pt idx="718">
                  <c:v>10</c:v>
                </c:pt>
                <c:pt idx="719">
                  <c:v>10</c:v>
                </c:pt>
                <c:pt idx="720">
                  <c:v>10</c:v>
                </c:pt>
                <c:pt idx="721">
                  <c:v>10</c:v>
                </c:pt>
                <c:pt idx="722">
                  <c:v>10</c:v>
                </c:pt>
                <c:pt idx="723">
                  <c:v>10</c:v>
                </c:pt>
                <c:pt idx="724">
                  <c:v>10</c:v>
                </c:pt>
                <c:pt idx="725">
                  <c:v>10</c:v>
                </c:pt>
                <c:pt idx="726">
                  <c:v>10</c:v>
                </c:pt>
                <c:pt idx="727">
                  <c:v>10</c:v>
                </c:pt>
                <c:pt idx="728">
                  <c:v>10</c:v>
                </c:pt>
                <c:pt idx="729">
                  <c:v>10</c:v>
                </c:pt>
                <c:pt idx="730">
                  <c:v>10</c:v>
                </c:pt>
                <c:pt idx="731">
                  <c:v>10</c:v>
                </c:pt>
                <c:pt idx="732">
                  <c:v>10</c:v>
                </c:pt>
                <c:pt idx="733">
                  <c:v>10</c:v>
                </c:pt>
                <c:pt idx="734">
                  <c:v>10</c:v>
                </c:pt>
                <c:pt idx="735">
                  <c:v>10</c:v>
                </c:pt>
                <c:pt idx="736">
                  <c:v>10</c:v>
                </c:pt>
                <c:pt idx="737">
                  <c:v>10</c:v>
                </c:pt>
                <c:pt idx="738">
                  <c:v>10</c:v>
                </c:pt>
                <c:pt idx="739">
                  <c:v>10</c:v>
                </c:pt>
                <c:pt idx="740">
                  <c:v>10</c:v>
                </c:pt>
                <c:pt idx="741">
                  <c:v>10</c:v>
                </c:pt>
                <c:pt idx="742">
                  <c:v>10</c:v>
                </c:pt>
                <c:pt idx="743">
                  <c:v>10</c:v>
                </c:pt>
                <c:pt idx="744">
                  <c:v>10</c:v>
                </c:pt>
                <c:pt idx="745">
                  <c:v>10</c:v>
                </c:pt>
                <c:pt idx="746">
                  <c:v>10</c:v>
                </c:pt>
                <c:pt idx="747">
                  <c:v>10</c:v>
                </c:pt>
                <c:pt idx="748">
                  <c:v>10</c:v>
                </c:pt>
                <c:pt idx="749">
                  <c:v>10</c:v>
                </c:pt>
                <c:pt idx="750">
                  <c:v>10</c:v>
                </c:pt>
                <c:pt idx="751">
                  <c:v>10</c:v>
                </c:pt>
                <c:pt idx="752">
                  <c:v>10</c:v>
                </c:pt>
                <c:pt idx="753">
                  <c:v>10</c:v>
                </c:pt>
                <c:pt idx="754">
                  <c:v>10</c:v>
                </c:pt>
                <c:pt idx="755">
                  <c:v>10</c:v>
                </c:pt>
                <c:pt idx="756">
                  <c:v>10</c:v>
                </c:pt>
                <c:pt idx="757">
                  <c:v>10</c:v>
                </c:pt>
                <c:pt idx="758">
                  <c:v>10</c:v>
                </c:pt>
                <c:pt idx="759">
                  <c:v>10</c:v>
                </c:pt>
                <c:pt idx="760">
                  <c:v>11</c:v>
                </c:pt>
                <c:pt idx="761">
                  <c:v>11</c:v>
                </c:pt>
                <c:pt idx="762">
                  <c:v>11</c:v>
                </c:pt>
                <c:pt idx="763">
                  <c:v>11</c:v>
                </c:pt>
                <c:pt idx="764">
                  <c:v>11</c:v>
                </c:pt>
                <c:pt idx="765">
                  <c:v>11</c:v>
                </c:pt>
                <c:pt idx="766">
                  <c:v>11</c:v>
                </c:pt>
                <c:pt idx="767">
                  <c:v>11</c:v>
                </c:pt>
                <c:pt idx="768">
                  <c:v>11</c:v>
                </c:pt>
                <c:pt idx="769">
                  <c:v>11</c:v>
                </c:pt>
                <c:pt idx="770">
                  <c:v>11</c:v>
                </c:pt>
                <c:pt idx="771">
                  <c:v>11</c:v>
                </c:pt>
                <c:pt idx="772">
                  <c:v>11</c:v>
                </c:pt>
                <c:pt idx="773">
                  <c:v>11</c:v>
                </c:pt>
                <c:pt idx="774">
                  <c:v>11</c:v>
                </c:pt>
                <c:pt idx="775">
                  <c:v>11</c:v>
                </c:pt>
                <c:pt idx="776">
                  <c:v>11</c:v>
                </c:pt>
                <c:pt idx="777">
                  <c:v>11</c:v>
                </c:pt>
                <c:pt idx="778">
                  <c:v>11</c:v>
                </c:pt>
                <c:pt idx="779">
                  <c:v>11</c:v>
                </c:pt>
                <c:pt idx="780">
                  <c:v>11</c:v>
                </c:pt>
                <c:pt idx="781">
                  <c:v>11</c:v>
                </c:pt>
                <c:pt idx="782">
                  <c:v>11</c:v>
                </c:pt>
                <c:pt idx="783">
                  <c:v>11</c:v>
                </c:pt>
                <c:pt idx="784">
                  <c:v>11</c:v>
                </c:pt>
                <c:pt idx="785">
                  <c:v>11</c:v>
                </c:pt>
                <c:pt idx="786">
                  <c:v>11</c:v>
                </c:pt>
                <c:pt idx="787">
                  <c:v>11</c:v>
                </c:pt>
                <c:pt idx="788">
                  <c:v>11</c:v>
                </c:pt>
                <c:pt idx="789">
                  <c:v>11</c:v>
                </c:pt>
                <c:pt idx="790">
                  <c:v>11</c:v>
                </c:pt>
                <c:pt idx="791">
                  <c:v>11</c:v>
                </c:pt>
                <c:pt idx="792">
                  <c:v>11</c:v>
                </c:pt>
                <c:pt idx="793">
                  <c:v>11</c:v>
                </c:pt>
                <c:pt idx="794">
                  <c:v>11</c:v>
                </c:pt>
                <c:pt idx="795">
                  <c:v>11</c:v>
                </c:pt>
                <c:pt idx="796">
                  <c:v>11</c:v>
                </c:pt>
                <c:pt idx="797">
                  <c:v>11</c:v>
                </c:pt>
                <c:pt idx="798">
                  <c:v>11</c:v>
                </c:pt>
                <c:pt idx="799">
                  <c:v>11</c:v>
                </c:pt>
                <c:pt idx="800">
                  <c:v>11</c:v>
                </c:pt>
                <c:pt idx="801">
                  <c:v>11</c:v>
                </c:pt>
                <c:pt idx="802">
                  <c:v>11</c:v>
                </c:pt>
                <c:pt idx="803">
                  <c:v>11</c:v>
                </c:pt>
                <c:pt idx="804">
                  <c:v>11</c:v>
                </c:pt>
                <c:pt idx="805">
                  <c:v>11</c:v>
                </c:pt>
                <c:pt idx="806">
                  <c:v>11</c:v>
                </c:pt>
                <c:pt idx="807">
                  <c:v>11</c:v>
                </c:pt>
                <c:pt idx="808">
                  <c:v>11</c:v>
                </c:pt>
                <c:pt idx="809">
                  <c:v>11</c:v>
                </c:pt>
                <c:pt idx="810">
                  <c:v>11</c:v>
                </c:pt>
                <c:pt idx="811">
                  <c:v>11</c:v>
                </c:pt>
                <c:pt idx="812">
                  <c:v>11</c:v>
                </c:pt>
                <c:pt idx="813">
                  <c:v>11</c:v>
                </c:pt>
                <c:pt idx="814">
                  <c:v>11</c:v>
                </c:pt>
                <c:pt idx="815">
                  <c:v>11</c:v>
                </c:pt>
                <c:pt idx="816">
                  <c:v>11</c:v>
                </c:pt>
                <c:pt idx="817">
                  <c:v>11</c:v>
                </c:pt>
                <c:pt idx="818">
                  <c:v>11</c:v>
                </c:pt>
                <c:pt idx="819">
                  <c:v>11</c:v>
                </c:pt>
                <c:pt idx="820">
                  <c:v>11</c:v>
                </c:pt>
                <c:pt idx="821">
                  <c:v>11</c:v>
                </c:pt>
                <c:pt idx="822">
                  <c:v>11</c:v>
                </c:pt>
                <c:pt idx="823">
                  <c:v>11</c:v>
                </c:pt>
                <c:pt idx="824">
                  <c:v>11</c:v>
                </c:pt>
                <c:pt idx="825">
                  <c:v>11</c:v>
                </c:pt>
                <c:pt idx="826">
                  <c:v>11</c:v>
                </c:pt>
                <c:pt idx="827">
                  <c:v>11</c:v>
                </c:pt>
                <c:pt idx="828">
                  <c:v>11</c:v>
                </c:pt>
                <c:pt idx="829">
                  <c:v>11</c:v>
                </c:pt>
                <c:pt idx="830">
                  <c:v>11</c:v>
                </c:pt>
                <c:pt idx="831">
                  <c:v>11</c:v>
                </c:pt>
                <c:pt idx="832">
                  <c:v>11</c:v>
                </c:pt>
                <c:pt idx="833">
                  <c:v>11</c:v>
                </c:pt>
                <c:pt idx="834">
                  <c:v>11</c:v>
                </c:pt>
                <c:pt idx="835">
                  <c:v>11</c:v>
                </c:pt>
                <c:pt idx="836">
                  <c:v>11</c:v>
                </c:pt>
                <c:pt idx="837">
                  <c:v>11</c:v>
                </c:pt>
                <c:pt idx="838">
                  <c:v>11</c:v>
                </c:pt>
                <c:pt idx="839">
                  <c:v>11</c:v>
                </c:pt>
                <c:pt idx="840">
                  <c:v>11</c:v>
                </c:pt>
                <c:pt idx="841">
                  <c:v>11</c:v>
                </c:pt>
                <c:pt idx="842">
                  <c:v>11</c:v>
                </c:pt>
                <c:pt idx="843">
                  <c:v>11</c:v>
                </c:pt>
                <c:pt idx="844">
                  <c:v>11</c:v>
                </c:pt>
                <c:pt idx="845">
                  <c:v>11</c:v>
                </c:pt>
                <c:pt idx="846">
                  <c:v>11</c:v>
                </c:pt>
                <c:pt idx="847">
                  <c:v>11</c:v>
                </c:pt>
                <c:pt idx="848">
                  <c:v>11</c:v>
                </c:pt>
                <c:pt idx="849">
                  <c:v>11</c:v>
                </c:pt>
                <c:pt idx="850">
                  <c:v>11</c:v>
                </c:pt>
                <c:pt idx="851">
                  <c:v>11</c:v>
                </c:pt>
                <c:pt idx="852">
                  <c:v>11</c:v>
                </c:pt>
                <c:pt idx="853">
                  <c:v>11</c:v>
                </c:pt>
                <c:pt idx="854">
                  <c:v>11</c:v>
                </c:pt>
                <c:pt idx="855">
                  <c:v>11</c:v>
                </c:pt>
                <c:pt idx="856">
                  <c:v>11</c:v>
                </c:pt>
                <c:pt idx="857">
                  <c:v>11</c:v>
                </c:pt>
                <c:pt idx="858">
                  <c:v>11</c:v>
                </c:pt>
                <c:pt idx="859">
                  <c:v>11</c:v>
                </c:pt>
                <c:pt idx="860">
                  <c:v>11</c:v>
                </c:pt>
                <c:pt idx="861">
                  <c:v>11</c:v>
                </c:pt>
                <c:pt idx="862">
                  <c:v>11</c:v>
                </c:pt>
                <c:pt idx="863">
                  <c:v>11</c:v>
                </c:pt>
                <c:pt idx="864">
                  <c:v>11</c:v>
                </c:pt>
                <c:pt idx="865">
                  <c:v>11</c:v>
                </c:pt>
                <c:pt idx="866">
                  <c:v>11</c:v>
                </c:pt>
                <c:pt idx="867">
                  <c:v>11</c:v>
                </c:pt>
                <c:pt idx="868">
                  <c:v>11</c:v>
                </c:pt>
                <c:pt idx="869">
                  <c:v>11</c:v>
                </c:pt>
                <c:pt idx="870">
                  <c:v>11</c:v>
                </c:pt>
                <c:pt idx="871">
                  <c:v>11</c:v>
                </c:pt>
                <c:pt idx="872">
                  <c:v>11</c:v>
                </c:pt>
                <c:pt idx="873">
                  <c:v>11</c:v>
                </c:pt>
                <c:pt idx="874">
                  <c:v>11</c:v>
                </c:pt>
                <c:pt idx="875">
                  <c:v>11</c:v>
                </c:pt>
                <c:pt idx="876">
                  <c:v>11</c:v>
                </c:pt>
                <c:pt idx="877">
                  <c:v>11</c:v>
                </c:pt>
                <c:pt idx="878">
                  <c:v>11</c:v>
                </c:pt>
                <c:pt idx="879">
                  <c:v>11</c:v>
                </c:pt>
                <c:pt idx="880">
                  <c:v>11</c:v>
                </c:pt>
                <c:pt idx="881">
                  <c:v>11</c:v>
                </c:pt>
                <c:pt idx="882">
                  <c:v>11</c:v>
                </c:pt>
                <c:pt idx="883">
                  <c:v>11</c:v>
                </c:pt>
                <c:pt idx="884">
                  <c:v>11</c:v>
                </c:pt>
                <c:pt idx="885">
                  <c:v>11</c:v>
                </c:pt>
                <c:pt idx="886">
                  <c:v>11</c:v>
                </c:pt>
                <c:pt idx="887">
                  <c:v>11</c:v>
                </c:pt>
                <c:pt idx="888">
                  <c:v>11</c:v>
                </c:pt>
                <c:pt idx="889">
                  <c:v>11</c:v>
                </c:pt>
                <c:pt idx="890">
                  <c:v>11</c:v>
                </c:pt>
                <c:pt idx="891">
                  <c:v>11</c:v>
                </c:pt>
                <c:pt idx="892">
                  <c:v>11</c:v>
                </c:pt>
                <c:pt idx="893">
                  <c:v>11</c:v>
                </c:pt>
                <c:pt idx="894">
                  <c:v>11</c:v>
                </c:pt>
                <c:pt idx="895">
                  <c:v>11</c:v>
                </c:pt>
                <c:pt idx="896">
                  <c:v>11</c:v>
                </c:pt>
                <c:pt idx="897">
                  <c:v>11</c:v>
                </c:pt>
                <c:pt idx="898">
                  <c:v>11</c:v>
                </c:pt>
                <c:pt idx="899">
                  <c:v>11</c:v>
                </c:pt>
                <c:pt idx="900">
                  <c:v>11</c:v>
                </c:pt>
                <c:pt idx="901">
                  <c:v>11</c:v>
                </c:pt>
                <c:pt idx="902">
                  <c:v>11</c:v>
                </c:pt>
                <c:pt idx="903">
                  <c:v>11</c:v>
                </c:pt>
                <c:pt idx="904">
                  <c:v>11</c:v>
                </c:pt>
                <c:pt idx="905">
                  <c:v>11</c:v>
                </c:pt>
                <c:pt idx="906">
                  <c:v>11</c:v>
                </c:pt>
                <c:pt idx="907">
                  <c:v>11</c:v>
                </c:pt>
                <c:pt idx="908">
                  <c:v>11</c:v>
                </c:pt>
                <c:pt idx="909">
                  <c:v>11</c:v>
                </c:pt>
                <c:pt idx="910">
                  <c:v>11</c:v>
                </c:pt>
                <c:pt idx="911">
                  <c:v>11</c:v>
                </c:pt>
                <c:pt idx="912">
                  <c:v>11</c:v>
                </c:pt>
                <c:pt idx="913">
                  <c:v>11</c:v>
                </c:pt>
                <c:pt idx="914">
                  <c:v>11</c:v>
                </c:pt>
                <c:pt idx="915">
                  <c:v>11</c:v>
                </c:pt>
                <c:pt idx="916">
                  <c:v>11</c:v>
                </c:pt>
                <c:pt idx="917">
                  <c:v>11</c:v>
                </c:pt>
                <c:pt idx="918">
                  <c:v>11</c:v>
                </c:pt>
                <c:pt idx="919">
                  <c:v>12</c:v>
                </c:pt>
                <c:pt idx="920">
                  <c:v>12</c:v>
                </c:pt>
                <c:pt idx="921">
                  <c:v>12</c:v>
                </c:pt>
                <c:pt idx="922">
                  <c:v>12</c:v>
                </c:pt>
                <c:pt idx="923">
                  <c:v>12</c:v>
                </c:pt>
                <c:pt idx="924">
                  <c:v>12</c:v>
                </c:pt>
                <c:pt idx="925">
                  <c:v>12</c:v>
                </c:pt>
                <c:pt idx="926">
                  <c:v>12</c:v>
                </c:pt>
                <c:pt idx="927">
                  <c:v>12</c:v>
                </c:pt>
                <c:pt idx="928">
                  <c:v>12</c:v>
                </c:pt>
                <c:pt idx="929">
                  <c:v>12</c:v>
                </c:pt>
                <c:pt idx="930">
                  <c:v>12</c:v>
                </c:pt>
                <c:pt idx="931">
                  <c:v>12</c:v>
                </c:pt>
                <c:pt idx="932">
                  <c:v>12</c:v>
                </c:pt>
                <c:pt idx="933">
                  <c:v>12</c:v>
                </c:pt>
                <c:pt idx="934">
                  <c:v>12</c:v>
                </c:pt>
                <c:pt idx="935">
                  <c:v>12</c:v>
                </c:pt>
                <c:pt idx="936">
                  <c:v>12</c:v>
                </c:pt>
                <c:pt idx="937">
                  <c:v>12</c:v>
                </c:pt>
                <c:pt idx="938">
                  <c:v>12</c:v>
                </c:pt>
                <c:pt idx="939">
                  <c:v>12</c:v>
                </c:pt>
                <c:pt idx="940">
                  <c:v>12</c:v>
                </c:pt>
                <c:pt idx="941">
                  <c:v>12</c:v>
                </c:pt>
                <c:pt idx="942">
                  <c:v>12</c:v>
                </c:pt>
                <c:pt idx="943">
                  <c:v>12</c:v>
                </c:pt>
                <c:pt idx="944">
                  <c:v>12</c:v>
                </c:pt>
                <c:pt idx="945">
                  <c:v>12</c:v>
                </c:pt>
                <c:pt idx="946">
                  <c:v>12</c:v>
                </c:pt>
                <c:pt idx="947">
                  <c:v>12</c:v>
                </c:pt>
                <c:pt idx="948">
                  <c:v>12</c:v>
                </c:pt>
                <c:pt idx="949">
                  <c:v>12</c:v>
                </c:pt>
                <c:pt idx="950">
                  <c:v>12</c:v>
                </c:pt>
                <c:pt idx="951">
                  <c:v>12</c:v>
                </c:pt>
                <c:pt idx="952">
                  <c:v>12</c:v>
                </c:pt>
                <c:pt idx="953">
                  <c:v>12</c:v>
                </c:pt>
                <c:pt idx="954">
                  <c:v>12</c:v>
                </c:pt>
                <c:pt idx="955">
                  <c:v>12</c:v>
                </c:pt>
                <c:pt idx="956">
                  <c:v>12</c:v>
                </c:pt>
                <c:pt idx="957">
                  <c:v>12</c:v>
                </c:pt>
                <c:pt idx="958">
                  <c:v>12</c:v>
                </c:pt>
                <c:pt idx="959">
                  <c:v>12</c:v>
                </c:pt>
                <c:pt idx="960">
                  <c:v>12</c:v>
                </c:pt>
                <c:pt idx="961">
                  <c:v>12</c:v>
                </c:pt>
                <c:pt idx="962">
                  <c:v>12</c:v>
                </c:pt>
                <c:pt idx="963">
                  <c:v>12</c:v>
                </c:pt>
                <c:pt idx="964">
                  <c:v>12</c:v>
                </c:pt>
                <c:pt idx="965">
                  <c:v>12</c:v>
                </c:pt>
                <c:pt idx="966">
                  <c:v>12</c:v>
                </c:pt>
                <c:pt idx="967">
                  <c:v>12</c:v>
                </c:pt>
                <c:pt idx="968">
                  <c:v>12</c:v>
                </c:pt>
                <c:pt idx="969">
                  <c:v>12</c:v>
                </c:pt>
                <c:pt idx="970">
                  <c:v>12</c:v>
                </c:pt>
                <c:pt idx="971">
                  <c:v>12</c:v>
                </c:pt>
                <c:pt idx="972">
                  <c:v>12</c:v>
                </c:pt>
                <c:pt idx="973">
                  <c:v>12</c:v>
                </c:pt>
                <c:pt idx="974">
                  <c:v>12</c:v>
                </c:pt>
                <c:pt idx="975">
                  <c:v>12</c:v>
                </c:pt>
                <c:pt idx="976">
                  <c:v>12</c:v>
                </c:pt>
                <c:pt idx="977">
                  <c:v>12</c:v>
                </c:pt>
                <c:pt idx="978">
                  <c:v>12</c:v>
                </c:pt>
                <c:pt idx="979">
                  <c:v>12</c:v>
                </c:pt>
                <c:pt idx="980">
                  <c:v>12</c:v>
                </c:pt>
                <c:pt idx="981">
                  <c:v>12</c:v>
                </c:pt>
                <c:pt idx="982">
                  <c:v>12</c:v>
                </c:pt>
                <c:pt idx="983">
                  <c:v>12</c:v>
                </c:pt>
                <c:pt idx="984">
                  <c:v>12</c:v>
                </c:pt>
                <c:pt idx="985">
                  <c:v>12</c:v>
                </c:pt>
                <c:pt idx="986">
                  <c:v>12</c:v>
                </c:pt>
                <c:pt idx="987">
                  <c:v>12</c:v>
                </c:pt>
                <c:pt idx="988">
                  <c:v>12</c:v>
                </c:pt>
                <c:pt idx="989">
                  <c:v>12</c:v>
                </c:pt>
                <c:pt idx="990">
                  <c:v>12</c:v>
                </c:pt>
                <c:pt idx="991">
                  <c:v>12</c:v>
                </c:pt>
                <c:pt idx="992">
                  <c:v>12</c:v>
                </c:pt>
                <c:pt idx="993">
                  <c:v>12</c:v>
                </c:pt>
                <c:pt idx="994">
                  <c:v>12</c:v>
                </c:pt>
                <c:pt idx="995">
                  <c:v>12</c:v>
                </c:pt>
                <c:pt idx="996">
                  <c:v>12</c:v>
                </c:pt>
                <c:pt idx="997">
                  <c:v>12</c:v>
                </c:pt>
                <c:pt idx="998">
                  <c:v>12</c:v>
                </c:pt>
                <c:pt idx="999">
                  <c:v>12</c:v>
                </c:pt>
                <c:pt idx="1000">
                  <c:v>12</c:v>
                </c:pt>
                <c:pt idx="1001">
                  <c:v>12</c:v>
                </c:pt>
                <c:pt idx="1002">
                  <c:v>12</c:v>
                </c:pt>
                <c:pt idx="1003">
                  <c:v>12</c:v>
                </c:pt>
                <c:pt idx="1004">
                  <c:v>12</c:v>
                </c:pt>
                <c:pt idx="1005">
                  <c:v>12</c:v>
                </c:pt>
                <c:pt idx="1006">
                  <c:v>12</c:v>
                </c:pt>
                <c:pt idx="1007">
                  <c:v>12</c:v>
                </c:pt>
                <c:pt idx="1008">
                  <c:v>12</c:v>
                </c:pt>
                <c:pt idx="1009">
                  <c:v>12</c:v>
                </c:pt>
                <c:pt idx="1010">
                  <c:v>12</c:v>
                </c:pt>
                <c:pt idx="1011">
                  <c:v>12</c:v>
                </c:pt>
                <c:pt idx="1012">
                  <c:v>12</c:v>
                </c:pt>
                <c:pt idx="1013">
                  <c:v>12</c:v>
                </c:pt>
                <c:pt idx="1014">
                  <c:v>12</c:v>
                </c:pt>
                <c:pt idx="1015">
                  <c:v>12</c:v>
                </c:pt>
                <c:pt idx="1016">
                  <c:v>12</c:v>
                </c:pt>
                <c:pt idx="1017">
                  <c:v>12</c:v>
                </c:pt>
                <c:pt idx="1018">
                  <c:v>12</c:v>
                </c:pt>
                <c:pt idx="1019">
                  <c:v>12</c:v>
                </c:pt>
                <c:pt idx="1020">
                  <c:v>12</c:v>
                </c:pt>
                <c:pt idx="1021">
                  <c:v>12</c:v>
                </c:pt>
                <c:pt idx="1022">
                  <c:v>12</c:v>
                </c:pt>
                <c:pt idx="1023">
                  <c:v>12</c:v>
                </c:pt>
                <c:pt idx="1024">
                  <c:v>12</c:v>
                </c:pt>
                <c:pt idx="1025">
                  <c:v>12</c:v>
                </c:pt>
                <c:pt idx="1026">
                  <c:v>12</c:v>
                </c:pt>
                <c:pt idx="1027">
                  <c:v>12</c:v>
                </c:pt>
                <c:pt idx="1028">
                  <c:v>12</c:v>
                </c:pt>
                <c:pt idx="1029">
                  <c:v>12</c:v>
                </c:pt>
                <c:pt idx="1030">
                  <c:v>12</c:v>
                </c:pt>
                <c:pt idx="1031">
                  <c:v>12</c:v>
                </c:pt>
                <c:pt idx="1032">
                  <c:v>12</c:v>
                </c:pt>
                <c:pt idx="1033">
                  <c:v>12</c:v>
                </c:pt>
                <c:pt idx="1034">
                  <c:v>12</c:v>
                </c:pt>
                <c:pt idx="1035">
                  <c:v>12</c:v>
                </c:pt>
                <c:pt idx="1036">
                  <c:v>12</c:v>
                </c:pt>
                <c:pt idx="1037">
                  <c:v>12</c:v>
                </c:pt>
                <c:pt idx="1038">
                  <c:v>12</c:v>
                </c:pt>
                <c:pt idx="1039">
                  <c:v>12</c:v>
                </c:pt>
                <c:pt idx="1040">
                  <c:v>12</c:v>
                </c:pt>
                <c:pt idx="1041">
                  <c:v>12</c:v>
                </c:pt>
                <c:pt idx="1042">
                  <c:v>13</c:v>
                </c:pt>
                <c:pt idx="1043">
                  <c:v>13</c:v>
                </c:pt>
                <c:pt idx="1044">
                  <c:v>13</c:v>
                </c:pt>
                <c:pt idx="1045">
                  <c:v>13</c:v>
                </c:pt>
                <c:pt idx="1046">
                  <c:v>13</c:v>
                </c:pt>
                <c:pt idx="1047">
                  <c:v>13</c:v>
                </c:pt>
                <c:pt idx="1048">
                  <c:v>13</c:v>
                </c:pt>
                <c:pt idx="1049">
                  <c:v>13</c:v>
                </c:pt>
                <c:pt idx="1050">
                  <c:v>13</c:v>
                </c:pt>
                <c:pt idx="1051">
                  <c:v>13</c:v>
                </c:pt>
                <c:pt idx="1052">
                  <c:v>13</c:v>
                </c:pt>
                <c:pt idx="1053">
                  <c:v>13</c:v>
                </c:pt>
                <c:pt idx="1054">
                  <c:v>13</c:v>
                </c:pt>
                <c:pt idx="1055">
                  <c:v>13</c:v>
                </c:pt>
                <c:pt idx="1056">
                  <c:v>13</c:v>
                </c:pt>
                <c:pt idx="1057">
                  <c:v>13</c:v>
                </c:pt>
                <c:pt idx="1058">
                  <c:v>13</c:v>
                </c:pt>
                <c:pt idx="1059">
                  <c:v>13</c:v>
                </c:pt>
                <c:pt idx="1060">
                  <c:v>13</c:v>
                </c:pt>
                <c:pt idx="1061">
                  <c:v>13</c:v>
                </c:pt>
                <c:pt idx="1062">
                  <c:v>13</c:v>
                </c:pt>
                <c:pt idx="1063">
                  <c:v>13</c:v>
                </c:pt>
                <c:pt idx="1064">
                  <c:v>13</c:v>
                </c:pt>
                <c:pt idx="1065">
                  <c:v>13</c:v>
                </c:pt>
                <c:pt idx="1066">
                  <c:v>13</c:v>
                </c:pt>
                <c:pt idx="1067">
                  <c:v>13</c:v>
                </c:pt>
                <c:pt idx="1068">
                  <c:v>13</c:v>
                </c:pt>
                <c:pt idx="1069">
                  <c:v>13</c:v>
                </c:pt>
                <c:pt idx="1070">
                  <c:v>13</c:v>
                </c:pt>
                <c:pt idx="1071">
                  <c:v>13</c:v>
                </c:pt>
                <c:pt idx="1072">
                  <c:v>13</c:v>
                </c:pt>
                <c:pt idx="1073">
                  <c:v>13</c:v>
                </c:pt>
                <c:pt idx="1074">
                  <c:v>13</c:v>
                </c:pt>
                <c:pt idx="1075">
                  <c:v>13</c:v>
                </c:pt>
                <c:pt idx="1076">
                  <c:v>13</c:v>
                </c:pt>
                <c:pt idx="1077">
                  <c:v>13</c:v>
                </c:pt>
                <c:pt idx="1078">
                  <c:v>13</c:v>
                </c:pt>
                <c:pt idx="1079">
                  <c:v>13</c:v>
                </c:pt>
                <c:pt idx="1080">
                  <c:v>13</c:v>
                </c:pt>
                <c:pt idx="1081">
                  <c:v>13</c:v>
                </c:pt>
                <c:pt idx="1082">
                  <c:v>13</c:v>
                </c:pt>
                <c:pt idx="1083">
                  <c:v>13</c:v>
                </c:pt>
                <c:pt idx="1084">
                  <c:v>13</c:v>
                </c:pt>
                <c:pt idx="1085">
                  <c:v>13</c:v>
                </c:pt>
                <c:pt idx="1086">
                  <c:v>13</c:v>
                </c:pt>
                <c:pt idx="1087">
                  <c:v>13</c:v>
                </c:pt>
                <c:pt idx="1088">
                  <c:v>13</c:v>
                </c:pt>
                <c:pt idx="1089">
                  <c:v>13</c:v>
                </c:pt>
                <c:pt idx="1090">
                  <c:v>13</c:v>
                </c:pt>
                <c:pt idx="1091">
                  <c:v>13</c:v>
                </c:pt>
                <c:pt idx="1092">
                  <c:v>13</c:v>
                </c:pt>
                <c:pt idx="1093">
                  <c:v>13</c:v>
                </c:pt>
                <c:pt idx="1094">
                  <c:v>13</c:v>
                </c:pt>
                <c:pt idx="1095">
                  <c:v>13</c:v>
                </c:pt>
                <c:pt idx="1096">
                  <c:v>13</c:v>
                </c:pt>
                <c:pt idx="1097">
                  <c:v>13</c:v>
                </c:pt>
                <c:pt idx="1098">
                  <c:v>13</c:v>
                </c:pt>
                <c:pt idx="1099">
                  <c:v>13</c:v>
                </c:pt>
                <c:pt idx="1100">
                  <c:v>13</c:v>
                </c:pt>
              </c:numCache>
            </c:numRef>
          </c:xVal>
          <c:yVal>
            <c:numRef>
              <c:f>'LCOE of Utility-Scale PV'!$Q$27:$Q$1127</c:f>
              <c:numCache>
                <c:formatCode>0.0</c:formatCode>
                <c:ptCount val="1101"/>
                <c:pt idx="0">
                  <c:v>201.58203477241332</c:v>
                </c:pt>
                <c:pt idx="1">
                  <c:v>402.03884574192563</c:v>
                </c:pt>
                <c:pt idx="2">
                  <c:v>339.42989580784513</c:v>
                </c:pt>
                <c:pt idx="3">
                  <c:v>471.74914456714674</c:v>
                </c:pt>
                <c:pt idx="4">
                  <c:v>327.75500976466185</c:v>
                </c:pt>
                <c:pt idx="5">
                  <c:v>312.01878613365096</c:v>
                </c:pt>
                <c:pt idx="6">
                  <c:v>181.34171702556537</c:v>
                </c:pt>
                <c:pt idx="7">
                  <c:v>162.95088851421968</c:v>
                </c:pt>
                <c:pt idx="8">
                  <c:v>382.88537147453235</c:v>
                </c:pt>
                <c:pt idx="9">
                  <c:v>289.15504413073393</c:v>
                </c:pt>
                <c:pt idx="10">
                  <c:v>197.91306584071168</c:v>
                </c:pt>
                <c:pt idx="11">
                  <c:v>255.59522202209678</c:v>
                </c:pt>
                <c:pt idx="12">
                  <c:v>173.78556473576958</c:v>
                </c:pt>
                <c:pt idx="13">
                  <c:v>226.82979855851804</c:v>
                </c:pt>
                <c:pt idx="14">
                  <c:v>197.53050324541792</c:v>
                </c:pt>
                <c:pt idx="15">
                  <c:v>176.87607795706373</c:v>
                </c:pt>
                <c:pt idx="16">
                  <c:v>254.33929662024363</c:v>
                </c:pt>
                <c:pt idx="17">
                  <c:v>246.96461681451706</c:v>
                </c:pt>
                <c:pt idx="18">
                  <c:v>224.43178894227557</c:v>
                </c:pt>
                <c:pt idx="19">
                  <c:v>235.77893889808814</c:v>
                </c:pt>
                <c:pt idx="20">
                  <c:v>219.62588738357394</c:v>
                </c:pt>
                <c:pt idx="21">
                  <c:v>200.17870003880429</c:v>
                </c:pt>
                <c:pt idx="22">
                  <c:v>242.34533935279575</c:v>
                </c:pt>
                <c:pt idx="23">
                  <c:v>225.05247481050421</c:v>
                </c:pt>
                <c:pt idx="24">
                  <c:v>312.55499470174988</c:v>
                </c:pt>
                <c:pt idx="25">
                  <c:v>180.6096492300978</c:v>
                </c:pt>
                <c:pt idx="26">
                  <c:v>279.36675558563536</c:v>
                </c:pt>
                <c:pt idx="27">
                  <c:v>256.26435409968627</c:v>
                </c:pt>
                <c:pt idx="28">
                  <c:v>286.17455977044443</c:v>
                </c:pt>
                <c:pt idx="29">
                  <c:v>357.62763447903541</c:v>
                </c:pt>
                <c:pt idx="30">
                  <c:v>331.82675349275274</c:v>
                </c:pt>
                <c:pt idx="31">
                  <c:v>314.54565173532563</c:v>
                </c:pt>
                <c:pt idx="32">
                  <c:v>156.67394560330573</c:v>
                </c:pt>
                <c:pt idx="33">
                  <c:v>177.66346273516808</c:v>
                </c:pt>
                <c:pt idx="34">
                  <c:v>158.54799133359674</c:v>
                </c:pt>
                <c:pt idx="35">
                  <c:v>317.89021045103294</c:v>
                </c:pt>
                <c:pt idx="36">
                  <c:v>220.72503265703023</c:v>
                </c:pt>
                <c:pt idx="37">
                  <c:v>218.22065910595504</c:v>
                </c:pt>
                <c:pt idx="38">
                  <c:v>118.77140873079193</c:v>
                </c:pt>
                <c:pt idx="39">
                  <c:v>164.37200239075008</c:v>
                </c:pt>
                <c:pt idx="40">
                  <c:v>194.27680445688065</c:v>
                </c:pt>
                <c:pt idx="41">
                  <c:v>150.58330741789493</c:v>
                </c:pt>
                <c:pt idx="42">
                  <c:v>124.42627463098869</c:v>
                </c:pt>
                <c:pt idx="43">
                  <c:v>159.36740795934551</c:v>
                </c:pt>
                <c:pt idx="44">
                  <c:v>166.43764596367069</c:v>
                </c:pt>
                <c:pt idx="45">
                  <c:v>160.47015840052919</c:v>
                </c:pt>
                <c:pt idx="46">
                  <c:v>160.93290299214937</c:v>
                </c:pt>
                <c:pt idx="47">
                  <c:v>155.06407573972771</c:v>
                </c:pt>
                <c:pt idx="48">
                  <c:v>190.09045808746205</c:v>
                </c:pt>
                <c:pt idx="49">
                  <c:v>190.38529967203803</c:v>
                </c:pt>
                <c:pt idx="50">
                  <c:v>213.06889983021281</c:v>
                </c:pt>
                <c:pt idx="51">
                  <c:v>354.52091845240176</c:v>
                </c:pt>
                <c:pt idx="52">
                  <c:v>179.32483651436112</c:v>
                </c:pt>
                <c:pt idx="53">
                  <c:v>174.15677557871538</c:v>
                </c:pt>
                <c:pt idx="54">
                  <c:v>184.42768822686193</c:v>
                </c:pt>
                <c:pt idx="55">
                  <c:v>199.31132933758585</c:v>
                </c:pt>
                <c:pt idx="56">
                  <c:v>194.41699130688309</c:v>
                </c:pt>
                <c:pt idx="57">
                  <c:v>246.09563423294804</c:v>
                </c:pt>
                <c:pt idx="58">
                  <c:v>242.10339872422239</c:v>
                </c:pt>
                <c:pt idx="59">
                  <c:v>247.43148070757877</c:v>
                </c:pt>
                <c:pt idx="60">
                  <c:v>230.14836370161527</c:v>
                </c:pt>
                <c:pt idx="61">
                  <c:v>304.2765259966485</c:v>
                </c:pt>
                <c:pt idx="62">
                  <c:v>220.43699204403552</c:v>
                </c:pt>
                <c:pt idx="63">
                  <c:v>188.58731310337166</c:v>
                </c:pt>
                <c:pt idx="64">
                  <c:v>317.70911761800835</c:v>
                </c:pt>
                <c:pt idx="65">
                  <c:v>198.99525993719928</c:v>
                </c:pt>
                <c:pt idx="66">
                  <c:v>292.54157930052349</c:v>
                </c:pt>
                <c:pt idx="67">
                  <c:v>170.05614318017979</c:v>
                </c:pt>
                <c:pt idx="68">
                  <c:v>197.85462477938469</c:v>
                </c:pt>
                <c:pt idx="69">
                  <c:v>76.356428679250271</c:v>
                </c:pt>
                <c:pt idx="70">
                  <c:v>163.00971444265141</c:v>
                </c:pt>
                <c:pt idx="71">
                  <c:v>189.88950440627789</c:v>
                </c:pt>
                <c:pt idx="72">
                  <c:v>330.59876600116178</c:v>
                </c:pt>
                <c:pt idx="73">
                  <c:v>224.55119946500665</c:v>
                </c:pt>
                <c:pt idx="74">
                  <c:v>263.91629570200536</c:v>
                </c:pt>
                <c:pt idx="75">
                  <c:v>278.02999163519161</c:v>
                </c:pt>
                <c:pt idx="76">
                  <c:v>269.47397141865548</c:v>
                </c:pt>
                <c:pt idx="77">
                  <c:v>138.13125472496944</c:v>
                </c:pt>
                <c:pt idx="78">
                  <c:v>148.20554586246547</c:v>
                </c:pt>
                <c:pt idx="79">
                  <c:v>124.27683137331104</c:v>
                </c:pt>
                <c:pt idx="80">
                  <c:v>163.81012295868103</c:v>
                </c:pt>
                <c:pt idx="81">
                  <c:v>122.05729741074018</c:v>
                </c:pt>
                <c:pt idx="82">
                  <c:v>90.558292000010212</c:v>
                </c:pt>
                <c:pt idx="83">
                  <c:v>170.26385665173265</c:v>
                </c:pt>
                <c:pt idx="84">
                  <c:v>159.41624965709283</c:v>
                </c:pt>
                <c:pt idx="85">
                  <c:v>206.95861957337891</c:v>
                </c:pt>
                <c:pt idx="86">
                  <c:v>144.39299212259721</c:v>
                </c:pt>
                <c:pt idx="87">
                  <c:v>146.45599088775128</c:v>
                </c:pt>
                <c:pt idx="88">
                  <c:v>131.18129316202385</c:v>
                </c:pt>
                <c:pt idx="89">
                  <c:v>120.83363685338207</c:v>
                </c:pt>
                <c:pt idx="90">
                  <c:v>131.27836640878562</c:v>
                </c:pt>
                <c:pt idx="91">
                  <c:v>210.35247641208264</c:v>
                </c:pt>
                <c:pt idx="92">
                  <c:v>214.61295846420694</c:v>
                </c:pt>
                <c:pt idx="93">
                  <c:v>111.30776880096603</c:v>
                </c:pt>
                <c:pt idx="94">
                  <c:v>121.96385547904332</c:v>
                </c:pt>
                <c:pt idx="95">
                  <c:v>484.00750694970219</c:v>
                </c:pt>
                <c:pt idx="96">
                  <c:v>142.58893963567812</c:v>
                </c:pt>
                <c:pt idx="97">
                  <c:v>126.01860671820845</c:v>
                </c:pt>
                <c:pt idx="98">
                  <c:v>135.08580291417775</c:v>
                </c:pt>
                <c:pt idx="99">
                  <c:v>175.51652637628112</c:v>
                </c:pt>
                <c:pt idx="100">
                  <c:v>133.00741724356334</c:v>
                </c:pt>
                <c:pt idx="101">
                  <c:v>205.97214149543854</c:v>
                </c:pt>
                <c:pt idx="102">
                  <c:v>170.62364753833293</c:v>
                </c:pt>
                <c:pt idx="103">
                  <c:v>228.2439606138791</c:v>
                </c:pt>
                <c:pt idx="104">
                  <c:v>184.42236772416479</c:v>
                </c:pt>
                <c:pt idx="105">
                  <c:v>186.10051776283186</c:v>
                </c:pt>
                <c:pt idx="106">
                  <c:v>199.88862069690984</c:v>
                </c:pt>
                <c:pt idx="107">
                  <c:v>204.80071456007599</c:v>
                </c:pt>
                <c:pt idx="108">
                  <c:v>236.18083439496957</c:v>
                </c:pt>
                <c:pt idx="109">
                  <c:v>373.74969950026986</c:v>
                </c:pt>
                <c:pt idx="110">
                  <c:v>112.32063152214764</c:v>
                </c:pt>
                <c:pt idx="111">
                  <c:v>102.47870423753012</c:v>
                </c:pt>
                <c:pt idx="112">
                  <c:v>129.26275421608858</c:v>
                </c:pt>
                <c:pt idx="113">
                  <c:v>159.43073434154647</c:v>
                </c:pt>
                <c:pt idx="114">
                  <c:v>417.76638449215108</c:v>
                </c:pt>
                <c:pt idx="115">
                  <c:v>158.0941520302143</c:v>
                </c:pt>
                <c:pt idx="116">
                  <c:v>108.03720085211233</c:v>
                </c:pt>
                <c:pt idx="117">
                  <c:v>159.04619614232919</c:v>
                </c:pt>
                <c:pt idx="118">
                  <c:v>120.97360340293039</c:v>
                </c:pt>
                <c:pt idx="119">
                  <c:v>104.45030280597017</c:v>
                </c:pt>
                <c:pt idx="120">
                  <c:v>157.33846502933844</c:v>
                </c:pt>
                <c:pt idx="121">
                  <c:v>238.24848968752906</c:v>
                </c:pt>
                <c:pt idx="122">
                  <c:v>188.72500539794848</c:v>
                </c:pt>
                <c:pt idx="123">
                  <c:v>179.84698813665329</c:v>
                </c:pt>
                <c:pt idx="124">
                  <c:v>122.26136250612571</c:v>
                </c:pt>
                <c:pt idx="125">
                  <c:v>99.885900973793298</c:v>
                </c:pt>
                <c:pt idx="126">
                  <c:v>123.73959688124181</c:v>
                </c:pt>
                <c:pt idx="127">
                  <c:v>133.84153464624356</c:v>
                </c:pt>
                <c:pt idx="128">
                  <c:v>171.41129913647441</c:v>
                </c:pt>
                <c:pt idx="129">
                  <c:v>148.82371870518068</c:v>
                </c:pt>
                <c:pt idx="130">
                  <c:v>120.09992813277152</c:v>
                </c:pt>
                <c:pt idx="131">
                  <c:v>93.298576141199689</c:v>
                </c:pt>
                <c:pt idx="132">
                  <c:v>89.075673737082141</c:v>
                </c:pt>
                <c:pt idx="133">
                  <c:v>185.30095137709088</c:v>
                </c:pt>
                <c:pt idx="134">
                  <c:v>158.84709307667981</c:v>
                </c:pt>
                <c:pt idx="135">
                  <c:v>143.93808867137253</c:v>
                </c:pt>
                <c:pt idx="136">
                  <c:v>137.43462400028051</c:v>
                </c:pt>
                <c:pt idx="137">
                  <c:v>120.13044610378958</c:v>
                </c:pt>
                <c:pt idx="138">
                  <c:v>100.39526834629345</c:v>
                </c:pt>
                <c:pt idx="139">
                  <c:v>109.43381459082332</c:v>
                </c:pt>
                <c:pt idx="140">
                  <c:v>111.37193211276232</c:v>
                </c:pt>
                <c:pt idx="141">
                  <c:v>120.63305125421098</c:v>
                </c:pt>
                <c:pt idx="142">
                  <c:v>116.07423431040148</c:v>
                </c:pt>
                <c:pt idx="143">
                  <c:v>123.04074726516404</c:v>
                </c:pt>
                <c:pt idx="144">
                  <c:v>164.99969713368486</c:v>
                </c:pt>
                <c:pt idx="145">
                  <c:v>97.554186880676554</c:v>
                </c:pt>
                <c:pt idx="146">
                  <c:v>107.34711250300458</c:v>
                </c:pt>
                <c:pt idx="147">
                  <c:v>137.97992227617883</c:v>
                </c:pt>
                <c:pt idx="148">
                  <c:v>155.45309167804078</c:v>
                </c:pt>
                <c:pt idx="149">
                  <c:v>117.04040061044826</c:v>
                </c:pt>
                <c:pt idx="150">
                  <c:v>132.21016376831994</c:v>
                </c:pt>
                <c:pt idx="151">
                  <c:v>88.19232429726074</c:v>
                </c:pt>
                <c:pt idx="152">
                  <c:v>109.4910451107003</c:v>
                </c:pt>
                <c:pt idx="153">
                  <c:v>93.190034799841669</c:v>
                </c:pt>
                <c:pt idx="154">
                  <c:v>160.06709169818265</c:v>
                </c:pt>
                <c:pt idx="155">
                  <c:v>136.66272681502525</c:v>
                </c:pt>
                <c:pt idx="156">
                  <c:v>252.83973082944806</c:v>
                </c:pt>
                <c:pt idx="157">
                  <c:v>336.51458750848781</c:v>
                </c:pt>
                <c:pt idx="158">
                  <c:v>262.02085822588265</c:v>
                </c:pt>
                <c:pt idx="159">
                  <c:v>125.79610150664158</c:v>
                </c:pt>
                <c:pt idx="160">
                  <c:v>147.9363454315733</c:v>
                </c:pt>
                <c:pt idx="161">
                  <c:v>168.77563437439574</c:v>
                </c:pt>
                <c:pt idx="162">
                  <c:v>169.9377802686694</c:v>
                </c:pt>
                <c:pt idx="163">
                  <c:v>239.84919343748138</c:v>
                </c:pt>
                <c:pt idx="164">
                  <c:v>173.24283343141681</c:v>
                </c:pt>
                <c:pt idx="165">
                  <c:v>241.26932489242674</c:v>
                </c:pt>
                <c:pt idx="166">
                  <c:v>159.25386707037981</c:v>
                </c:pt>
                <c:pt idx="167">
                  <c:v>153.44117783731124</c:v>
                </c:pt>
                <c:pt idx="168">
                  <c:v>72.984518987972407</c:v>
                </c:pt>
                <c:pt idx="169">
                  <c:v>91.687984751119345</c:v>
                </c:pt>
                <c:pt idx="170">
                  <c:v>73.031460180544343</c:v>
                </c:pt>
                <c:pt idx="171">
                  <c:v>81.779388785515238</c:v>
                </c:pt>
                <c:pt idx="172">
                  <c:v>102.07230849759989</c:v>
                </c:pt>
                <c:pt idx="173">
                  <c:v>141.74982440069709</c:v>
                </c:pt>
                <c:pt idx="174">
                  <c:v>118.13729240766682</c:v>
                </c:pt>
                <c:pt idx="175">
                  <c:v>114.74870093164893</c:v>
                </c:pt>
                <c:pt idx="176">
                  <c:v>200.81292878879466</c:v>
                </c:pt>
                <c:pt idx="177">
                  <c:v>82.203517850035666</c:v>
                </c:pt>
                <c:pt idx="178">
                  <c:v>116.4587466916433</c:v>
                </c:pt>
                <c:pt idx="179">
                  <c:v>90.63971090099723</c:v>
                </c:pt>
                <c:pt idx="180">
                  <c:v>84.916636761597303</c:v>
                </c:pt>
                <c:pt idx="181">
                  <c:v>87.419092685414682</c:v>
                </c:pt>
                <c:pt idx="182">
                  <c:v>70.681100549717485</c:v>
                </c:pt>
                <c:pt idx="183">
                  <c:v>141.61851175253534</c:v>
                </c:pt>
                <c:pt idx="184">
                  <c:v>130.87920469557119</c:v>
                </c:pt>
                <c:pt idx="185">
                  <c:v>107.06461208600557</c:v>
                </c:pt>
                <c:pt idx="186">
                  <c:v>114.79096368400222</c:v>
                </c:pt>
                <c:pt idx="187">
                  <c:v>114.65948101298402</c:v>
                </c:pt>
                <c:pt idx="188">
                  <c:v>111.59920784558118</c:v>
                </c:pt>
                <c:pt idx="189">
                  <c:v>132.93944504053323</c:v>
                </c:pt>
                <c:pt idx="190">
                  <c:v>114.48663971050242</c:v>
                </c:pt>
                <c:pt idx="191">
                  <c:v>136.98109681746399</c:v>
                </c:pt>
                <c:pt idx="192">
                  <c:v>93.141622762165483</c:v>
                </c:pt>
                <c:pt idx="193">
                  <c:v>128.04419730256035</c:v>
                </c:pt>
                <c:pt idx="194">
                  <c:v>78.954777618668601</c:v>
                </c:pt>
                <c:pt idx="195">
                  <c:v>76.066052409292027</c:v>
                </c:pt>
                <c:pt idx="196">
                  <c:v>102.35947591061057</c:v>
                </c:pt>
                <c:pt idx="197">
                  <c:v>123.55188657164705</c:v>
                </c:pt>
                <c:pt idx="198">
                  <c:v>107.99635732159923</c:v>
                </c:pt>
                <c:pt idx="199">
                  <c:v>95.736447592749258</c:v>
                </c:pt>
                <c:pt idx="200">
                  <c:v>95.911521500215699</c:v>
                </c:pt>
                <c:pt idx="201">
                  <c:v>149.44378359368838</c:v>
                </c:pt>
                <c:pt idx="202">
                  <c:v>171.87969272971219</c:v>
                </c:pt>
                <c:pt idx="203">
                  <c:v>98.793293110222379</c:v>
                </c:pt>
                <c:pt idx="204">
                  <c:v>135.34209358264388</c:v>
                </c:pt>
                <c:pt idx="205">
                  <c:v>131.44724429356117</c:v>
                </c:pt>
                <c:pt idx="206">
                  <c:v>97.200941183936109</c:v>
                </c:pt>
                <c:pt idx="207">
                  <c:v>112.28991559190993</c:v>
                </c:pt>
                <c:pt idx="208">
                  <c:v>94.181849913597389</c:v>
                </c:pt>
                <c:pt idx="209">
                  <c:v>96.649575184279755</c:v>
                </c:pt>
                <c:pt idx="210">
                  <c:v>104.89349499742191</c:v>
                </c:pt>
                <c:pt idx="211">
                  <c:v>101.56875032146155</c:v>
                </c:pt>
                <c:pt idx="212">
                  <c:v>121.03007447788632</c:v>
                </c:pt>
                <c:pt idx="213">
                  <c:v>124.16970322648078</c:v>
                </c:pt>
                <c:pt idx="214">
                  <c:v>125.29553030965873</c:v>
                </c:pt>
                <c:pt idx="215">
                  <c:v>96.535374649775946</c:v>
                </c:pt>
                <c:pt idx="216">
                  <c:v>109.27545818150826</c:v>
                </c:pt>
                <c:pt idx="217">
                  <c:v>105.86581431067368</c:v>
                </c:pt>
                <c:pt idx="218">
                  <c:v>104.56931668253401</c:v>
                </c:pt>
                <c:pt idx="219">
                  <c:v>112.21679047753676</c:v>
                </c:pt>
                <c:pt idx="220">
                  <c:v>119.46519008406599</c:v>
                </c:pt>
                <c:pt idx="221">
                  <c:v>89.148521193279919</c:v>
                </c:pt>
                <c:pt idx="222">
                  <c:v>94.463897349180613</c:v>
                </c:pt>
                <c:pt idx="223">
                  <c:v>89.605660798306417</c:v>
                </c:pt>
                <c:pt idx="224">
                  <c:v>120.34592234649979</c:v>
                </c:pt>
                <c:pt idx="225">
                  <c:v>103.80543109986344</c:v>
                </c:pt>
                <c:pt idx="226">
                  <c:v>114.18528603924392</c:v>
                </c:pt>
                <c:pt idx="227">
                  <c:v>172.95266038090497</c:v>
                </c:pt>
                <c:pt idx="228">
                  <c:v>182.54839997752535</c:v>
                </c:pt>
                <c:pt idx="229">
                  <c:v>179.16874282790016</c:v>
                </c:pt>
                <c:pt idx="230">
                  <c:v>106.60452613827003</c:v>
                </c:pt>
                <c:pt idx="231">
                  <c:v>471.30851473754313</c:v>
                </c:pt>
                <c:pt idx="232">
                  <c:v>111.12783686818618</c:v>
                </c:pt>
                <c:pt idx="233">
                  <c:v>131.42309958677973</c:v>
                </c:pt>
                <c:pt idx="234">
                  <c:v>106.04096013825277</c:v>
                </c:pt>
                <c:pt idx="235">
                  <c:v>125.40504309635372</c:v>
                </c:pt>
                <c:pt idx="236">
                  <c:v>107.07384027192835</c:v>
                </c:pt>
                <c:pt idx="237">
                  <c:v>127.10850269606422</c:v>
                </c:pt>
                <c:pt idx="238">
                  <c:v>98.274157204783506</c:v>
                </c:pt>
                <c:pt idx="239">
                  <c:v>125.06251492548309</c:v>
                </c:pt>
                <c:pt idx="240">
                  <c:v>140.46177078618538</c:v>
                </c:pt>
                <c:pt idx="241">
                  <c:v>162.92586596676813</c:v>
                </c:pt>
                <c:pt idx="242">
                  <c:v>118.44397641999224</c:v>
                </c:pt>
                <c:pt idx="243">
                  <c:v>123.55756466048345</c:v>
                </c:pt>
                <c:pt idx="244">
                  <c:v>97.737013430101982</c:v>
                </c:pt>
                <c:pt idx="245">
                  <c:v>107.51412326151502</c:v>
                </c:pt>
                <c:pt idx="246">
                  <c:v>108.45983300751878</c:v>
                </c:pt>
                <c:pt idx="247">
                  <c:v>156.18193213167569</c:v>
                </c:pt>
                <c:pt idx="248">
                  <c:v>178.75506664563954</c:v>
                </c:pt>
                <c:pt idx="249">
                  <c:v>198.58951018921627</c:v>
                </c:pt>
                <c:pt idx="250">
                  <c:v>165.56176312667003</c:v>
                </c:pt>
                <c:pt idx="251">
                  <c:v>74.341272435216226</c:v>
                </c:pt>
                <c:pt idx="252">
                  <c:v>71.754069270250923</c:v>
                </c:pt>
                <c:pt idx="253">
                  <c:v>70.644345245546589</c:v>
                </c:pt>
                <c:pt idx="254">
                  <c:v>77.32749664495482</c:v>
                </c:pt>
                <c:pt idx="255">
                  <c:v>62.269399380838138</c:v>
                </c:pt>
                <c:pt idx="256">
                  <c:v>87.648853223620449</c:v>
                </c:pt>
                <c:pt idx="257">
                  <c:v>95.711464394498904</c:v>
                </c:pt>
                <c:pt idx="258">
                  <c:v>57.957779413620969</c:v>
                </c:pt>
                <c:pt idx="259">
                  <c:v>133.54484587581558</c:v>
                </c:pt>
                <c:pt idx="260">
                  <c:v>122.59294272358885</c:v>
                </c:pt>
                <c:pt idx="261">
                  <c:v>96.338897815293436</c:v>
                </c:pt>
                <c:pt idx="262">
                  <c:v>70.207566977816356</c:v>
                </c:pt>
                <c:pt idx="263">
                  <c:v>77.075181935259351</c:v>
                </c:pt>
                <c:pt idx="264">
                  <c:v>66.795612046379489</c:v>
                </c:pt>
                <c:pt idx="265">
                  <c:v>60.03067430157742</c:v>
                </c:pt>
                <c:pt idx="266">
                  <c:v>64.991047948459197</c:v>
                </c:pt>
                <c:pt idx="267">
                  <c:v>44.75836136707013</c:v>
                </c:pt>
                <c:pt idx="268">
                  <c:v>73.255149930520801</c:v>
                </c:pt>
                <c:pt idx="269">
                  <c:v>64.564143358076763</c:v>
                </c:pt>
                <c:pt idx="270">
                  <c:v>73.841869959692389</c:v>
                </c:pt>
                <c:pt idx="271">
                  <c:v>76.486772886992611</c:v>
                </c:pt>
                <c:pt idx="272">
                  <c:v>66.566593695142956</c:v>
                </c:pt>
                <c:pt idx="273">
                  <c:v>64.666606027944511</c:v>
                </c:pt>
                <c:pt idx="274">
                  <c:v>66.861152396549386</c:v>
                </c:pt>
                <c:pt idx="275">
                  <c:v>69.864272404614582</c:v>
                </c:pt>
                <c:pt idx="276">
                  <c:v>75.329797025558449</c:v>
                </c:pt>
                <c:pt idx="277">
                  <c:v>70.216567579890452</c:v>
                </c:pt>
                <c:pt idx="278">
                  <c:v>117.8759408190022</c:v>
                </c:pt>
                <c:pt idx="279">
                  <c:v>84.381157610091961</c:v>
                </c:pt>
                <c:pt idx="280">
                  <c:v>92.217447657632945</c:v>
                </c:pt>
                <c:pt idx="281">
                  <c:v>87.981477650342455</c:v>
                </c:pt>
                <c:pt idx="282">
                  <c:v>86.686560868617974</c:v>
                </c:pt>
                <c:pt idx="283">
                  <c:v>106.44586762348298</c:v>
                </c:pt>
                <c:pt idx="284">
                  <c:v>74.197546307034429</c:v>
                </c:pt>
                <c:pt idx="285">
                  <c:v>68.581552509858497</c:v>
                </c:pt>
                <c:pt idx="286">
                  <c:v>70.324146626323085</c:v>
                </c:pt>
                <c:pt idx="287">
                  <c:v>73.731102603393296</c:v>
                </c:pt>
                <c:pt idx="288">
                  <c:v>135.04364731624551</c:v>
                </c:pt>
                <c:pt idx="289">
                  <c:v>60.084067700477476</c:v>
                </c:pt>
                <c:pt idx="290">
                  <c:v>57.755868633941958</c:v>
                </c:pt>
                <c:pt idx="291">
                  <c:v>94.945760630802837</c:v>
                </c:pt>
                <c:pt idx="292">
                  <c:v>78.826213407194047</c:v>
                </c:pt>
                <c:pt idx="293">
                  <c:v>122.9820448821437</c:v>
                </c:pt>
                <c:pt idx="294">
                  <c:v>114.41398179160119</c:v>
                </c:pt>
                <c:pt idx="295">
                  <c:v>88.066786790154907</c:v>
                </c:pt>
                <c:pt idx="296">
                  <c:v>84.335257860738878</c:v>
                </c:pt>
                <c:pt idx="297">
                  <c:v>107.34933372621441</c:v>
                </c:pt>
                <c:pt idx="298">
                  <c:v>73.625044852949415</c:v>
                </c:pt>
                <c:pt idx="299">
                  <c:v>69.37892445012038</c:v>
                </c:pt>
                <c:pt idx="300">
                  <c:v>77.450767959799023</c:v>
                </c:pt>
                <c:pt idx="301">
                  <c:v>71.054350090583284</c:v>
                </c:pt>
                <c:pt idx="302">
                  <c:v>76.716980339191721</c:v>
                </c:pt>
                <c:pt idx="303">
                  <c:v>90.985817593290548</c:v>
                </c:pt>
                <c:pt idx="304">
                  <c:v>83.087745015463355</c:v>
                </c:pt>
                <c:pt idx="305">
                  <c:v>111.05341845003895</c:v>
                </c:pt>
                <c:pt idx="306">
                  <c:v>110.07452483682226</c:v>
                </c:pt>
                <c:pt idx="307">
                  <c:v>80.895556865142453</c:v>
                </c:pt>
                <c:pt idx="308">
                  <c:v>67.833911432247561</c:v>
                </c:pt>
                <c:pt idx="309">
                  <c:v>84.667571274507026</c:v>
                </c:pt>
                <c:pt idx="310">
                  <c:v>76.876493013612475</c:v>
                </c:pt>
                <c:pt idx="311">
                  <c:v>80.19814974685174</c:v>
                </c:pt>
                <c:pt idx="312">
                  <c:v>145.25151842504818</c:v>
                </c:pt>
                <c:pt idx="313">
                  <c:v>60.419794188266721</c:v>
                </c:pt>
                <c:pt idx="314">
                  <c:v>79.766703622445277</c:v>
                </c:pt>
                <c:pt idx="315">
                  <c:v>129.77613701690004</c:v>
                </c:pt>
                <c:pt idx="316">
                  <c:v>70.969225451008455</c:v>
                </c:pt>
                <c:pt idx="317">
                  <c:v>74.306529213968119</c:v>
                </c:pt>
                <c:pt idx="318">
                  <c:v>76.374957761221822</c:v>
                </c:pt>
                <c:pt idx="319">
                  <c:v>88.115960974220116</c:v>
                </c:pt>
                <c:pt idx="320">
                  <c:v>71.814793941427723</c:v>
                </c:pt>
                <c:pt idx="321">
                  <c:v>68.173333792059424</c:v>
                </c:pt>
                <c:pt idx="322">
                  <c:v>84.600820316194543</c:v>
                </c:pt>
                <c:pt idx="323">
                  <c:v>103.58490390138961</c:v>
                </c:pt>
                <c:pt idx="324">
                  <c:v>94.046412920209249</c:v>
                </c:pt>
                <c:pt idx="325">
                  <c:v>79.314306518911152</c:v>
                </c:pt>
                <c:pt idx="326">
                  <c:v>82.6626828838683</c:v>
                </c:pt>
                <c:pt idx="327">
                  <c:v>110.65118515459328</c:v>
                </c:pt>
                <c:pt idx="328">
                  <c:v>120.56295940634429</c:v>
                </c:pt>
                <c:pt idx="329">
                  <c:v>86.311033224033565</c:v>
                </c:pt>
                <c:pt idx="330">
                  <c:v>87.262211523703414</c:v>
                </c:pt>
                <c:pt idx="331">
                  <c:v>107.86895259912018</c:v>
                </c:pt>
                <c:pt idx="332">
                  <c:v>114.73552706265549</c:v>
                </c:pt>
                <c:pt idx="333">
                  <c:v>97.766853392849484</c:v>
                </c:pt>
                <c:pt idx="334">
                  <c:v>104.45253393717178</c:v>
                </c:pt>
                <c:pt idx="335">
                  <c:v>85.406900247159825</c:v>
                </c:pt>
                <c:pt idx="336">
                  <c:v>90.03361677714372</c:v>
                </c:pt>
                <c:pt idx="337">
                  <c:v>89.514021661694443</c:v>
                </c:pt>
                <c:pt idx="338">
                  <c:v>119.26576439986225</c:v>
                </c:pt>
                <c:pt idx="339">
                  <c:v>101.49362361424467</c:v>
                </c:pt>
                <c:pt idx="340">
                  <c:v>86.689531542009846</c:v>
                </c:pt>
                <c:pt idx="341">
                  <c:v>84.006934821162901</c:v>
                </c:pt>
                <c:pt idx="342">
                  <c:v>80.198382659364029</c:v>
                </c:pt>
                <c:pt idx="343">
                  <c:v>63.660741520342832</c:v>
                </c:pt>
                <c:pt idx="344">
                  <c:v>93.88473117992244</c:v>
                </c:pt>
                <c:pt idx="345">
                  <c:v>112.14774854002432</c:v>
                </c:pt>
                <c:pt idx="346">
                  <c:v>125.06304745912486</c:v>
                </c:pt>
                <c:pt idx="347">
                  <c:v>117.6387514220049</c:v>
                </c:pt>
                <c:pt idx="348">
                  <c:v>124.76747499486981</c:v>
                </c:pt>
                <c:pt idx="349">
                  <c:v>190.03839833004992</c:v>
                </c:pt>
                <c:pt idx="350">
                  <c:v>804.19578982695589</c:v>
                </c:pt>
                <c:pt idx="351">
                  <c:v>130.60572597681082</c:v>
                </c:pt>
                <c:pt idx="352">
                  <c:v>115.63664136290228</c:v>
                </c:pt>
                <c:pt idx="353">
                  <c:v>154.93513127977184</c:v>
                </c:pt>
                <c:pt idx="354">
                  <c:v>103.87887153708226</c:v>
                </c:pt>
                <c:pt idx="355">
                  <c:v>95.883035324037323</c:v>
                </c:pt>
                <c:pt idx="356">
                  <c:v>96.104249950590969</c:v>
                </c:pt>
                <c:pt idx="357">
                  <c:v>82.654170706647562</c:v>
                </c:pt>
                <c:pt idx="358">
                  <c:v>103.54214958712187</c:v>
                </c:pt>
                <c:pt idx="359">
                  <c:v>110.63621866190266</c:v>
                </c:pt>
                <c:pt idx="360">
                  <c:v>84.721411040322266</c:v>
                </c:pt>
                <c:pt idx="361">
                  <c:v>96.913388365247485</c:v>
                </c:pt>
                <c:pt idx="362">
                  <c:v>107.71093659641161</c:v>
                </c:pt>
                <c:pt idx="363">
                  <c:v>110.97746415685519</c:v>
                </c:pt>
                <c:pt idx="364">
                  <c:v>108.29362826271401</c:v>
                </c:pt>
                <c:pt idx="365">
                  <c:v>138.36039523744989</c:v>
                </c:pt>
                <c:pt idx="366">
                  <c:v>192.3892258525625</c:v>
                </c:pt>
                <c:pt idx="367">
                  <c:v>177.45270243804586</c:v>
                </c:pt>
                <c:pt idx="368">
                  <c:v>198.97243762089585</c:v>
                </c:pt>
                <c:pt idx="369">
                  <c:v>156.95110094576222</c:v>
                </c:pt>
                <c:pt idx="370">
                  <c:v>143.81646251754117</c:v>
                </c:pt>
                <c:pt idx="371">
                  <c:v>67.196071927291044</c:v>
                </c:pt>
                <c:pt idx="372">
                  <c:v>69.448563013735281</c:v>
                </c:pt>
                <c:pt idx="373">
                  <c:v>73.256124689271431</c:v>
                </c:pt>
                <c:pt idx="374">
                  <c:v>69.983227100033815</c:v>
                </c:pt>
                <c:pt idx="375">
                  <c:v>76.651165695985185</c:v>
                </c:pt>
                <c:pt idx="376">
                  <c:v>97.082838166994691</c:v>
                </c:pt>
                <c:pt idx="377">
                  <c:v>109.43016133978264</c:v>
                </c:pt>
                <c:pt idx="378">
                  <c:v>67.615802725332827</c:v>
                </c:pt>
                <c:pt idx="379">
                  <c:v>155.31558888711936</c:v>
                </c:pt>
                <c:pt idx="380">
                  <c:v>137.57868531813457</c:v>
                </c:pt>
                <c:pt idx="381">
                  <c:v>88.187714375764699</c:v>
                </c:pt>
                <c:pt idx="382">
                  <c:v>88.84832492447417</c:v>
                </c:pt>
                <c:pt idx="383">
                  <c:v>92.956709262582223</c:v>
                </c:pt>
                <c:pt idx="384">
                  <c:v>86.48896769870494</c:v>
                </c:pt>
                <c:pt idx="385">
                  <c:v>93.641608935188373</c:v>
                </c:pt>
                <c:pt idx="386">
                  <c:v>88.748028701805978</c:v>
                </c:pt>
                <c:pt idx="387">
                  <c:v>88.766657097173024</c:v>
                </c:pt>
                <c:pt idx="388">
                  <c:v>92.933176332503209</c:v>
                </c:pt>
                <c:pt idx="389">
                  <c:v>84.39582820685979</c:v>
                </c:pt>
                <c:pt idx="390">
                  <c:v>99.713999282924902</c:v>
                </c:pt>
                <c:pt idx="391">
                  <c:v>102.5453529904688</c:v>
                </c:pt>
                <c:pt idx="392">
                  <c:v>91.685319585175776</c:v>
                </c:pt>
                <c:pt idx="393">
                  <c:v>74.244451922962867</c:v>
                </c:pt>
                <c:pt idx="394">
                  <c:v>56.727343565284933</c:v>
                </c:pt>
                <c:pt idx="395">
                  <c:v>60.374186590335249</c:v>
                </c:pt>
                <c:pt idx="396">
                  <c:v>61.212252993357815</c:v>
                </c:pt>
                <c:pt idx="397">
                  <c:v>61.097764365275502</c:v>
                </c:pt>
                <c:pt idx="398">
                  <c:v>65.227157618825245</c:v>
                </c:pt>
                <c:pt idx="399">
                  <c:v>71.596981810962035</c:v>
                </c:pt>
                <c:pt idx="400">
                  <c:v>61.927568530452845</c:v>
                </c:pt>
                <c:pt idx="401">
                  <c:v>72.51039165915455</c:v>
                </c:pt>
                <c:pt idx="402">
                  <c:v>75.082864895615714</c:v>
                </c:pt>
                <c:pt idx="403">
                  <c:v>54.350823906337311</c:v>
                </c:pt>
                <c:pt idx="404">
                  <c:v>111.73593957868179</c:v>
                </c:pt>
                <c:pt idx="405">
                  <c:v>136.97446014193665</c:v>
                </c:pt>
                <c:pt idx="406">
                  <c:v>131.10195115792672</c:v>
                </c:pt>
                <c:pt idx="407">
                  <c:v>122.24148832246007</c:v>
                </c:pt>
                <c:pt idx="408">
                  <c:v>58.182359309730614</c:v>
                </c:pt>
                <c:pt idx="409">
                  <c:v>148.97098842763515</c:v>
                </c:pt>
                <c:pt idx="410">
                  <c:v>156.37517922752855</c:v>
                </c:pt>
                <c:pt idx="411">
                  <c:v>112.45614980788653</c:v>
                </c:pt>
                <c:pt idx="412">
                  <c:v>48.200561652588412</c:v>
                </c:pt>
                <c:pt idx="413">
                  <c:v>74.48202522774902</c:v>
                </c:pt>
                <c:pt idx="414">
                  <c:v>67.196573629183547</c:v>
                </c:pt>
                <c:pt idx="415">
                  <c:v>62.102603247493242</c:v>
                </c:pt>
                <c:pt idx="416">
                  <c:v>120.59457133436307</c:v>
                </c:pt>
                <c:pt idx="417">
                  <c:v>51.934577050407476</c:v>
                </c:pt>
                <c:pt idx="418">
                  <c:v>54.116086946731116</c:v>
                </c:pt>
                <c:pt idx="419">
                  <c:v>56.589421368130189</c:v>
                </c:pt>
                <c:pt idx="420">
                  <c:v>58.031161560900841</c:v>
                </c:pt>
                <c:pt idx="421">
                  <c:v>61.697755552961979</c:v>
                </c:pt>
                <c:pt idx="422">
                  <c:v>65.654324693637548</c:v>
                </c:pt>
                <c:pt idx="423">
                  <c:v>97.73412786539113</c:v>
                </c:pt>
                <c:pt idx="424">
                  <c:v>155.06401113498717</c:v>
                </c:pt>
                <c:pt idx="425">
                  <c:v>82.956184695457821</c:v>
                </c:pt>
                <c:pt idx="426">
                  <c:v>126.32922116270414</c:v>
                </c:pt>
                <c:pt idx="427">
                  <c:v>101.30435924806758</c:v>
                </c:pt>
                <c:pt idx="428">
                  <c:v>89.418969573435433</c:v>
                </c:pt>
                <c:pt idx="429">
                  <c:v>83.432779291451595</c:v>
                </c:pt>
                <c:pt idx="430">
                  <c:v>80.027449218698223</c:v>
                </c:pt>
                <c:pt idx="431">
                  <c:v>95.384448388929727</c:v>
                </c:pt>
                <c:pt idx="432">
                  <c:v>112.11105719142338</c:v>
                </c:pt>
                <c:pt idx="433">
                  <c:v>103.96375197208056</c:v>
                </c:pt>
                <c:pt idx="434">
                  <c:v>70.322747356331263</c:v>
                </c:pt>
                <c:pt idx="435">
                  <c:v>77.360575529765754</c:v>
                </c:pt>
                <c:pt idx="436">
                  <c:v>119.88727714007227</c:v>
                </c:pt>
                <c:pt idx="437">
                  <c:v>54.050145678278447</c:v>
                </c:pt>
                <c:pt idx="438">
                  <c:v>87.424085392596837</c:v>
                </c:pt>
                <c:pt idx="439">
                  <c:v>93.814950704619207</c:v>
                </c:pt>
                <c:pt idx="440">
                  <c:v>78.712654736188682</c:v>
                </c:pt>
                <c:pt idx="441">
                  <c:v>71.175219657299863</c:v>
                </c:pt>
                <c:pt idx="442">
                  <c:v>103.18352144227268</c:v>
                </c:pt>
                <c:pt idx="443">
                  <c:v>67.10506403991738</c:v>
                </c:pt>
                <c:pt idx="444">
                  <c:v>86.651443766032926</c:v>
                </c:pt>
                <c:pt idx="445">
                  <c:v>96.257064387774321</c:v>
                </c:pt>
                <c:pt idx="446">
                  <c:v>99.416169546831554</c:v>
                </c:pt>
                <c:pt idx="447">
                  <c:v>106.79431676749635</c:v>
                </c:pt>
                <c:pt idx="448">
                  <c:v>103.14192612941245</c:v>
                </c:pt>
                <c:pt idx="449">
                  <c:v>82.633345586055157</c:v>
                </c:pt>
                <c:pt idx="450">
                  <c:v>71.679718100306673</c:v>
                </c:pt>
                <c:pt idx="451">
                  <c:v>94.049789905597947</c:v>
                </c:pt>
                <c:pt idx="452">
                  <c:v>84.460767630084646</c:v>
                </c:pt>
                <c:pt idx="453">
                  <c:v>77.616358683830057</c:v>
                </c:pt>
                <c:pt idx="454">
                  <c:v>99.069211649892992</c:v>
                </c:pt>
                <c:pt idx="455">
                  <c:v>81.207060165444759</c:v>
                </c:pt>
                <c:pt idx="456">
                  <c:v>83.631872533458861</c:v>
                </c:pt>
                <c:pt idx="457">
                  <c:v>75.990240994446722</c:v>
                </c:pt>
                <c:pt idx="458">
                  <c:v>67.984085355581541</c:v>
                </c:pt>
                <c:pt idx="459">
                  <c:v>114.60418258804178</c:v>
                </c:pt>
                <c:pt idx="460">
                  <c:v>106.74198282357111</c:v>
                </c:pt>
                <c:pt idx="461">
                  <c:v>193.52482606823637</c:v>
                </c:pt>
                <c:pt idx="462">
                  <c:v>103.43736710487366</c:v>
                </c:pt>
                <c:pt idx="463">
                  <c:v>161.05136693783055</c:v>
                </c:pt>
                <c:pt idx="464">
                  <c:v>107.3343840942388</c:v>
                </c:pt>
                <c:pt idx="465">
                  <c:v>112.51438727735319</c:v>
                </c:pt>
                <c:pt idx="466">
                  <c:v>123.7074587723928</c:v>
                </c:pt>
                <c:pt idx="467">
                  <c:v>115.66550194504153</c:v>
                </c:pt>
                <c:pt idx="468">
                  <c:v>115.24700803638726</c:v>
                </c:pt>
                <c:pt idx="469">
                  <c:v>130.59057798894062</c:v>
                </c:pt>
                <c:pt idx="470">
                  <c:v>116.32809159344016</c:v>
                </c:pt>
                <c:pt idx="471">
                  <c:v>117.24763166127467</c:v>
                </c:pt>
                <c:pt idx="472">
                  <c:v>123.95898567845599</c:v>
                </c:pt>
                <c:pt idx="473">
                  <c:v>121.41873258071999</c:v>
                </c:pt>
                <c:pt idx="474">
                  <c:v>140.95969079455023</c:v>
                </c:pt>
                <c:pt idx="475">
                  <c:v>125.374468028263</c:v>
                </c:pt>
                <c:pt idx="476">
                  <c:v>126.06183261457912</c:v>
                </c:pt>
                <c:pt idx="477">
                  <c:v>79.833540916640302</c:v>
                </c:pt>
                <c:pt idx="478">
                  <c:v>106.72852159892723</c:v>
                </c:pt>
                <c:pt idx="479">
                  <c:v>76.508068820010578</c:v>
                </c:pt>
                <c:pt idx="480">
                  <c:v>96.096342919662078</c:v>
                </c:pt>
                <c:pt idx="481">
                  <c:v>82.565077746801137</c:v>
                </c:pt>
                <c:pt idx="482">
                  <c:v>94.797115249706721</c:v>
                </c:pt>
                <c:pt idx="483">
                  <c:v>78.531142122589628</c:v>
                </c:pt>
                <c:pt idx="484">
                  <c:v>81.653581954691035</c:v>
                </c:pt>
                <c:pt idx="485">
                  <c:v>120.44766606525698</c:v>
                </c:pt>
                <c:pt idx="486">
                  <c:v>95.867426573199126</c:v>
                </c:pt>
                <c:pt idx="487">
                  <c:v>95.12196193600677</c:v>
                </c:pt>
                <c:pt idx="488">
                  <c:v>86.305163690352444</c:v>
                </c:pt>
                <c:pt idx="489">
                  <c:v>87.543362191226763</c:v>
                </c:pt>
                <c:pt idx="490">
                  <c:v>84.394841861167905</c:v>
                </c:pt>
                <c:pt idx="491">
                  <c:v>81.124408232193048</c:v>
                </c:pt>
                <c:pt idx="492">
                  <c:v>80.632218744324433</c:v>
                </c:pt>
                <c:pt idx="493">
                  <c:v>76.899972200401734</c:v>
                </c:pt>
                <c:pt idx="494">
                  <c:v>90.493318480975901</c:v>
                </c:pt>
                <c:pt idx="495">
                  <c:v>98.079311207128285</c:v>
                </c:pt>
                <c:pt idx="496">
                  <c:v>89.192853430927116</c:v>
                </c:pt>
                <c:pt idx="497">
                  <c:v>85.035908815859102</c:v>
                </c:pt>
                <c:pt idx="498">
                  <c:v>71.862554292633206</c:v>
                </c:pt>
                <c:pt idx="499">
                  <c:v>107.28801504586073</c:v>
                </c:pt>
                <c:pt idx="500">
                  <c:v>47.478764283756881</c:v>
                </c:pt>
                <c:pt idx="501">
                  <c:v>85.897027942238637</c:v>
                </c:pt>
                <c:pt idx="502">
                  <c:v>82.373159514322865</c:v>
                </c:pt>
                <c:pt idx="503">
                  <c:v>84.101668673422608</c:v>
                </c:pt>
                <c:pt idx="504">
                  <c:v>84.005205645179572</c:v>
                </c:pt>
                <c:pt idx="505">
                  <c:v>85.459751773294201</c:v>
                </c:pt>
                <c:pt idx="506">
                  <c:v>83.847404048692212</c:v>
                </c:pt>
                <c:pt idx="507">
                  <c:v>152.23678614920226</c:v>
                </c:pt>
                <c:pt idx="508">
                  <c:v>102.25353273494288</c:v>
                </c:pt>
                <c:pt idx="509">
                  <c:v>101.0815127984454</c:v>
                </c:pt>
                <c:pt idx="510">
                  <c:v>154.4623267623096</c:v>
                </c:pt>
                <c:pt idx="511">
                  <c:v>70.216213642018047</c:v>
                </c:pt>
                <c:pt idx="512">
                  <c:v>50.38426574726499</c:v>
                </c:pt>
                <c:pt idx="513">
                  <c:v>62.050856817336104</c:v>
                </c:pt>
                <c:pt idx="514">
                  <c:v>71.480959529662371</c:v>
                </c:pt>
                <c:pt idx="515">
                  <c:v>66.76984378132201</c:v>
                </c:pt>
                <c:pt idx="516">
                  <c:v>67.943898951749574</c:v>
                </c:pt>
                <c:pt idx="517">
                  <c:v>70.699300733048304</c:v>
                </c:pt>
                <c:pt idx="518">
                  <c:v>115.77143561988912</c:v>
                </c:pt>
                <c:pt idx="519">
                  <c:v>137.45108723293299</c:v>
                </c:pt>
                <c:pt idx="520">
                  <c:v>85.308976580949178</c:v>
                </c:pt>
                <c:pt idx="521">
                  <c:v>62.155425602475553</c:v>
                </c:pt>
                <c:pt idx="522">
                  <c:v>66.968422768776819</c:v>
                </c:pt>
                <c:pt idx="523">
                  <c:v>76.507904247788332</c:v>
                </c:pt>
                <c:pt idx="524">
                  <c:v>70.406825614378519</c:v>
                </c:pt>
                <c:pt idx="525">
                  <c:v>72.377247683449809</c:v>
                </c:pt>
                <c:pt idx="526">
                  <c:v>85.600267493793098</c:v>
                </c:pt>
                <c:pt idx="527">
                  <c:v>40.451657165209461</c:v>
                </c:pt>
                <c:pt idx="528">
                  <c:v>59.609675700164132</c:v>
                </c:pt>
                <c:pt idx="529">
                  <c:v>58.145075575746596</c:v>
                </c:pt>
                <c:pt idx="530">
                  <c:v>39.930757487339704</c:v>
                </c:pt>
                <c:pt idx="531">
                  <c:v>66.84514353074691</c:v>
                </c:pt>
                <c:pt idx="532">
                  <c:v>72.503055910852879</c:v>
                </c:pt>
                <c:pt idx="533">
                  <c:v>56.84057520622477</c:v>
                </c:pt>
                <c:pt idx="534">
                  <c:v>62.068640538408587</c:v>
                </c:pt>
                <c:pt idx="535">
                  <c:v>60.808091084792203</c:v>
                </c:pt>
                <c:pt idx="536">
                  <c:v>74.69255955941891</c:v>
                </c:pt>
                <c:pt idx="537">
                  <c:v>48.92694562480478</c:v>
                </c:pt>
                <c:pt idx="538">
                  <c:v>75.647069110669889</c:v>
                </c:pt>
                <c:pt idx="539">
                  <c:v>87.950824673729556</c:v>
                </c:pt>
                <c:pt idx="540">
                  <c:v>55.690701693617228</c:v>
                </c:pt>
                <c:pt idx="541">
                  <c:v>41.175020452538604</c:v>
                </c:pt>
                <c:pt idx="542">
                  <c:v>90.006333444748051</c:v>
                </c:pt>
                <c:pt idx="543">
                  <c:v>69.418482180012575</c:v>
                </c:pt>
                <c:pt idx="544">
                  <c:v>59.067185176715</c:v>
                </c:pt>
                <c:pt idx="545">
                  <c:v>58.458850088050163</c:v>
                </c:pt>
                <c:pt idx="546">
                  <c:v>100.68624551146308</c:v>
                </c:pt>
                <c:pt idx="547">
                  <c:v>111.48478946186124</c:v>
                </c:pt>
                <c:pt idx="548">
                  <c:v>64.832747431099804</c:v>
                </c:pt>
                <c:pt idx="549">
                  <c:v>62.4955305290583</c:v>
                </c:pt>
                <c:pt idx="550">
                  <c:v>157.15033297589287</c:v>
                </c:pt>
                <c:pt idx="551">
                  <c:v>87.592452305233905</c:v>
                </c:pt>
                <c:pt idx="552">
                  <c:v>108.76583619740997</c:v>
                </c:pt>
                <c:pt idx="553">
                  <c:v>75.797658077815996</c:v>
                </c:pt>
                <c:pt idx="554">
                  <c:v>55.106515319590613</c:v>
                </c:pt>
                <c:pt idx="555">
                  <c:v>65.611372574182553</c:v>
                </c:pt>
                <c:pt idx="556">
                  <c:v>83.761402316328486</c:v>
                </c:pt>
                <c:pt idx="557">
                  <c:v>52.0753058371874</c:v>
                </c:pt>
                <c:pt idx="558">
                  <c:v>71.074027792833974</c:v>
                </c:pt>
                <c:pt idx="559">
                  <c:v>83.037691834863097</c:v>
                </c:pt>
                <c:pt idx="560">
                  <c:v>77.968813499572448</c:v>
                </c:pt>
                <c:pt idx="561">
                  <c:v>75.689982099901911</c:v>
                </c:pt>
                <c:pt idx="562">
                  <c:v>79.974641453548287</c:v>
                </c:pt>
                <c:pt idx="563">
                  <c:v>78.597450665040824</c:v>
                </c:pt>
                <c:pt idx="564">
                  <c:v>91.727683424729292</c:v>
                </c:pt>
                <c:pt idx="565">
                  <c:v>97.780549436444616</c:v>
                </c:pt>
                <c:pt idx="566">
                  <c:v>102.18426804684226</c:v>
                </c:pt>
                <c:pt idx="567">
                  <c:v>103.59992842895302</c:v>
                </c:pt>
                <c:pt idx="568">
                  <c:v>96.274722849848359</c:v>
                </c:pt>
                <c:pt idx="569">
                  <c:v>43.526705751163441</c:v>
                </c:pt>
                <c:pt idx="570">
                  <c:v>45.176960696713678</c:v>
                </c:pt>
                <c:pt idx="571">
                  <c:v>67.746861328124098</c:v>
                </c:pt>
                <c:pt idx="572">
                  <c:v>50.94689344059168</c:v>
                </c:pt>
                <c:pt idx="573">
                  <c:v>84.909366397237477</c:v>
                </c:pt>
                <c:pt idx="574">
                  <c:v>77.936994879486178</c:v>
                </c:pt>
                <c:pt idx="575">
                  <c:v>66.622477724409848</c:v>
                </c:pt>
                <c:pt idx="576">
                  <c:v>61.425530272383945</c:v>
                </c:pt>
                <c:pt idx="577">
                  <c:v>78.727379052082441</c:v>
                </c:pt>
                <c:pt idx="578">
                  <c:v>63.940974476563852</c:v>
                </c:pt>
                <c:pt idx="579">
                  <c:v>81.822110703076774</c:v>
                </c:pt>
                <c:pt idx="580">
                  <c:v>90.137444472744988</c:v>
                </c:pt>
                <c:pt idx="581">
                  <c:v>114.01477306533202</c:v>
                </c:pt>
                <c:pt idx="582">
                  <c:v>53.018715368910108</c:v>
                </c:pt>
                <c:pt idx="583">
                  <c:v>92.688166117754307</c:v>
                </c:pt>
                <c:pt idx="584">
                  <c:v>108.32489304798494</c:v>
                </c:pt>
                <c:pt idx="585">
                  <c:v>62.081764032911785</c:v>
                </c:pt>
                <c:pt idx="586">
                  <c:v>70.54956260408585</c:v>
                </c:pt>
                <c:pt idx="587">
                  <c:v>54.878818452190551</c:v>
                </c:pt>
                <c:pt idx="588">
                  <c:v>47.696312983563061</c:v>
                </c:pt>
                <c:pt idx="589">
                  <c:v>50.710967497737293</c:v>
                </c:pt>
                <c:pt idx="590">
                  <c:v>52.086624481412009</c:v>
                </c:pt>
                <c:pt idx="591">
                  <c:v>49.502437121353374</c:v>
                </c:pt>
                <c:pt idx="592">
                  <c:v>51.320241119076037</c:v>
                </c:pt>
                <c:pt idx="593">
                  <c:v>49.322362753947608</c:v>
                </c:pt>
                <c:pt idx="594">
                  <c:v>51.232795201563867</c:v>
                </c:pt>
                <c:pt idx="595">
                  <c:v>50.648850868776741</c:v>
                </c:pt>
                <c:pt idx="596">
                  <c:v>53.841338821727753</c:v>
                </c:pt>
                <c:pt idx="597">
                  <c:v>55.795158002382216</c:v>
                </c:pt>
                <c:pt idx="598">
                  <c:v>91.748631862830223</c:v>
                </c:pt>
                <c:pt idx="599">
                  <c:v>66.607342078623162</c:v>
                </c:pt>
                <c:pt idx="600">
                  <c:v>128.35351806380035</c:v>
                </c:pt>
                <c:pt idx="601">
                  <c:v>83.490763612295993</c:v>
                </c:pt>
                <c:pt idx="602">
                  <c:v>70.474248460498131</c:v>
                </c:pt>
                <c:pt idx="603">
                  <c:v>73.450675775665772</c:v>
                </c:pt>
                <c:pt idx="604">
                  <c:v>70.488363919383445</c:v>
                </c:pt>
                <c:pt idx="605">
                  <c:v>63.577137504840024</c:v>
                </c:pt>
                <c:pt idx="606">
                  <c:v>90.159903117071096</c:v>
                </c:pt>
                <c:pt idx="607">
                  <c:v>66.928894991519968</c:v>
                </c:pt>
                <c:pt idx="608">
                  <c:v>59.866314564820023</c:v>
                </c:pt>
                <c:pt idx="609">
                  <c:v>66.012050108352639</c:v>
                </c:pt>
                <c:pt idx="610">
                  <c:v>69.947392944677162</c:v>
                </c:pt>
                <c:pt idx="611">
                  <c:v>67.810618372089323</c:v>
                </c:pt>
                <c:pt idx="612">
                  <c:v>74.352397548352883</c:v>
                </c:pt>
                <c:pt idx="613">
                  <c:v>70.594043649616552</c:v>
                </c:pt>
                <c:pt idx="614">
                  <c:v>79.918161951683587</c:v>
                </c:pt>
                <c:pt idx="615">
                  <c:v>142.31386820640208</c:v>
                </c:pt>
                <c:pt idx="616">
                  <c:v>107.22436667985858</c:v>
                </c:pt>
                <c:pt idx="617">
                  <c:v>108.43099285279203</c:v>
                </c:pt>
                <c:pt idx="618">
                  <c:v>99.922672354134733</c:v>
                </c:pt>
                <c:pt idx="619">
                  <c:v>117.96377394813852</c:v>
                </c:pt>
                <c:pt idx="620">
                  <c:v>148.63388270662682</c:v>
                </c:pt>
                <c:pt idx="621">
                  <c:v>68.744821921892211</c:v>
                </c:pt>
                <c:pt idx="622">
                  <c:v>43.108500214104687</c:v>
                </c:pt>
                <c:pt idx="623">
                  <c:v>43.990827903440582</c:v>
                </c:pt>
                <c:pt idx="624">
                  <c:v>60.631058338363182</c:v>
                </c:pt>
                <c:pt idx="625">
                  <c:v>82.922541015204985</c:v>
                </c:pt>
                <c:pt idx="626">
                  <c:v>91.393021417175447</c:v>
                </c:pt>
                <c:pt idx="627">
                  <c:v>80.001236155797557</c:v>
                </c:pt>
                <c:pt idx="628">
                  <c:v>63.580829817867738</c:v>
                </c:pt>
                <c:pt idx="629">
                  <c:v>73.47576704411486</c:v>
                </c:pt>
                <c:pt idx="630">
                  <c:v>87.631040482801851</c:v>
                </c:pt>
                <c:pt idx="631">
                  <c:v>64.633843074891956</c:v>
                </c:pt>
                <c:pt idx="632">
                  <c:v>67.862522692929744</c:v>
                </c:pt>
                <c:pt idx="633">
                  <c:v>67.867457257805569</c:v>
                </c:pt>
                <c:pt idx="634">
                  <c:v>57.394394379682204</c:v>
                </c:pt>
                <c:pt idx="635">
                  <c:v>56.497402541181856</c:v>
                </c:pt>
                <c:pt idx="636">
                  <c:v>75.630214110756071</c:v>
                </c:pt>
                <c:pt idx="637">
                  <c:v>67.126459823573214</c:v>
                </c:pt>
                <c:pt idx="638">
                  <c:v>98.394280470053644</c:v>
                </c:pt>
                <c:pt idx="639">
                  <c:v>71.216838687603158</c:v>
                </c:pt>
                <c:pt idx="640">
                  <c:v>51.780207593481521</c:v>
                </c:pt>
                <c:pt idx="641">
                  <c:v>53.094691316595977</c:v>
                </c:pt>
                <c:pt idx="642">
                  <c:v>78.605980284904092</c:v>
                </c:pt>
                <c:pt idx="643">
                  <c:v>73.204273176709933</c:v>
                </c:pt>
                <c:pt idx="644">
                  <c:v>51.267947406584931</c:v>
                </c:pt>
                <c:pt idx="645">
                  <c:v>61.842363225228219</c:v>
                </c:pt>
                <c:pt idx="646">
                  <c:v>94.996171761949796</c:v>
                </c:pt>
                <c:pt idx="647">
                  <c:v>54.330169735214376</c:v>
                </c:pt>
                <c:pt idx="648">
                  <c:v>41.217432562164561</c:v>
                </c:pt>
                <c:pt idx="649">
                  <c:v>65.358235403004414</c:v>
                </c:pt>
                <c:pt idx="650">
                  <c:v>79.116008626438486</c:v>
                </c:pt>
                <c:pt idx="651">
                  <c:v>66.106454415011541</c:v>
                </c:pt>
                <c:pt idx="652">
                  <c:v>53.380915392261926</c:v>
                </c:pt>
                <c:pt idx="653">
                  <c:v>91.879369923445338</c:v>
                </c:pt>
                <c:pt idx="654">
                  <c:v>55.345352731666317</c:v>
                </c:pt>
                <c:pt idx="655">
                  <c:v>61.012952764435667</c:v>
                </c:pt>
                <c:pt idx="656">
                  <c:v>82.729357473381299</c:v>
                </c:pt>
                <c:pt idx="657">
                  <c:v>86.415299151123435</c:v>
                </c:pt>
                <c:pt idx="658">
                  <c:v>92.158794200199566</c:v>
                </c:pt>
                <c:pt idx="659">
                  <c:v>143.0675864413692</c:v>
                </c:pt>
                <c:pt idx="660">
                  <c:v>50.857162975866629</c:v>
                </c:pt>
                <c:pt idx="661">
                  <c:v>47.620363072129614</c:v>
                </c:pt>
                <c:pt idx="662">
                  <c:v>47.437757441588218</c:v>
                </c:pt>
                <c:pt idx="663">
                  <c:v>57.891662486259342</c:v>
                </c:pt>
                <c:pt idx="664">
                  <c:v>60.943568540164904</c:v>
                </c:pt>
                <c:pt idx="665">
                  <c:v>56.114503785431076</c:v>
                </c:pt>
                <c:pt idx="666">
                  <c:v>83.668904535139291</c:v>
                </c:pt>
                <c:pt idx="667">
                  <c:v>50.117972018583551</c:v>
                </c:pt>
                <c:pt idx="668">
                  <c:v>94.018333749204999</c:v>
                </c:pt>
                <c:pt idx="669">
                  <c:v>73.963758234114451</c:v>
                </c:pt>
                <c:pt idx="670">
                  <c:v>40.527325857508529</c:v>
                </c:pt>
                <c:pt idx="671">
                  <c:v>85.139140733294681</c:v>
                </c:pt>
                <c:pt idx="672">
                  <c:v>55.466698321704236</c:v>
                </c:pt>
                <c:pt idx="673">
                  <c:v>56.587487158950054</c:v>
                </c:pt>
                <c:pt idx="674">
                  <c:v>50.196407893852765</c:v>
                </c:pt>
                <c:pt idx="675">
                  <c:v>37.53515039659608</c:v>
                </c:pt>
                <c:pt idx="676">
                  <c:v>40.672971385254804</c:v>
                </c:pt>
                <c:pt idx="677">
                  <c:v>54.683580944916322</c:v>
                </c:pt>
                <c:pt idx="678">
                  <c:v>146.95258634067812</c:v>
                </c:pt>
                <c:pt idx="679">
                  <c:v>67.756738562816494</c:v>
                </c:pt>
                <c:pt idx="680">
                  <c:v>49.202219885474676</c:v>
                </c:pt>
                <c:pt idx="681">
                  <c:v>48.820935846003636</c:v>
                </c:pt>
                <c:pt idx="682">
                  <c:v>55.398440443221531</c:v>
                </c:pt>
                <c:pt idx="683">
                  <c:v>49.649284869210973</c:v>
                </c:pt>
                <c:pt idx="684">
                  <c:v>59.357034385609985</c:v>
                </c:pt>
                <c:pt idx="685">
                  <c:v>70.018842814649986</c:v>
                </c:pt>
                <c:pt idx="686">
                  <c:v>59.351288850926281</c:v>
                </c:pt>
                <c:pt idx="687">
                  <c:v>66.814423373709076</c:v>
                </c:pt>
                <c:pt idx="688">
                  <c:v>56.584698218303529</c:v>
                </c:pt>
                <c:pt idx="689">
                  <c:v>61.972323313689806</c:v>
                </c:pt>
                <c:pt idx="690">
                  <c:v>60.076074520245811</c:v>
                </c:pt>
                <c:pt idx="691">
                  <c:v>50.092286747472976</c:v>
                </c:pt>
                <c:pt idx="692">
                  <c:v>44.960172470663885</c:v>
                </c:pt>
                <c:pt idx="693">
                  <c:v>44.510082903951449</c:v>
                </c:pt>
                <c:pt idx="694">
                  <c:v>40.189177850501096</c:v>
                </c:pt>
                <c:pt idx="695">
                  <c:v>37.151609521717575</c:v>
                </c:pt>
                <c:pt idx="696">
                  <c:v>75.634389350300808</c:v>
                </c:pt>
                <c:pt idx="697">
                  <c:v>65.208234825113522</c:v>
                </c:pt>
                <c:pt idx="698">
                  <c:v>66.260217745644397</c:v>
                </c:pt>
                <c:pt idx="699">
                  <c:v>55.480548552734433</c:v>
                </c:pt>
                <c:pt idx="700">
                  <c:v>92.646100639073339</c:v>
                </c:pt>
                <c:pt idx="701">
                  <c:v>101.29437825771049</c:v>
                </c:pt>
                <c:pt idx="702">
                  <c:v>132.55165058867496</c:v>
                </c:pt>
                <c:pt idx="703">
                  <c:v>37.562156242140837</c:v>
                </c:pt>
                <c:pt idx="704">
                  <c:v>59.121314963897355</c:v>
                </c:pt>
                <c:pt idx="705">
                  <c:v>59.715118207146652</c:v>
                </c:pt>
                <c:pt idx="706">
                  <c:v>63.779085249518864</c:v>
                </c:pt>
                <c:pt idx="707">
                  <c:v>67.166786663712784</c:v>
                </c:pt>
                <c:pt idx="708">
                  <c:v>59.143659881142973</c:v>
                </c:pt>
                <c:pt idx="709">
                  <c:v>69.629659879974312</c:v>
                </c:pt>
                <c:pt idx="710">
                  <c:v>66.811363347377451</c:v>
                </c:pt>
                <c:pt idx="711">
                  <c:v>152.29073097483334</c:v>
                </c:pt>
                <c:pt idx="712">
                  <c:v>110.47156395347027</c:v>
                </c:pt>
                <c:pt idx="713">
                  <c:v>124.77203125294359</c:v>
                </c:pt>
                <c:pt idx="714">
                  <c:v>36.866509642746109</c:v>
                </c:pt>
                <c:pt idx="715">
                  <c:v>37.062525884138147</c:v>
                </c:pt>
                <c:pt idx="716">
                  <c:v>36.786012428049645</c:v>
                </c:pt>
                <c:pt idx="717">
                  <c:v>38.085788511286147</c:v>
                </c:pt>
                <c:pt idx="718">
                  <c:v>37.720075722270408</c:v>
                </c:pt>
                <c:pt idx="719">
                  <c:v>39.827095864437027</c:v>
                </c:pt>
                <c:pt idx="720">
                  <c:v>54.36587287371912</c:v>
                </c:pt>
                <c:pt idx="721">
                  <c:v>54.172946537258866</c:v>
                </c:pt>
                <c:pt idx="722">
                  <c:v>32.771544468143468</c:v>
                </c:pt>
                <c:pt idx="723">
                  <c:v>41.139497899266807</c:v>
                </c:pt>
                <c:pt idx="724">
                  <c:v>66.534665852988411</c:v>
                </c:pt>
                <c:pt idx="725">
                  <c:v>81.956340928252359</c:v>
                </c:pt>
                <c:pt idx="726">
                  <c:v>81.838918017075073</c:v>
                </c:pt>
                <c:pt idx="727">
                  <c:v>83.244767656412947</c:v>
                </c:pt>
                <c:pt idx="728">
                  <c:v>110.02684540667217</c:v>
                </c:pt>
                <c:pt idx="729">
                  <c:v>88.598067389480931</c:v>
                </c:pt>
                <c:pt idx="730">
                  <c:v>60.678671723369099</c:v>
                </c:pt>
                <c:pt idx="731">
                  <c:v>64.521360141065401</c:v>
                </c:pt>
                <c:pt idx="732">
                  <c:v>53.746162322730136</c:v>
                </c:pt>
                <c:pt idx="733">
                  <c:v>73.362761120752239</c:v>
                </c:pt>
                <c:pt idx="734">
                  <c:v>74.977667926697308</c:v>
                </c:pt>
                <c:pt idx="735">
                  <c:v>66.964411197423175</c:v>
                </c:pt>
                <c:pt idx="736">
                  <c:v>60.455387050322756</c:v>
                </c:pt>
                <c:pt idx="737">
                  <c:v>72.394845960030651</c:v>
                </c:pt>
                <c:pt idx="738">
                  <c:v>73.364255682646402</c:v>
                </c:pt>
                <c:pt idx="739">
                  <c:v>65.503765888393247</c:v>
                </c:pt>
                <c:pt idx="740">
                  <c:v>71.447891515552385</c:v>
                </c:pt>
                <c:pt idx="741">
                  <c:v>44.443404186989262</c:v>
                </c:pt>
                <c:pt idx="742">
                  <c:v>89.73231647333084</c:v>
                </c:pt>
                <c:pt idx="743">
                  <c:v>60.145699362053001</c:v>
                </c:pt>
                <c:pt idx="744">
                  <c:v>70.127152983807505</c:v>
                </c:pt>
                <c:pt idx="745">
                  <c:v>58.727089195276903</c:v>
                </c:pt>
                <c:pt idx="746">
                  <c:v>50.624278494569275</c:v>
                </c:pt>
                <c:pt idx="747">
                  <c:v>58.765653797588136</c:v>
                </c:pt>
                <c:pt idx="748">
                  <c:v>56.161283813002129</c:v>
                </c:pt>
                <c:pt idx="749">
                  <c:v>42.036608890536563</c:v>
                </c:pt>
                <c:pt idx="750">
                  <c:v>56.628281428470103</c:v>
                </c:pt>
                <c:pt idx="751">
                  <c:v>62.963346450456136</c:v>
                </c:pt>
                <c:pt idx="752">
                  <c:v>58.860919418841704</c:v>
                </c:pt>
                <c:pt idx="753">
                  <c:v>57.881824229802149</c:v>
                </c:pt>
                <c:pt idx="754">
                  <c:v>36.329544807924307</c:v>
                </c:pt>
                <c:pt idx="755">
                  <c:v>60.923853895031868</c:v>
                </c:pt>
                <c:pt idx="756">
                  <c:v>69.396156428556949</c:v>
                </c:pt>
                <c:pt idx="757">
                  <c:v>67.684593355398292</c:v>
                </c:pt>
                <c:pt idx="758">
                  <c:v>96.426359358109806</c:v>
                </c:pt>
                <c:pt idx="759">
                  <c:v>92.330239197813981</c:v>
                </c:pt>
                <c:pt idx="760">
                  <c:v>40.102213112146877</c:v>
                </c:pt>
                <c:pt idx="761">
                  <c:v>38.863919521648342</c:v>
                </c:pt>
                <c:pt idx="762">
                  <c:v>40.135969238933029</c:v>
                </c:pt>
                <c:pt idx="763">
                  <c:v>45.352808471340701</c:v>
                </c:pt>
                <c:pt idx="764">
                  <c:v>51.319198034937266</c:v>
                </c:pt>
                <c:pt idx="765">
                  <c:v>73.652173625440355</c:v>
                </c:pt>
                <c:pt idx="766">
                  <c:v>48.932245813529221</c:v>
                </c:pt>
                <c:pt idx="767">
                  <c:v>61.201463397073098</c:v>
                </c:pt>
                <c:pt idx="768">
                  <c:v>47.156034885102407</c:v>
                </c:pt>
                <c:pt idx="769">
                  <c:v>32.445137530967266</c:v>
                </c:pt>
                <c:pt idx="770">
                  <c:v>61.422311463604522</c:v>
                </c:pt>
                <c:pt idx="771">
                  <c:v>63.205195069109557</c:v>
                </c:pt>
                <c:pt idx="772">
                  <c:v>62.219506442834358</c:v>
                </c:pt>
                <c:pt idx="773">
                  <c:v>71.176222856971805</c:v>
                </c:pt>
                <c:pt idx="774">
                  <c:v>47.283000261609736</c:v>
                </c:pt>
                <c:pt idx="775">
                  <c:v>33.454469655194615</c:v>
                </c:pt>
                <c:pt idx="776">
                  <c:v>47.408167735158408</c:v>
                </c:pt>
                <c:pt idx="777">
                  <c:v>48.616388915738149</c:v>
                </c:pt>
                <c:pt idx="778">
                  <c:v>39.503961415742609</c:v>
                </c:pt>
                <c:pt idx="779">
                  <c:v>31.72785607500947</c:v>
                </c:pt>
                <c:pt idx="780">
                  <c:v>50.029737223665542</c:v>
                </c:pt>
                <c:pt idx="781">
                  <c:v>38.579687229184579</c:v>
                </c:pt>
                <c:pt idx="782">
                  <c:v>53.165296653362468</c:v>
                </c:pt>
                <c:pt idx="783">
                  <c:v>47.746584188341522</c:v>
                </c:pt>
                <c:pt idx="784">
                  <c:v>47.1029750320915</c:v>
                </c:pt>
                <c:pt idx="785">
                  <c:v>81.273059425410736</c:v>
                </c:pt>
                <c:pt idx="786">
                  <c:v>48.120168343852043</c:v>
                </c:pt>
                <c:pt idx="787">
                  <c:v>52.147492763049215</c:v>
                </c:pt>
                <c:pt idx="788">
                  <c:v>41.060904967127072</c:v>
                </c:pt>
                <c:pt idx="789">
                  <c:v>42.129815160703231</c:v>
                </c:pt>
                <c:pt idx="790">
                  <c:v>42.434778955129609</c:v>
                </c:pt>
                <c:pt idx="791">
                  <c:v>43.33674522010066</c:v>
                </c:pt>
                <c:pt idx="792">
                  <c:v>40.584350705083168</c:v>
                </c:pt>
                <c:pt idx="793">
                  <c:v>56.514238647076965</c:v>
                </c:pt>
                <c:pt idx="794">
                  <c:v>41.181047219102076</c:v>
                </c:pt>
                <c:pt idx="795">
                  <c:v>48.980692516682417</c:v>
                </c:pt>
                <c:pt idx="796">
                  <c:v>45.265732741263392</c:v>
                </c:pt>
                <c:pt idx="797">
                  <c:v>46.642548098561406</c:v>
                </c:pt>
                <c:pt idx="798">
                  <c:v>42.294436601267492</c:v>
                </c:pt>
                <c:pt idx="799">
                  <c:v>44.607886563562531</c:v>
                </c:pt>
                <c:pt idx="800">
                  <c:v>40.379059290621299</c:v>
                </c:pt>
                <c:pt idx="801">
                  <c:v>45.066822481019003</c:v>
                </c:pt>
                <c:pt idx="802">
                  <c:v>38.639738137288894</c:v>
                </c:pt>
                <c:pt idx="803">
                  <c:v>47.387739863945662</c:v>
                </c:pt>
                <c:pt idx="804">
                  <c:v>38.421505490304924</c:v>
                </c:pt>
                <c:pt idx="805">
                  <c:v>70.236822274177896</c:v>
                </c:pt>
                <c:pt idx="806">
                  <c:v>39.513252528872414</c:v>
                </c:pt>
                <c:pt idx="807">
                  <c:v>65.457965179493712</c:v>
                </c:pt>
                <c:pt idx="808">
                  <c:v>43.563691588392892</c:v>
                </c:pt>
                <c:pt idx="809">
                  <c:v>56.347986444517595</c:v>
                </c:pt>
                <c:pt idx="810">
                  <c:v>50.987408247118601</c:v>
                </c:pt>
                <c:pt idx="811">
                  <c:v>44.524776136215884</c:v>
                </c:pt>
                <c:pt idx="812">
                  <c:v>46.959740775658965</c:v>
                </c:pt>
                <c:pt idx="813">
                  <c:v>42.658284829345085</c:v>
                </c:pt>
                <c:pt idx="814">
                  <c:v>46.001690836425851</c:v>
                </c:pt>
                <c:pt idx="815">
                  <c:v>55.445515179400047</c:v>
                </c:pt>
                <c:pt idx="816">
                  <c:v>52.329014110498328</c:v>
                </c:pt>
                <c:pt idx="817">
                  <c:v>56.241794706823349</c:v>
                </c:pt>
                <c:pt idx="818">
                  <c:v>49.308513607009111</c:v>
                </c:pt>
                <c:pt idx="819">
                  <c:v>54.683320110573163</c:v>
                </c:pt>
                <c:pt idx="820">
                  <c:v>68.782574604372613</c:v>
                </c:pt>
                <c:pt idx="821">
                  <c:v>89.177481669048547</c:v>
                </c:pt>
                <c:pt idx="822">
                  <c:v>111.11950263578019</c:v>
                </c:pt>
                <c:pt idx="823">
                  <c:v>70.582373709532717</c:v>
                </c:pt>
                <c:pt idx="824">
                  <c:v>80.298625153557481</c:v>
                </c:pt>
                <c:pt idx="825">
                  <c:v>76.670613544315728</c:v>
                </c:pt>
                <c:pt idx="826">
                  <c:v>53.402677918182782</c:v>
                </c:pt>
                <c:pt idx="827">
                  <c:v>79.607682291841869</c:v>
                </c:pt>
                <c:pt idx="828">
                  <c:v>71.197249217667277</c:v>
                </c:pt>
                <c:pt idx="829">
                  <c:v>74.453158127495129</c:v>
                </c:pt>
                <c:pt idx="830">
                  <c:v>54.436310900878553</c:v>
                </c:pt>
                <c:pt idx="831">
                  <c:v>65.05253467563945</c:v>
                </c:pt>
                <c:pt idx="832">
                  <c:v>57.800833962568099</c:v>
                </c:pt>
                <c:pt idx="833">
                  <c:v>58.033190277710808</c:v>
                </c:pt>
                <c:pt idx="834">
                  <c:v>138.49219343883007</c:v>
                </c:pt>
                <c:pt idx="835">
                  <c:v>89.487940507062902</c:v>
                </c:pt>
                <c:pt idx="836">
                  <c:v>60.276041302682721</c:v>
                </c:pt>
                <c:pt idx="837">
                  <c:v>97.15772467770941</c:v>
                </c:pt>
                <c:pt idx="838">
                  <c:v>76.86621624706207</c:v>
                </c:pt>
                <c:pt idx="839">
                  <c:v>94.441947128963875</c:v>
                </c:pt>
                <c:pt idx="840">
                  <c:v>130.23811783021404</c:v>
                </c:pt>
                <c:pt idx="841">
                  <c:v>100.10288856177682</c:v>
                </c:pt>
                <c:pt idx="842">
                  <c:v>103.42978153962773</c:v>
                </c:pt>
                <c:pt idx="843">
                  <c:v>93.517362125047029</c:v>
                </c:pt>
                <c:pt idx="844">
                  <c:v>33.220605279576787</c:v>
                </c:pt>
                <c:pt idx="845">
                  <c:v>42.870336728814145</c:v>
                </c:pt>
                <c:pt idx="846">
                  <c:v>43.678015032992775</c:v>
                </c:pt>
                <c:pt idx="847">
                  <c:v>34.829906030903111</c:v>
                </c:pt>
                <c:pt idx="848">
                  <c:v>68.547824117144486</c:v>
                </c:pt>
                <c:pt idx="849">
                  <c:v>73.831704213955348</c:v>
                </c:pt>
                <c:pt idx="850">
                  <c:v>103.68096572257129</c:v>
                </c:pt>
                <c:pt idx="851">
                  <c:v>101.95084364804082</c:v>
                </c:pt>
                <c:pt idx="852">
                  <c:v>88.984871495477833</c:v>
                </c:pt>
                <c:pt idx="853">
                  <c:v>46.234323655623456</c:v>
                </c:pt>
                <c:pt idx="854">
                  <c:v>49.245947493150894</c:v>
                </c:pt>
                <c:pt idx="855">
                  <c:v>72.076528352935952</c:v>
                </c:pt>
                <c:pt idx="856">
                  <c:v>49.403625135421926</c:v>
                </c:pt>
                <c:pt idx="857">
                  <c:v>118.06105738303577</c:v>
                </c:pt>
                <c:pt idx="858">
                  <c:v>109.96718998578469</c:v>
                </c:pt>
                <c:pt idx="859">
                  <c:v>92.250841120229467</c:v>
                </c:pt>
                <c:pt idx="860">
                  <c:v>81.173769076906538</c:v>
                </c:pt>
                <c:pt idx="861">
                  <c:v>80.438115350822599</c:v>
                </c:pt>
                <c:pt idx="862">
                  <c:v>85.974303416945475</c:v>
                </c:pt>
                <c:pt idx="863">
                  <c:v>75.240770822823904</c:v>
                </c:pt>
                <c:pt idx="864">
                  <c:v>71.205032598270776</c:v>
                </c:pt>
                <c:pt idx="865">
                  <c:v>73.748609930957826</c:v>
                </c:pt>
                <c:pt idx="866">
                  <c:v>48.468294417276439</c:v>
                </c:pt>
                <c:pt idx="867">
                  <c:v>88.894833706884484</c:v>
                </c:pt>
                <c:pt idx="868">
                  <c:v>54.944913525891522</c:v>
                </c:pt>
                <c:pt idx="869">
                  <c:v>64.264654666617247</c:v>
                </c:pt>
                <c:pt idx="870">
                  <c:v>115.90676674695655</c:v>
                </c:pt>
                <c:pt idx="871">
                  <c:v>53.747673871814584</c:v>
                </c:pt>
                <c:pt idx="872">
                  <c:v>73.153472924224459</c:v>
                </c:pt>
                <c:pt idx="873">
                  <c:v>52.257264546023876</c:v>
                </c:pt>
                <c:pt idx="874">
                  <c:v>57.793904688506011</c:v>
                </c:pt>
                <c:pt idx="875">
                  <c:v>52.226323018018363</c:v>
                </c:pt>
                <c:pt idx="876">
                  <c:v>61.93035465880596</c:v>
                </c:pt>
                <c:pt idx="877">
                  <c:v>57.236457213997149</c:v>
                </c:pt>
                <c:pt idx="878">
                  <c:v>43.667023396227371</c:v>
                </c:pt>
                <c:pt idx="879">
                  <c:v>57.106664043298522</c:v>
                </c:pt>
                <c:pt idx="880">
                  <c:v>59.845404735547113</c:v>
                </c:pt>
                <c:pt idx="881">
                  <c:v>58.771338887034098</c:v>
                </c:pt>
                <c:pt idx="882">
                  <c:v>52.840389674897779</c:v>
                </c:pt>
                <c:pt idx="883">
                  <c:v>35.554329530585768</c:v>
                </c:pt>
                <c:pt idx="884">
                  <c:v>47.93910861477552</c:v>
                </c:pt>
                <c:pt idx="885">
                  <c:v>24.172304810144585</c:v>
                </c:pt>
                <c:pt idx="886">
                  <c:v>36.31683762332738</c:v>
                </c:pt>
                <c:pt idx="887">
                  <c:v>50.778277960054943</c:v>
                </c:pt>
                <c:pt idx="888">
                  <c:v>42.936322818118668</c:v>
                </c:pt>
                <c:pt idx="889">
                  <c:v>45.381120387305501</c:v>
                </c:pt>
                <c:pt idx="890">
                  <c:v>43.713294396492195</c:v>
                </c:pt>
                <c:pt idx="891">
                  <c:v>40.244098271225155</c:v>
                </c:pt>
                <c:pt idx="892">
                  <c:v>47.60612091628235</c:v>
                </c:pt>
                <c:pt idx="893">
                  <c:v>74.972984139833557</c:v>
                </c:pt>
                <c:pt idx="894">
                  <c:v>41.061764995933032</c:v>
                </c:pt>
                <c:pt idx="895">
                  <c:v>66.200054877856417</c:v>
                </c:pt>
                <c:pt idx="896">
                  <c:v>34.763173706787683</c:v>
                </c:pt>
                <c:pt idx="897">
                  <c:v>31.955748746912974</c:v>
                </c:pt>
                <c:pt idx="898">
                  <c:v>49.495482255305745</c:v>
                </c:pt>
                <c:pt idx="899">
                  <c:v>37.366219533631813</c:v>
                </c:pt>
                <c:pt idx="900">
                  <c:v>44.469185242106036</c:v>
                </c:pt>
                <c:pt idx="901">
                  <c:v>40.985221274735778</c:v>
                </c:pt>
                <c:pt idx="902">
                  <c:v>74.759686814500782</c:v>
                </c:pt>
                <c:pt idx="903">
                  <c:v>80.000858891263988</c:v>
                </c:pt>
                <c:pt idx="904">
                  <c:v>72.762521498728944</c:v>
                </c:pt>
                <c:pt idx="905">
                  <c:v>84.924485694783456</c:v>
                </c:pt>
                <c:pt idx="906">
                  <c:v>58.814492685901314</c:v>
                </c:pt>
                <c:pt idx="907">
                  <c:v>55.488794854389219</c:v>
                </c:pt>
                <c:pt idx="908">
                  <c:v>60.949303490953305</c:v>
                </c:pt>
                <c:pt idx="909">
                  <c:v>68.206980750465021</c:v>
                </c:pt>
                <c:pt idx="910">
                  <c:v>91.570908900156837</c:v>
                </c:pt>
                <c:pt idx="911">
                  <c:v>77.896814331669205</c:v>
                </c:pt>
                <c:pt idx="912">
                  <c:v>62.272374175010924</c:v>
                </c:pt>
                <c:pt idx="913">
                  <c:v>64.287239431831296</c:v>
                </c:pt>
                <c:pt idx="914">
                  <c:v>62.490826347406703</c:v>
                </c:pt>
                <c:pt idx="915">
                  <c:v>57.258707560018209</c:v>
                </c:pt>
                <c:pt idx="916">
                  <c:v>57.225021614770128</c:v>
                </c:pt>
                <c:pt idx="917">
                  <c:v>60.544235814542795</c:v>
                </c:pt>
                <c:pt idx="918">
                  <c:v>79.959936878853924</c:v>
                </c:pt>
                <c:pt idx="919">
                  <c:v>127.24206907930241</c:v>
                </c:pt>
                <c:pt idx="920">
                  <c:v>86.631194445086521</c:v>
                </c:pt>
                <c:pt idx="921">
                  <c:v>88.220601715268103</c:v>
                </c:pt>
                <c:pt idx="922">
                  <c:v>56.541176985256484</c:v>
                </c:pt>
                <c:pt idx="923">
                  <c:v>134.74036131930103</c:v>
                </c:pt>
                <c:pt idx="924">
                  <c:v>140.0154714216539</c:v>
                </c:pt>
                <c:pt idx="925">
                  <c:v>80.170358855467228</c:v>
                </c:pt>
                <c:pt idx="926">
                  <c:v>61.449842122342382</c:v>
                </c:pt>
                <c:pt idx="927">
                  <c:v>57.09318247386274</c:v>
                </c:pt>
                <c:pt idx="928">
                  <c:v>60.937280163741292</c:v>
                </c:pt>
                <c:pt idx="929">
                  <c:v>58.899735361796353</c:v>
                </c:pt>
                <c:pt idx="930">
                  <c:v>57.773070805737383</c:v>
                </c:pt>
                <c:pt idx="931">
                  <c:v>58.37518002219683</c:v>
                </c:pt>
                <c:pt idx="932">
                  <c:v>66.75244273986003</c:v>
                </c:pt>
                <c:pt idx="933">
                  <c:v>74.653406069405449</c:v>
                </c:pt>
                <c:pt idx="934">
                  <c:v>54.048233167956575</c:v>
                </c:pt>
                <c:pt idx="935">
                  <c:v>72.524251675500537</c:v>
                </c:pt>
                <c:pt idx="936">
                  <c:v>60.119827645168193</c:v>
                </c:pt>
                <c:pt idx="937">
                  <c:v>89.075615169690167</c:v>
                </c:pt>
                <c:pt idx="938">
                  <c:v>40.999524624260609</c:v>
                </c:pt>
                <c:pt idx="939">
                  <c:v>50.770368148910912</c:v>
                </c:pt>
                <c:pt idx="940">
                  <c:v>55.902279061379268</c:v>
                </c:pt>
                <c:pt idx="941">
                  <c:v>38.079159904755812</c:v>
                </c:pt>
                <c:pt idx="942">
                  <c:v>52.362472230718147</c:v>
                </c:pt>
                <c:pt idx="943">
                  <c:v>57.84259613487032</c:v>
                </c:pt>
                <c:pt idx="944">
                  <c:v>53.817353220922968</c:v>
                </c:pt>
                <c:pt idx="945">
                  <c:v>64.41360524668562</c:v>
                </c:pt>
                <c:pt idx="946">
                  <c:v>49.590342491760758</c:v>
                </c:pt>
                <c:pt idx="947">
                  <c:v>52.59196500881928</c:v>
                </c:pt>
                <c:pt idx="948">
                  <c:v>76.195427381750946</c:v>
                </c:pt>
                <c:pt idx="949">
                  <c:v>64.097569092363045</c:v>
                </c:pt>
                <c:pt idx="950">
                  <c:v>35.272310338445322</c:v>
                </c:pt>
                <c:pt idx="951">
                  <c:v>60.029424048194358</c:v>
                </c:pt>
                <c:pt idx="952">
                  <c:v>49.635717175527446</c:v>
                </c:pt>
                <c:pt idx="953">
                  <c:v>66.265056900789602</c:v>
                </c:pt>
                <c:pt idx="954">
                  <c:v>48.455748450633166</c:v>
                </c:pt>
                <c:pt idx="955">
                  <c:v>65.136835396468371</c:v>
                </c:pt>
                <c:pt idx="956">
                  <c:v>38.78472939896281</c:v>
                </c:pt>
                <c:pt idx="957">
                  <c:v>51.060140807528889</c:v>
                </c:pt>
                <c:pt idx="958">
                  <c:v>37.447908019964814</c:v>
                </c:pt>
                <c:pt idx="959">
                  <c:v>45.73330062939857</c:v>
                </c:pt>
                <c:pt idx="960">
                  <c:v>85.313234579050558</c:v>
                </c:pt>
                <c:pt idx="961">
                  <c:v>37.125070394985713</c:v>
                </c:pt>
                <c:pt idx="962">
                  <c:v>36.940976766609133</c:v>
                </c:pt>
                <c:pt idx="963">
                  <c:v>53.246791592260081</c:v>
                </c:pt>
                <c:pt idx="964">
                  <c:v>49.433502215249483</c:v>
                </c:pt>
                <c:pt idx="965">
                  <c:v>42.106181780060403</c:v>
                </c:pt>
                <c:pt idx="966">
                  <c:v>58.576543166088257</c:v>
                </c:pt>
                <c:pt idx="967">
                  <c:v>49.600022197283614</c:v>
                </c:pt>
                <c:pt idx="968">
                  <c:v>41.402190584470091</c:v>
                </c:pt>
                <c:pt idx="969">
                  <c:v>40.815591733903041</c:v>
                </c:pt>
                <c:pt idx="970">
                  <c:v>47.108923621093801</c:v>
                </c:pt>
                <c:pt idx="971">
                  <c:v>56.158307841740701</c:v>
                </c:pt>
                <c:pt idx="972">
                  <c:v>51.840517004129538</c:v>
                </c:pt>
                <c:pt idx="973">
                  <c:v>46.844325947144846</c:v>
                </c:pt>
                <c:pt idx="974">
                  <c:v>35.137524425766991</c:v>
                </c:pt>
                <c:pt idx="975">
                  <c:v>41.824441730684597</c:v>
                </c:pt>
                <c:pt idx="976">
                  <c:v>49.77910816393441</c:v>
                </c:pt>
                <c:pt idx="977">
                  <c:v>47.327569609479191</c:v>
                </c:pt>
                <c:pt idx="978">
                  <c:v>36.690159721907676</c:v>
                </c:pt>
                <c:pt idx="979">
                  <c:v>41.134403105086257</c:v>
                </c:pt>
                <c:pt idx="980">
                  <c:v>41.84560530824379</c:v>
                </c:pt>
                <c:pt idx="981">
                  <c:v>35.305945913795824</c:v>
                </c:pt>
                <c:pt idx="982">
                  <c:v>42.629542926385582</c:v>
                </c:pt>
                <c:pt idx="983">
                  <c:v>68.029277390403152</c:v>
                </c:pt>
                <c:pt idx="984">
                  <c:v>32.765164838136265</c:v>
                </c:pt>
                <c:pt idx="985">
                  <c:v>30.388854346912709</c:v>
                </c:pt>
                <c:pt idx="986">
                  <c:v>40.128716775519436</c:v>
                </c:pt>
                <c:pt idx="987">
                  <c:v>52.079141940980961</c:v>
                </c:pt>
                <c:pt idx="988">
                  <c:v>48.802074082060798</c:v>
                </c:pt>
                <c:pt idx="989">
                  <c:v>44.869384382057312</c:v>
                </c:pt>
                <c:pt idx="990">
                  <c:v>48.975480821913457</c:v>
                </c:pt>
                <c:pt idx="991">
                  <c:v>28.2582624892787</c:v>
                </c:pt>
                <c:pt idx="992">
                  <c:v>40.873219352056161</c:v>
                </c:pt>
                <c:pt idx="993">
                  <c:v>42.989121127271012</c:v>
                </c:pt>
                <c:pt idx="994">
                  <c:v>41.545244053958172</c:v>
                </c:pt>
                <c:pt idx="995">
                  <c:v>41.746850566749529</c:v>
                </c:pt>
                <c:pt idx="996">
                  <c:v>48.447709046174595</c:v>
                </c:pt>
                <c:pt idx="997">
                  <c:v>32.034820051949794</c:v>
                </c:pt>
                <c:pt idx="998">
                  <c:v>42.849418366172515</c:v>
                </c:pt>
                <c:pt idx="999">
                  <c:v>42.892925324668759</c:v>
                </c:pt>
                <c:pt idx="1000">
                  <c:v>36.563723799189532</c:v>
                </c:pt>
                <c:pt idx="1001">
                  <c:v>37.170065353015588</c:v>
                </c:pt>
                <c:pt idx="1002">
                  <c:v>38.08441794107614</c:v>
                </c:pt>
                <c:pt idx="1003">
                  <c:v>33.701512974360661</c:v>
                </c:pt>
                <c:pt idx="1004">
                  <c:v>36.015794633272712</c:v>
                </c:pt>
                <c:pt idx="1005">
                  <c:v>43.468478379163678</c:v>
                </c:pt>
                <c:pt idx="1006">
                  <c:v>37.573487388558981</c:v>
                </c:pt>
                <c:pt idx="1007">
                  <c:v>43.629865141459483</c:v>
                </c:pt>
                <c:pt idx="1008">
                  <c:v>34.872324543376969</c:v>
                </c:pt>
                <c:pt idx="1009">
                  <c:v>39.862988247250726</c:v>
                </c:pt>
                <c:pt idx="1010">
                  <c:v>37.10782147664186</c:v>
                </c:pt>
                <c:pt idx="1011">
                  <c:v>36.378372264039207</c:v>
                </c:pt>
                <c:pt idx="1012">
                  <c:v>33.415792033130352</c:v>
                </c:pt>
                <c:pt idx="1013">
                  <c:v>34.059805602803117</c:v>
                </c:pt>
                <c:pt idx="1014">
                  <c:v>46.919489076332823</c:v>
                </c:pt>
                <c:pt idx="1015">
                  <c:v>30.021683351897373</c:v>
                </c:pt>
                <c:pt idx="1016">
                  <c:v>56.087199354882728</c:v>
                </c:pt>
                <c:pt idx="1017">
                  <c:v>33.689371597912697</c:v>
                </c:pt>
                <c:pt idx="1018">
                  <c:v>57.908349952953408</c:v>
                </c:pt>
                <c:pt idx="1019">
                  <c:v>37.935374401877539</c:v>
                </c:pt>
                <c:pt idx="1020">
                  <c:v>30.537318160765768</c:v>
                </c:pt>
                <c:pt idx="1021">
                  <c:v>35.768082475269793</c:v>
                </c:pt>
                <c:pt idx="1022">
                  <c:v>38.392322689032788</c:v>
                </c:pt>
                <c:pt idx="1023">
                  <c:v>28.728777108414036</c:v>
                </c:pt>
                <c:pt idx="1024">
                  <c:v>35.120576647178083</c:v>
                </c:pt>
                <c:pt idx="1025">
                  <c:v>33.435500301812155</c:v>
                </c:pt>
                <c:pt idx="1026">
                  <c:v>34.983475814345177</c:v>
                </c:pt>
                <c:pt idx="1027">
                  <c:v>53.961248679823441</c:v>
                </c:pt>
                <c:pt idx="1028">
                  <c:v>37.282896274944676</c:v>
                </c:pt>
                <c:pt idx="1029">
                  <c:v>29.759362465125641</c:v>
                </c:pt>
                <c:pt idx="1030">
                  <c:v>31.558046836705003</c:v>
                </c:pt>
                <c:pt idx="1031">
                  <c:v>43.979988401563631</c:v>
                </c:pt>
                <c:pt idx="1032">
                  <c:v>34.484501558358396</c:v>
                </c:pt>
                <c:pt idx="1033">
                  <c:v>31.952091198758943</c:v>
                </c:pt>
                <c:pt idx="1034">
                  <c:v>31.089844111851445</c:v>
                </c:pt>
                <c:pt idx="1035">
                  <c:v>33.248035778285768</c:v>
                </c:pt>
                <c:pt idx="1036">
                  <c:v>34.087322352602733</c:v>
                </c:pt>
                <c:pt idx="1037">
                  <c:v>36.856857436058732</c:v>
                </c:pt>
                <c:pt idx="1038">
                  <c:v>21.329767806499156</c:v>
                </c:pt>
                <c:pt idx="1039">
                  <c:v>26.736676314659075</c:v>
                </c:pt>
                <c:pt idx="1040">
                  <c:v>26.021457850943158</c:v>
                </c:pt>
                <c:pt idx="1041">
                  <c:v>24.502520767585992</c:v>
                </c:pt>
                <c:pt idx="1042">
                  <c:v>26.333106627106485</c:v>
                </c:pt>
                <c:pt idx="1043">
                  <c:v>31.453312901645386</c:v>
                </c:pt>
                <c:pt idx="1044">
                  <c:v>28.478581768814426</c:v>
                </c:pt>
                <c:pt idx="1045">
                  <c:v>29.038378578436067</c:v>
                </c:pt>
                <c:pt idx="1046">
                  <c:v>29.5449597218531</c:v>
                </c:pt>
                <c:pt idx="1047">
                  <c:v>34.725731294570039</c:v>
                </c:pt>
                <c:pt idx="1048">
                  <c:v>31.920753547842814</c:v>
                </c:pt>
                <c:pt idx="1049">
                  <c:v>33.732453655917134</c:v>
                </c:pt>
                <c:pt idx="1050">
                  <c:v>27.977021962333602</c:v>
                </c:pt>
                <c:pt idx="1051">
                  <c:v>34.715489600795458</c:v>
                </c:pt>
                <c:pt idx="1052">
                  <c:v>39.574491635544312</c:v>
                </c:pt>
                <c:pt idx="1053">
                  <c:v>35.378792115127467</c:v>
                </c:pt>
                <c:pt idx="1054">
                  <c:v>34.902776544959096</c:v>
                </c:pt>
                <c:pt idx="1055">
                  <c:v>42.070102681320051</c:v>
                </c:pt>
                <c:pt idx="1056">
                  <c:v>41.97811854918092</c:v>
                </c:pt>
                <c:pt idx="1057">
                  <c:v>35.934367854509482</c:v>
                </c:pt>
                <c:pt idx="1058">
                  <c:v>35.384252211945572</c:v>
                </c:pt>
                <c:pt idx="1059">
                  <c:v>30.051930053106975</c:v>
                </c:pt>
                <c:pt idx="1060">
                  <c:v>36.573888209038586</c:v>
                </c:pt>
                <c:pt idx="1061">
                  <c:v>36.763681996784221</c:v>
                </c:pt>
                <c:pt idx="1062">
                  <c:v>36.85473623866659</c:v>
                </c:pt>
                <c:pt idx="1063">
                  <c:v>32.163123462753987</c:v>
                </c:pt>
                <c:pt idx="1064">
                  <c:v>35.33413982480878</c:v>
                </c:pt>
                <c:pt idx="1065">
                  <c:v>35.33413982480878</c:v>
                </c:pt>
                <c:pt idx="1066">
                  <c:v>42.929329889901538</c:v>
                </c:pt>
                <c:pt idx="1067">
                  <c:v>38.389848834567886</c:v>
                </c:pt>
                <c:pt idx="1068">
                  <c:v>35.943089835219808</c:v>
                </c:pt>
                <c:pt idx="1069">
                  <c:v>39.402780699053665</c:v>
                </c:pt>
                <c:pt idx="1070">
                  <c:v>43.913042215894812</c:v>
                </c:pt>
                <c:pt idx="1071">
                  <c:v>33.419383144704057</c:v>
                </c:pt>
                <c:pt idx="1072">
                  <c:v>41.117290234291183</c:v>
                </c:pt>
                <c:pt idx="1073">
                  <c:v>40.430339508817504</c:v>
                </c:pt>
                <c:pt idx="1074">
                  <c:v>44.218195483385074</c:v>
                </c:pt>
                <c:pt idx="1075">
                  <c:v>47.7899572525316</c:v>
                </c:pt>
                <c:pt idx="1076">
                  <c:v>53.720536231467406</c:v>
                </c:pt>
                <c:pt idx="1077">
                  <c:v>42.051699932265457</c:v>
                </c:pt>
                <c:pt idx="1078">
                  <c:v>49.248131445431177</c:v>
                </c:pt>
                <c:pt idx="1079">
                  <c:v>43.206727603655132</c:v>
                </c:pt>
                <c:pt idx="1080">
                  <c:v>43.482139290432414</c:v>
                </c:pt>
                <c:pt idx="1081">
                  <c:v>49.384589085231553</c:v>
                </c:pt>
                <c:pt idx="1082">
                  <c:v>49.807928240775368</c:v>
                </c:pt>
                <c:pt idx="1083">
                  <c:v>47.288522743490518</c:v>
                </c:pt>
                <c:pt idx="1084">
                  <c:v>53.076118333404828</c:v>
                </c:pt>
                <c:pt idx="1085">
                  <c:v>53.642984256237327</c:v>
                </c:pt>
                <c:pt idx="1086">
                  <c:v>53.975882893319742</c:v>
                </c:pt>
                <c:pt idx="1087">
                  <c:v>55.757239757725458</c:v>
                </c:pt>
                <c:pt idx="1088">
                  <c:v>56.287947139639286</c:v>
                </c:pt>
                <c:pt idx="1089">
                  <c:v>56.663446421113441</c:v>
                </c:pt>
                <c:pt idx="1090">
                  <c:v>56.425045653415808</c:v>
                </c:pt>
                <c:pt idx="1091">
                  <c:v>45.41465407919641</c:v>
                </c:pt>
                <c:pt idx="1092">
                  <c:v>57.795644857645158</c:v>
                </c:pt>
                <c:pt idx="1093">
                  <c:v>59.614095652178761</c:v>
                </c:pt>
                <c:pt idx="1094">
                  <c:v>64.353237937480046</c:v>
                </c:pt>
                <c:pt idx="1095">
                  <c:v>60.896330903341848</c:v>
                </c:pt>
                <c:pt idx="1096">
                  <c:v>63.571283954797941</c:v>
                </c:pt>
                <c:pt idx="1097">
                  <c:v>69.061586063443855</c:v>
                </c:pt>
                <c:pt idx="1098">
                  <c:v>59.48538846329911</c:v>
                </c:pt>
                <c:pt idx="1099">
                  <c:v>73.795717609460837</c:v>
                </c:pt>
                <c:pt idx="1100">
                  <c:v>53.345255127278236</c:v>
                </c:pt>
              </c:numCache>
            </c:numRef>
          </c:yVal>
          <c:bubbleSize>
            <c:numRef>
              <c:f>'LCOE of Utility-Scale PV'!$O$27:$O$1127</c:f>
              <c:numCache>
                <c:formatCode>General</c:formatCode>
                <c:ptCount val="1101"/>
                <c:pt idx="0">
                  <c:v>19</c:v>
                </c:pt>
                <c:pt idx="1">
                  <c:v>10</c:v>
                </c:pt>
                <c:pt idx="2">
                  <c:v>12.6</c:v>
                </c:pt>
                <c:pt idx="3">
                  <c:v>8.25</c:v>
                </c:pt>
                <c:pt idx="4">
                  <c:v>17.5</c:v>
                </c:pt>
                <c:pt idx="5">
                  <c:v>5.0999999999999996</c:v>
                </c:pt>
                <c:pt idx="6">
                  <c:v>30.64</c:v>
                </c:pt>
                <c:pt idx="7">
                  <c:v>48</c:v>
                </c:pt>
                <c:pt idx="8">
                  <c:v>10.08</c:v>
                </c:pt>
                <c:pt idx="9">
                  <c:v>13.9</c:v>
                </c:pt>
                <c:pt idx="10">
                  <c:v>17.600000000000001</c:v>
                </c:pt>
                <c:pt idx="11">
                  <c:v>15</c:v>
                </c:pt>
                <c:pt idx="12">
                  <c:v>20</c:v>
                </c:pt>
                <c:pt idx="13">
                  <c:v>17</c:v>
                </c:pt>
                <c:pt idx="14">
                  <c:v>16</c:v>
                </c:pt>
                <c:pt idx="15">
                  <c:v>10.4</c:v>
                </c:pt>
                <c:pt idx="16">
                  <c:v>6</c:v>
                </c:pt>
                <c:pt idx="17">
                  <c:v>15</c:v>
                </c:pt>
                <c:pt idx="18">
                  <c:v>8.91</c:v>
                </c:pt>
                <c:pt idx="19">
                  <c:v>19</c:v>
                </c:pt>
                <c:pt idx="20">
                  <c:v>18</c:v>
                </c:pt>
                <c:pt idx="21">
                  <c:v>20</c:v>
                </c:pt>
                <c:pt idx="22">
                  <c:v>20</c:v>
                </c:pt>
                <c:pt idx="23">
                  <c:v>15</c:v>
                </c:pt>
                <c:pt idx="24">
                  <c:v>5.2</c:v>
                </c:pt>
                <c:pt idx="25">
                  <c:v>30.4</c:v>
                </c:pt>
                <c:pt idx="26">
                  <c:v>10</c:v>
                </c:pt>
                <c:pt idx="27">
                  <c:v>5.5</c:v>
                </c:pt>
                <c:pt idx="28">
                  <c:v>8</c:v>
                </c:pt>
                <c:pt idx="29">
                  <c:v>12</c:v>
                </c:pt>
                <c:pt idx="30">
                  <c:v>10</c:v>
                </c:pt>
                <c:pt idx="31">
                  <c:v>18</c:v>
                </c:pt>
                <c:pt idx="32">
                  <c:v>9</c:v>
                </c:pt>
                <c:pt idx="33">
                  <c:v>7</c:v>
                </c:pt>
                <c:pt idx="34">
                  <c:v>20.16</c:v>
                </c:pt>
                <c:pt idx="35">
                  <c:v>31.5</c:v>
                </c:pt>
                <c:pt idx="36">
                  <c:v>8.08</c:v>
                </c:pt>
                <c:pt idx="37">
                  <c:v>30</c:v>
                </c:pt>
                <c:pt idx="38">
                  <c:v>5.0999999999999996</c:v>
                </c:pt>
                <c:pt idx="39">
                  <c:v>9</c:v>
                </c:pt>
                <c:pt idx="40">
                  <c:v>19</c:v>
                </c:pt>
                <c:pt idx="41">
                  <c:v>20</c:v>
                </c:pt>
                <c:pt idx="42">
                  <c:v>170</c:v>
                </c:pt>
                <c:pt idx="43">
                  <c:v>26.46</c:v>
                </c:pt>
                <c:pt idx="44">
                  <c:v>19</c:v>
                </c:pt>
                <c:pt idx="45">
                  <c:v>50</c:v>
                </c:pt>
                <c:pt idx="46">
                  <c:v>20</c:v>
                </c:pt>
                <c:pt idx="47">
                  <c:v>20</c:v>
                </c:pt>
                <c:pt idx="48">
                  <c:v>10</c:v>
                </c:pt>
                <c:pt idx="49">
                  <c:v>20</c:v>
                </c:pt>
                <c:pt idx="50">
                  <c:v>23</c:v>
                </c:pt>
                <c:pt idx="51">
                  <c:v>10</c:v>
                </c:pt>
                <c:pt idx="52">
                  <c:v>25.8</c:v>
                </c:pt>
                <c:pt idx="53">
                  <c:v>30</c:v>
                </c:pt>
                <c:pt idx="54">
                  <c:v>11.12</c:v>
                </c:pt>
                <c:pt idx="55">
                  <c:v>14.85</c:v>
                </c:pt>
                <c:pt idx="56">
                  <c:v>14.85</c:v>
                </c:pt>
                <c:pt idx="57">
                  <c:v>12</c:v>
                </c:pt>
                <c:pt idx="58">
                  <c:v>20</c:v>
                </c:pt>
                <c:pt idx="59">
                  <c:v>5.5</c:v>
                </c:pt>
                <c:pt idx="60">
                  <c:v>20</c:v>
                </c:pt>
                <c:pt idx="61">
                  <c:v>13</c:v>
                </c:pt>
                <c:pt idx="62">
                  <c:v>20</c:v>
                </c:pt>
                <c:pt idx="63">
                  <c:v>12.5</c:v>
                </c:pt>
                <c:pt idx="64">
                  <c:v>5.5</c:v>
                </c:pt>
                <c:pt idx="65">
                  <c:v>5.5</c:v>
                </c:pt>
                <c:pt idx="66">
                  <c:v>15.904</c:v>
                </c:pt>
                <c:pt idx="67">
                  <c:v>12</c:v>
                </c:pt>
                <c:pt idx="68">
                  <c:v>20</c:v>
                </c:pt>
                <c:pt idx="69">
                  <c:v>92</c:v>
                </c:pt>
                <c:pt idx="70">
                  <c:v>52</c:v>
                </c:pt>
                <c:pt idx="71">
                  <c:v>21.8</c:v>
                </c:pt>
                <c:pt idx="72">
                  <c:v>10</c:v>
                </c:pt>
                <c:pt idx="73">
                  <c:v>7.6</c:v>
                </c:pt>
                <c:pt idx="74">
                  <c:v>9.9</c:v>
                </c:pt>
                <c:pt idx="75">
                  <c:v>9.9</c:v>
                </c:pt>
                <c:pt idx="76">
                  <c:v>10.6</c:v>
                </c:pt>
                <c:pt idx="77">
                  <c:v>37.44</c:v>
                </c:pt>
                <c:pt idx="78">
                  <c:v>129</c:v>
                </c:pt>
                <c:pt idx="79">
                  <c:v>15</c:v>
                </c:pt>
                <c:pt idx="80">
                  <c:v>14</c:v>
                </c:pt>
                <c:pt idx="81">
                  <c:v>14.8</c:v>
                </c:pt>
                <c:pt idx="82">
                  <c:v>9</c:v>
                </c:pt>
                <c:pt idx="83">
                  <c:v>130</c:v>
                </c:pt>
                <c:pt idx="84">
                  <c:v>66</c:v>
                </c:pt>
                <c:pt idx="85">
                  <c:v>20.2</c:v>
                </c:pt>
                <c:pt idx="86">
                  <c:v>26</c:v>
                </c:pt>
                <c:pt idx="87">
                  <c:v>250</c:v>
                </c:pt>
                <c:pt idx="88">
                  <c:v>147.4</c:v>
                </c:pt>
                <c:pt idx="89">
                  <c:v>110</c:v>
                </c:pt>
                <c:pt idx="90">
                  <c:v>20</c:v>
                </c:pt>
                <c:pt idx="91">
                  <c:v>20</c:v>
                </c:pt>
                <c:pt idx="92">
                  <c:v>20</c:v>
                </c:pt>
                <c:pt idx="93">
                  <c:v>12</c:v>
                </c:pt>
                <c:pt idx="94">
                  <c:v>8.5</c:v>
                </c:pt>
                <c:pt idx="95">
                  <c:v>8.5</c:v>
                </c:pt>
                <c:pt idx="96">
                  <c:v>20</c:v>
                </c:pt>
                <c:pt idx="97">
                  <c:v>20</c:v>
                </c:pt>
                <c:pt idx="98">
                  <c:v>20</c:v>
                </c:pt>
                <c:pt idx="99">
                  <c:v>10</c:v>
                </c:pt>
                <c:pt idx="100">
                  <c:v>20</c:v>
                </c:pt>
                <c:pt idx="101">
                  <c:v>7.65</c:v>
                </c:pt>
                <c:pt idx="102">
                  <c:v>16</c:v>
                </c:pt>
                <c:pt idx="103">
                  <c:v>10</c:v>
                </c:pt>
                <c:pt idx="104">
                  <c:v>10.1</c:v>
                </c:pt>
                <c:pt idx="105">
                  <c:v>10.1</c:v>
                </c:pt>
                <c:pt idx="106">
                  <c:v>8.6</c:v>
                </c:pt>
                <c:pt idx="107">
                  <c:v>20</c:v>
                </c:pt>
                <c:pt idx="108">
                  <c:v>9.8000000000000007</c:v>
                </c:pt>
                <c:pt idx="109">
                  <c:v>7.5</c:v>
                </c:pt>
                <c:pt idx="110">
                  <c:v>8</c:v>
                </c:pt>
                <c:pt idx="111">
                  <c:v>7.5</c:v>
                </c:pt>
                <c:pt idx="112">
                  <c:v>30</c:v>
                </c:pt>
                <c:pt idx="113">
                  <c:v>9.9990000000000006</c:v>
                </c:pt>
                <c:pt idx="114">
                  <c:v>40.700000000000003</c:v>
                </c:pt>
                <c:pt idx="115">
                  <c:v>290</c:v>
                </c:pt>
                <c:pt idx="116">
                  <c:v>37.119999999999997</c:v>
                </c:pt>
                <c:pt idx="117">
                  <c:v>29</c:v>
                </c:pt>
                <c:pt idx="118">
                  <c:v>12.6</c:v>
                </c:pt>
                <c:pt idx="119">
                  <c:v>17.7</c:v>
                </c:pt>
                <c:pt idx="120">
                  <c:v>6</c:v>
                </c:pt>
                <c:pt idx="121">
                  <c:v>13.624000000000001</c:v>
                </c:pt>
                <c:pt idx="122">
                  <c:v>19.568000000000001</c:v>
                </c:pt>
                <c:pt idx="123">
                  <c:v>241.5</c:v>
                </c:pt>
                <c:pt idx="124">
                  <c:v>19.7</c:v>
                </c:pt>
                <c:pt idx="125">
                  <c:v>18.5</c:v>
                </c:pt>
                <c:pt idx="126">
                  <c:v>170</c:v>
                </c:pt>
                <c:pt idx="127">
                  <c:v>19.760000000000002</c:v>
                </c:pt>
                <c:pt idx="128">
                  <c:v>249.7</c:v>
                </c:pt>
                <c:pt idx="129">
                  <c:v>313.7</c:v>
                </c:pt>
                <c:pt idx="130">
                  <c:v>10</c:v>
                </c:pt>
                <c:pt idx="131">
                  <c:v>10</c:v>
                </c:pt>
                <c:pt idx="132">
                  <c:v>20</c:v>
                </c:pt>
                <c:pt idx="133">
                  <c:v>206.72</c:v>
                </c:pt>
                <c:pt idx="134">
                  <c:v>6</c:v>
                </c:pt>
                <c:pt idx="135">
                  <c:v>12</c:v>
                </c:pt>
                <c:pt idx="136">
                  <c:v>8</c:v>
                </c:pt>
                <c:pt idx="137">
                  <c:v>19</c:v>
                </c:pt>
                <c:pt idx="138">
                  <c:v>45</c:v>
                </c:pt>
                <c:pt idx="139">
                  <c:v>15</c:v>
                </c:pt>
                <c:pt idx="140">
                  <c:v>10</c:v>
                </c:pt>
                <c:pt idx="141">
                  <c:v>20</c:v>
                </c:pt>
                <c:pt idx="142">
                  <c:v>19.405999999999999</c:v>
                </c:pt>
                <c:pt idx="143">
                  <c:v>19.649999999999999</c:v>
                </c:pt>
                <c:pt idx="144">
                  <c:v>17.5</c:v>
                </c:pt>
                <c:pt idx="145">
                  <c:v>20</c:v>
                </c:pt>
                <c:pt idx="146">
                  <c:v>20</c:v>
                </c:pt>
                <c:pt idx="147">
                  <c:v>60</c:v>
                </c:pt>
                <c:pt idx="148">
                  <c:v>155.1</c:v>
                </c:pt>
                <c:pt idx="149">
                  <c:v>6.49</c:v>
                </c:pt>
                <c:pt idx="150">
                  <c:v>585.9</c:v>
                </c:pt>
                <c:pt idx="151">
                  <c:v>19.945</c:v>
                </c:pt>
                <c:pt idx="152">
                  <c:v>18</c:v>
                </c:pt>
                <c:pt idx="153">
                  <c:v>20</c:v>
                </c:pt>
                <c:pt idx="154">
                  <c:v>30</c:v>
                </c:pt>
                <c:pt idx="155">
                  <c:v>8.8204999999999991</c:v>
                </c:pt>
                <c:pt idx="156">
                  <c:v>7.8920000000000003</c:v>
                </c:pt>
                <c:pt idx="157">
                  <c:v>6.25</c:v>
                </c:pt>
                <c:pt idx="158">
                  <c:v>14</c:v>
                </c:pt>
                <c:pt idx="159">
                  <c:v>19.946000000000002</c:v>
                </c:pt>
                <c:pt idx="160">
                  <c:v>19.79</c:v>
                </c:pt>
                <c:pt idx="161">
                  <c:v>19.646000000000001</c:v>
                </c:pt>
                <c:pt idx="162">
                  <c:v>8</c:v>
                </c:pt>
                <c:pt idx="163">
                  <c:v>7</c:v>
                </c:pt>
                <c:pt idx="164">
                  <c:v>5.34</c:v>
                </c:pt>
                <c:pt idx="165">
                  <c:v>7.726</c:v>
                </c:pt>
                <c:pt idx="166">
                  <c:v>8</c:v>
                </c:pt>
                <c:pt idx="167">
                  <c:v>7</c:v>
                </c:pt>
                <c:pt idx="168">
                  <c:v>7.6</c:v>
                </c:pt>
                <c:pt idx="169">
                  <c:v>52.2</c:v>
                </c:pt>
                <c:pt idx="170">
                  <c:v>9.1199999999999992</c:v>
                </c:pt>
                <c:pt idx="171">
                  <c:v>6.08</c:v>
                </c:pt>
                <c:pt idx="172">
                  <c:v>20</c:v>
                </c:pt>
                <c:pt idx="173">
                  <c:v>17.494</c:v>
                </c:pt>
                <c:pt idx="174">
                  <c:v>15.84</c:v>
                </c:pt>
                <c:pt idx="175">
                  <c:v>15.84</c:v>
                </c:pt>
                <c:pt idx="176">
                  <c:v>39.6</c:v>
                </c:pt>
                <c:pt idx="177">
                  <c:v>10.416</c:v>
                </c:pt>
                <c:pt idx="178">
                  <c:v>12.5</c:v>
                </c:pt>
                <c:pt idx="179">
                  <c:v>11.2</c:v>
                </c:pt>
                <c:pt idx="180">
                  <c:v>11.2</c:v>
                </c:pt>
                <c:pt idx="181">
                  <c:v>55</c:v>
                </c:pt>
                <c:pt idx="182">
                  <c:v>45</c:v>
                </c:pt>
                <c:pt idx="183">
                  <c:v>12</c:v>
                </c:pt>
                <c:pt idx="184">
                  <c:v>20.004000000000001</c:v>
                </c:pt>
                <c:pt idx="185">
                  <c:v>18.7</c:v>
                </c:pt>
                <c:pt idx="186">
                  <c:v>18.399999999999999</c:v>
                </c:pt>
                <c:pt idx="187">
                  <c:v>20.02</c:v>
                </c:pt>
                <c:pt idx="188">
                  <c:v>19.75</c:v>
                </c:pt>
                <c:pt idx="189">
                  <c:v>20</c:v>
                </c:pt>
                <c:pt idx="190">
                  <c:v>20</c:v>
                </c:pt>
                <c:pt idx="191">
                  <c:v>12</c:v>
                </c:pt>
                <c:pt idx="192">
                  <c:v>26.655999999999999</c:v>
                </c:pt>
                <c:pt idx="193">
                  <c:v>20.007000000000001</c:v>
                </c:pt>
                <c:pt idx="194">
                  <c:v>20</c:v>
                </c:pt>
                <c:pt idx="195">
                  <c:v>20</c:v>
                </c:pt>
                <c:pt idx="196">
                  <c:v>32</c:v>
                </c:pt>
                <c:pt idx="197">
                  <c:v>20</c:v>
                </c:pt>
                <c:pt idx="198">
                  <c:v>15</c:v>
                </c:pt>
                <c:pt idx="199">
                  <c:v>20</c:v>
                </c:pt>
                <c:pt idx="200">
                  <c:v>7</c:v>
                </c:pt>
                <c:pt idx="201">
                  <c:v>62.5</c:v>
                </c:pt>
                <c:pt idx="202">
                  <c:v>19.2</c:v>
                </c:pt>
                <c:pt idx="203">
                  <c:v>20</c:v>
                </c:pt>
                <c:pt idx="204">
                  <c:v>105.1</c:v>
                </c:pt>
                <c:pt idx="205">
                  <c:v>16.66</c:v>
                </c:pt>
                <c:pt idx="206">
                  <c:v>9.98</c:v>
                </c:pt>
                <c:pt idx="207">
                  <c:v>20</c:v>
                </c:pt>
                <c:pt idx="208">
                  <c:v>30</c:v>
                </c:pt>
                <c:pt idx="209">
                  <c:v>20</c:v>
                </c:pt>
                <c:pt idx="210">
                  <c:v>20</c:v>
                </c:pt>
                <c:pt idx="211">
                  <c:v>22</c:v>
                </c:pt>
                <c:pt idx="212">
                  <c:v>314.39999999999998</c:v>
                </c:pt>
                <c:pt idx="213">
                  <c:v>279.5</c:v>
                </c:pt>
                <c:pt idx="214">
                  <c:v>7.5</c:v>
                </c:pt>
                <c:pt idx="215">
                  <c:v>13</c:v>
                </c:pt>
                <c:pt idx="216">
                  <c:v>10</c:v>
                </c:pt>
                <c:pt idx="217">
                  <c:v>20</c:v>
                </c:pt>
                <c:pt idx="218">
                  <c:v>14.994</c:v>
                </c:pt>
                <c:pt idx="219">
                  <c:v>52</c:v>
                </c:pt>
                <c:pt idx="220">
                  <c:v>6</c:v>
                </c:pt>
                <c:pt idx="221">
                  <c:v>5.5</c:v>
                </c:pt>
                <c:pt idx="222">
                  <c:v>18.972000000000001</c:v>
                </c:pt>
                <c:pt idx="223">
                  <c:v>81.06</c:v>
                </c:pt>
                <c:pt idx="224">
                  <c:v>30</c:v>
                </c:pt>
                <c:pt idx="225">
                  <c:v>21</c:v>
                </c:pt>
                <c:pt idx="226">
                  <c:v>20</c:v>
                </c:pt>
                <c:pt idx="227">
                  <c:v>10</c:v>
                </c:pt>
                <c:pt idx="228">
                  <c:v>5.2</c:v>
                </c:pt>
                <c:pt idx="229">
                  <c:v>5.2</c:v>
                </c:pt>
                <c:pt idx="230">
                  <c:v>10.3</c:v>
                </c:pt>
                <c:pt idx="231">
                  <c:v>17.5</c:v>
                </c:pt>
                <c:pt idx="232">
                  <c:v>15.003</c:v>
                </c:pt>
                <c:pt idx="233">
                  <c:v>12.8</c:v>
                </c:pt>
                <c:pt idx="234">
                  <c:v>81</c:v>
                </c:pt>
                <c:pt idx="235">
                  <c:v>14</c:v>
                </c:pt>
                <c:pt idx="236">
                  <c:v>47.7</c:v>
                </c:pt>
                <c:pt idx="237">
                  <c:v>23.1</c:v>
                </c:pt>
                <c:pt idx="238">
                  <c:v>20</c:v>
                </c:pt>
                <c:pt idx="239">
                  <c:v>21</c:v>
                </c:pt>
                <c:pt idx="240">
                  <c:v>20</c:v>
                </c:pt>
                <c:pt idx="241">
                  <c:v>19.654</c:v>
                </c:pt>
                <c:pt idx="242">
                  <c:v>20</c:v>
                </c:pt>
                <c:pt idx="243">
                  <c:v>11.6619999999999</c:v>
                </c:pt>
                <c:pt idx="244">
                  <c:v>64.8</c:v>
                </c:pt>
                <c:pt idx="245">
                  <c:v>20</c:v>
                </c:pt>
                <c:pt idx="246">
                  <c:v>12</c:v>
                </c:pt>
                <c:pt idx="247">
                  <c:v>15</c:v>
                </c:pt>
                <c:pt idx="248">
                  <c:v>8.6</c:v>
                </c:pt>
                <c:pt idx="249">
                  <c:v>10</c:v>
                </c:pt>
                <c:pt idx="250">
                  <c:v>7.8</c:v>
                </c:pt>
                <c:pt idx="251">
                  <c:v>10</c:v>
                </c:pt>
                <c:pt idx="252">
                  <c:v>9.5</c:v>
                </c:pt>
                <c:pt idx="253">
                  <c:v>10.5</c:v>
                </c:pt>
                <c:pt idx="254">
                  <c:v>10</c:v>
                </c:pt>
                <c:pt idx="255">
                  <c:v>60.8</c:v>
                </c:pt>
                <c:pt idx="256">
                  <c:v>255</c:v>
                </c:pt>
                <c:pt idx="257">
                  <c:v>15.5</c:v>
                </c:pt>
                <c:pt idx="258">
                  <c:v>29.76</c:v>
                </c:pt>
                <c:pt idx="259">
                  <c:v>5.5</c:v>
                </c:pt>
                <c:pt idx="260">
                  <c:v>95</c:v>
                </c:pt>
                <c:pt idx="261">
                  <c:v>50</c:v>
                </c:pt>
                <c:pt idx="262">
                  <c:v>80</c:v>
                </c:pt>
                <c:pt idx="263">
                  <c:v>75</c:v>
                </c:pt>
                <c:pt idx="264">
                  <c:v>50</c:v>
                </c:pt>
                <c:pt idx="265">
                  <c:v>16</c:v>
                </c:pt>
                <c:pt idx="266">
                  <c:v>100.8</c:v>
                </c:pt>
                <c:pt idx="267">
                  <c:v>154</c:v>
                </c:pt>
                <c:pt idx="268">
                  <c:v>30</c:v>
                </c:pt>
                <c:pt idx="269">
                  <c:v>20.5</c:v>
                </c:pt>
                <c:pt idx="270">
                  <c:v>148.69999999999999</c:v>
                </c:pt>
                <c:pt idx="271">
                  <c:v>20</c:v>
                </c:pt>
                <c:pt idx="272">
                  <c:v>50</c:v>
                </c:pt>
                <c:pt idx="273">
                  <c:v>5.0010000000000003</c:v>
                </c:pt>
                <c:pt idx="274">
                  <c:v>56</c:v>
                </c:pt>
                <c:pt idx="275">
                  <c:v>50</c:v>
                </c:pt>
                <c:pt idx="276">
                  <c:v>109.8</c:v>
                </c:pt>
                <c:pt idx="277">
                  <c:v>131.19999999999999</c:v>
                </c:pt>
                <c:pt idx="278">
                  <c:v>20</c:v>
                </c:pt>
                <c:pt idx="279">
                  <c:v>20</c:v>
                </c:pt>
                <c:pt idx="280">
                  <c:v>20</c:v>
                </c:pt>
                <c:pt idx="281">
                  <c:v>15</c:v>
                </c:pt>
                <c:pt idx="282">
                  <c:v>20</c:v>
                </c:pt>
                <c:pt idx="283">
                  <c:v>20</c:v>
                </c:pt>
                <c:pt idx="284">
                  <c:v>21.19</c:v>
                </c:pt>
                <c:pt idx="285">
                  <c:v>40</c:v>
                </c:pt>
                <c:pt idx="286">
                  <c:v>60</c:v>
                </c:pt>
                <c:pt idx="287">
                  <c:v>20</c:v>
                </c:pt>
                <c:pt idx="288">
                  <c:v>102</c:v>
                </c:pt>
                <c:pt idx="289">
                  <c:v>20</c:v>
                </c:pt>
                <c:pt idx="290">
                  <c:v>20</c:v>
                </c:pt>
                <c:pt idx="291">
                  <c:v>20</c:v>
                </c:pt>
                <c:pt idx="292">
                  <c:v>270.60000000000002</c:v>
                </c:pt>
                <c:pt idx="293">
                  <c:v>20</c:v>
                </c:pt>
                <c:pt idx="294">
                  <c:v>20</c:v>
                </c:pt>
                <c:pt idx="295">
                  <c:v>20</c:v>
                </c:pt>
                <c:pt idx="296">
                  <c:v>9.5</c:v>
                </c:pt>
                <c:pt idx="297">
                  <c:v>10.88</c:v>
                </c:pt>
                <c:pt idx="298">
                  <c:v>100</c:v>
                </c:pt>
                <c:pt idx="299">
                  <c:v>75</c:v>
                </c:pt>
                <c:pt idx="300">
                  <c:v>62</c:v>
                </c:pt>
                <c:pt idx="301">
                  <c:v>185</c:v>
                </c:pt>
                <c:pt idx="302">
                  <c:v>20</c:v>
                </c:pt>
                <c:pt idx="303">
                  <c:v>100</c:v>
                </c:pt>
                <c:pt idx="304">
                  <c:v>205.3</c:v>
                </c:pt>
                <c:pt idx="305">
                  <c:v>19.5</c:v>
                </c:pt>
                <c:pt idx="306">
                  <c:v>19.5</c:v>
                </c:pt>
                <c:pt idx="307">
                  <c:v>20</c:v>
                </c:pt>
                <c:pt idx="308">
                  <c:v>85</c:v>
                </c:pt>
                <c:pt idx="309">
                  <c:v>105</c:v>
                </c:pt>
                <c:pt idx="310">
                  <c:v>155</c:v>
                </c:pt>
                <c:pt idx="311">
                  <c:v>54</c:v>
                </c:pt>
                <c:pt idx="312">
                  <c:v>299.5</c:v>
                </c:pt>
                <c:pt idx="313">
                  <c:v>20</c:v>
                </c:pt>
                <c:pt idx="314">
                  <c:v>54</c:v>
                </c:pt>
                <c:pt idx="315">
                  <c:v>14</c:v>
                </c:pt>
                <c:pt idx="316">
                  <c:v>20</c:v>
                </c:pt>
                <c:pt idx="317">
                  <c:v>10</c:v>
                </c:pt>
                <c:pt idx="318">
                  <c:v>10</c:v>
                </c:pt>
                <c:pt idx="319">
                  <c:v>120</c:v>
                </c:pt>
                <c:pt idx="320">
                  <c:v>32.4</c:v>
                </c:pt>
                <c:pt idx="321">
                  <c:v>30</c:v>
                </c:pt>
                <c:pt idx="322">
                  <c:v>13</c:v>
                </c:pt>
                <c:pt idx="323">
                  <c:v>6.5</c:v>
                </c:pt>
                <c:pt idx="324">
                  <c:v>12.831</c:v>
                </c:pt>
                <c:pt idx="325">
                  <c:v>74.5</c:v>
                </c:pt>
                <c:pt idx="326">
                  <c:v>74.5</c:v>
                </c:pt>
                <c:pt idx="327">
                  <c:v>74.5</c:v>
                </c:pt>
                <c:pt idx="328">
                  <c:v>5.0999999999999996</c:v>
                </c:pt>
                <c:pt idx="329">
                  <c:v>22</c:v>
                </c:pt>
                <c:pt idx="330">
                  <c:v>103</c:v>
                </c:pt>
                <c:pt idx="331">
                  <c:v>30</c:v>
                </c:pt>
                <c:pt idx="332">
                  <c:v>30</c:v>
                </c:pt>
                <c:pt idx="333">
                  <c:v>52.5</c:v>
                </c:pt>
                <c:pt idx="334">
                  <c:v>30</c:v>
                </c:pt>
                <c:pt idx="335">
                  <c:v>51</c:v>
                </c:pt>
                <c:pt idx="336">
                  <c:v>20.163</c:v>
                </c:pt>
                <c:pt idx="337">
                  <c:v>30.48</c:v>
                </c:pt>
                <c:pt idx="338">
                  <c:v>15.7</c:v>
                </c:pt>
                <c:pt idx="339">
                  <c:v>17.68</c:v>
                </c:pt>
                <c:pt idx="340">
                  <c:v>146</c:v>
                </c:pt>
                <c:pt idx="341">
                  <c:v>76.5</c:v>
                </c:pt>
                <c:pt idx="342">
                  <c:v>101.2</c:v>
                </c:pt>
                <c:pt idx="343">
                  <c:v>80</c:v>
                </c:pt>
                <c:pt idx="344">
                  <c:v>40</c:v>
                </c:pt>
                <c:pt idx="345">
                  <c:v>5.4</c:v>
                </c:pt>
                <c:pt idx="346">
                  <c:v>5.01</c:v>
                </c:pt>
                <c:pt idx="347">
                  <c:v>5.2</c:v>
                </c:pt>
                <c:pt idx="348">
                  <c:v>10</c:v>
                </c:pt>
                <c:pt idx="349">
                  <c:v>11.93</c:v>
                </c:pt>
                <c:pt idx="350">
                  <c:v>14.681999999999899</c:v>
                </c:pt>
                <c:pt idx="351">
                  <c:v>15.7</c:v>
                </c:pt>
                <c:pt idx="352">
                  <c:v>13.6</c:v>
                </c:pt>
                <c:pt idx="353">
                  <c:v>10</c:v>
                </c:pt>
                <c:pt idx="354">
                  <c:v>100</c:v>
                </c:pt>
                <c:pt idx="355">
                  <c:v>40</c:v>
                </c:pt>
                <c:pt idx="356">
                  <c:v>78.5</c:v>
                </c:pt>
                <c:pt idx="357">
                  <c:v>38.9</c:v>
                </c:pt>
                <c:pt idx="358">
                  <c:v>15.4</c:v>
                </c:pt>
                <c:pt idx="359">
                  <c:v>19.998999999999999</c:v>
                </c:pt>
                <c:pt idx="360">
                  <c:v>74.8</c:v>
                </c:pt>
                <c:pt idx="361">
                  <c:v>6.6639999999999997</c:v>
                </c:pt>
                <c:pt idx="362">
                  <c:v>60</c:v>
                </c:pt>
                <c:pt idx="363">
                  <c:v>15</c:v>
                </c:pt>
                <c:pt idx="364">
                  <c:v>5.9</c:v>
                </c:pt>
                <c:pt idx="365">
                  <c:v>8.5</c:v>
                </c:pt>
                <c:pt idx="366">
                  <c:v>7.92</c:v>
                </c:pt>
                <c:pt idx="367">
                  <c:v>7</c:v>
                </c:pt>
                <c:pt idx="368">
                  <c:v>6.2</c:v>
                </c:pt>
                <c:pt idx="369">
                  <c:v>7.7</c:v>
                </c:pt>
                <c:pt idx="370">
                  <c:v>7.5</c:v>
                </c:pt>
                <c:pt idx="371">
                  <c:v>25</c:v>
                </c:pt>
                <c:pt idx="372">
                  <c:v>70</c:v>
                </c:pt>
                <c:pt idx="373">
                  <c:v>70</c:v>
                </c:pt>
                <c:pt idx="374">
                  <c:v>100</c:v>
                </c:pt>
                <c:pt idx="375">
                  <c:v>93.6</c:v>
                </c:pt>
                <c:pt idx="376">
                  <c:v>250</c:v>
                </c:pt>
                <c:pt idx="377">
                  <c:v>14.4</c:v>
                </c:pt>
                <c:pt idx="378">
                  <c:v>249.99999999999901</c:v>
                </c:pt>
                <c:pt idx="379">
                  <c:v>9.5</c:v>
                </c:pt>
                <c:pt idx="380">
                  <c:v>9.9</c:v>
                </c:pt>
                <c:pt idx="381">
                  <c:v>6</c:v>
                </c:pt>
                <c:pt idx="382">
                  <c:v>9</c:v>
                </c:pt>
                <c:pt idx="383">
                  <c:v>9.9</c:v>
                </c:pt>
                <c:pt idx="384">
                  <c:v>10</c:v>
                </c:pt>
                <c:pt idx="385">
                  <c:v>8</c:v>
                </c:pt>
                <c:pt idx="386">
                  <c:v>10</c:v>
                </c:pt>
                <c:pt idx="387">
                  <c:v>10</c:v>
                </c:pt>
                <c:pt idx="388">
                  <c:v>10</c:v>
                </c:pt>
                <c:pt idx="389">
                  <c:v>6.8</c:v>
                </c:pt>
                <c:pt idx="390">
                  <c:v>16</c:v>
                </c:pt>
                <c:pt idx="391">
                  <c:v>8</c:v>
                </c:pt>
                <c:pt idx="392">
                  <c:v>106.4</c:v>
                </c:pt>
                <c:pt idx="393">
                  <c:v>157.5</c:v>
                </c:pt>
                <c:pt idx="394">
                  <c:v>80</c:v>
                </c:pt>
                <c:pt idx="395">
                  <c:v>80.016000000000005</c:v>
                </c:pt>
                <c:pt idx="396">
                  <c:v>80.016000000000005</c:v>
                </c:pt>
                <c:pt idx="397">
                  <c:v>80.016000000000005</c:v>
                </c:pt>
                <c:pt idx="398">
                  <c:v>80</c:v>
                </c:pt>
                <c:pt idx="399">
                  <c:v>50.4</c:v>
                </c:pt>
                <c:pt idx="400">
                  <c:v>80.016000000000005</c:v>
                </c:pt>
                <c:pt idx="401">
                  <c:v>20</c:v>
                </c:pt>
                <c:pt idx="402">
                  <c:v>50</c:v>
                </c:pt>
                <c:pt idx="403">
                  <c:v>80</c:v>
                </c:pt>
                <c:pt idx="404">
                  <c:v>80</c:v>
                </c:pt>
                <c:pt idx="405">
                  <c:v>17</c:v>
                </c:pt>
                <c:pt idx="406">
                  <c:v>20</c:v>
                </c:pt>
                <c:pt idx="407">
                  <c:v>19.7</c:v>
                </c:pt>
                <c:pt idx="408">
                  <c:v>79.2</c:v>
                </c:pt>
                <c:pt idx="409">
                  <c:v>7.4</c:v>
                </c:pt>
                <c:pt idx="410">
                  <c:v>10.6</c:v>
                </c:pt>
                <c:pt idx="411">
                  <c:v>10</c:v>
                </c:pt>
                <c:pt idx="412">
                  <c:v>20</c:v>
                </c:pt>
                <c:pt idx="413">
                  <c:v>27.3</c:v>
                </c:pt>
                <c:pt idx="414">
                  <c:v>40</c:v>
                </c:pt>
                <c:pt idx="415">
                  <c:v>9</c:v>
                </c:pt>
                <c:pt idx="416">
                  <c:v>5.25</c:v>
                </c:pt>
                <c:pt idx="417">
                  <c:v>20</c:v>
                </c:pt>
                <c:pt idx="418">
                  <c:v>20</c:v>
                </c:pt>
                <c:pt idx="419">
                  <c:v>20</c:v>
                </c:pt>
                <c:pt idx="420">
                  <c:v>56</c:v>
                </c:pt>
                <c:pt idx="421">
                  <c:v>45</c:v>
                </c:pt>
                <c:pt idx="422">
                  <c:v>36</c:v>
                </c:pt>
                <c:pt idx="423">
                  <c:v>130</c:v>
                </c:pt>
                <c:pt idx="424">
                  <c:v>15.8</c:v>
                </c:pt>
                <c:pt idx="425">
                  <c:v>20</c:v>
                </c:pt>
                <c:pt idx="426">
                  <c:v>40</c:v>
                </c:pt>
                <c:pt idx="427">
                  <c:v>20</c:v>
                </c:pt>
                <c:pt idx="428">
                  <c:v>20</c:v>
                </c:pt>
                <c:pt idx="429">
                  <c:v>10.5</c:v>
                </c:pt>
                <c:pt idx="430">
                  <c:v>30</c:v>
                </c:pt>
                <c:pt idx="431">
                  <c:v>21.04</c:v>
                </c:pt>
                <c:pt idx="432">
                  <c:v>20</c:v>
                </c:pt>
                <c:pt idx="433">
                  <c:v>11.4</c:v>
                </c:pt>
                <c:pt idx="434">
                  <c:v>20</c:v>
                </c:pt>
                <c:pt idx="435">
                  <c:v>6.8</c:v>
                </c:pt>
                <c:pt idx="436">
                  <c:v>10</c:v>
                </c:pt>
                <c:pt idx="437">
                  <c:v>20</c:v>
                </c:pt>
                <c:pt idx="438">
                  <c:v>13.8</c:v>
                </c:pt>
                <c:pt idx="439">
                  <c:v>20.6</c:v>
                </c:pt>
                <c:pt idx="440">
                  <c:v>20</c:v>
                </c:pt>
                <c:pt idx="441">
                  <c:v>20</c:v>
                </c:pt>
                <c:pt idx="442">
                  <c:v>14.7</c:v>
                </c:pt>
                <c:pt idx="443">
                  <c:v>16</c:v>
                </c:pt>
                <c:pt idx="444">
                  <c:v>7.1</c:v>
                </c:pt>
                <c:pt idx="445">
                  <c:v>19</c:v>
                </c:pt>
                <c:pt idx="446">
                  <c:v>30</c:v>
                </c:pt>
                <c:pt idx="447">
                  <c:v>40</c:v>
                </c:pt>
                <c:pt idx="448">
                  <c:v>50</c:v>
                </c:pt>
                <c:pt idx="449">
                  <c:v>8.8000000000000007</c:v>
                </c:pt>
                <c:pt idx="450">
                  <c:v>20</c:v>
                </c:pt>
                <c:pt idx="451">
                  <c:v>20</c:v>
                </c:pt>
                <c:pt idx="452">
                  <c:v>20</c:v>
                </c:pt>
                <c:pt idx="453">
                  <c:v>20</c:v>
                </c:pt>
                <c:pt idx="454">
                  <c:v>20</c:v>
                </c:pt>
                <c:pt idx="455">
                  <c:v>20</c:v>
                </c:pt>
                <c:pt idx="456">
                  <c:v>20</c:v>
                </c:pt>
                <c:pt idx="457">
                  <c:v>5.0010000000000003</c:v>
                </c:pt>
                <c:pt idx="458">
                  <c:v>8.1</c:v>
                </c:pt>
                <c:pt idx="459">
                  <c:v>17</c:v>
                </c:pt>
                <c:pt idx="460">
                  <c:v>8.5</c:v>
                </c:pt>
                <c:pt idx="461">
                  <c:v>5.8</c:v>
                </c:pt>
                <c:pt idx="462">
                  <c:v>5.0010000000000003</c:v>
                </c:pt>
                <c:pt idx="463">
                  <c:v>6.5</c:v>
                </c:pt>
                <c:pt idx="464">
                  <c:v>9.9</c:v>
                </c:pt>
                <c:pt idx="465">
                  <c:v>28.56</c:v>
                </c:pt>
                <c:pt idx="466">
                  <c:v>19.57</c:v>
                </c:pt>
                <c:pt idx="467">
                  <c:v>10</c:v>
                </c:pt>
                <c:pt idx="468">
                  <c:v>6</c:v>
                </c:pt>
                <c:pt idx="469">
                  <c:v>6.5</c:v>
                </c:pt>
                <c:pt idx="470">
                  <c:v>6.5</c:v>
                </c:pt>
                <c:pt idx="471">
                  <c:v>5.5</c:v>
                </c:pt>
                <c:pt idx="472">
                  <c:v>7.5</c:v>
                </c:pt>
                <c:pt idx="473">
                  <c:v>10</c:v>
                </c:pt>
                <c:pt idx="474">
                  <c:v>10</c:v>
                </c:pt>
                <c:pt idx="475">
                  <c:v>5.5</c:v>
                </c:pt>
                <c:pt idx="476">
                  <c:v>8.5</c:v>
                </c:pt>
                <c:pt idx="477">
                  <c:v>10</c:v>
                </c:pt>
                <c:pt idx="478">
                  <c:v>62.25</c:v>
                </c:pt>
                <c:pt idx="479">
                  <c:v>7.11</c:v>
                </c:pt>
                <c:pt idx="480">
                  <c:v>7.92</c:v>
                </c:pt>
                <c:pt idx="481">
                  <c:v>50.6</c:v>
                </c:pt>
                <c:pt idx="482">
                  <c:v>52</c:v>
                </c:pt>
                <c:pt idx="483">
                  <c:v>52</c:v>
                </c:pt>
                <c:pt idx="484">
                  <c:v>15.84</c:v>
                </c:pt>
                <c:pt idx="485">
                  <c:v>19.399999999999999</c:v>
                </c:pt>
                <c:pt idx="486">
                  <c:v>50</c:v>
                </c:pt>
                <c:pt idx="487">
                  <c:v>50</c:v>
                </c:pt>
                <c:pt idx="488">
                  <c:v>5.28</c:v>
                </c:pt>
                <c:pt idx="489">
                  <c:v>35</c:v>
                </c:pt>
                <c:pt idx="490">
                  <c:v>78.7</c:v>
                </c:pt>
                <c:pt idx="491">
                  <c:v>71</c:v>
                </c:pt>
                <c:pt idx="492">
                  <c:v>35</c:v>
                </c:pt>
                <c:pt idx="493">
                  <c:v>10</c:v>
                </c:pt>
                <c:pt idx="494">
                  <c:v>60</c:v>
                </c:pt>
                <c:pt idx="495">
                  <c:v>20.25</c:v>
                </c:pt>
                <c:pt idx="496">
                  <c:v>16.2</c:v>
                </c:pt>
                <c:pt idx="497">
                  <c:v>60</c:v>
                </c:pt>
                <c:pt idx="498">
                  <c:v>64.48</c:v>
                </c:pt>
                <c:pt idx="499">
                  <c:v>13.5</c:v>
                </c:pt>
                <c:pt idx="500">
                  <c:v>19.899999999999999</c:v>
                </c:pt>
                <c:pt idx="501">
                  <c:v>10</c:v>
                </c:pt>
                <c:pt idx="502">
                  <c:v>10</c:v>
                </c:pt>
                <c:pt idx="503">
                  <c:v>10</c:v>
                </c:pt>
                <c:pt idx="504">
                  <c:v>10</c:v>
                </c:pt>
                <c:pt idx="505">
                  <c:v>10</c:v>
                </c:pt>
                <c:pt idx="506">
                  <c:v>5.76</c:v>
                </c:pt>
                <c:pt idx="507">
                  <c:v>13</c:v>
                </c:pt>
                <c:pt idx="508">
                  <c:v>8.8000000000000007</c:v>
                </c:pt>
                <c:pt idx="509">
                  <c:v>8.8000000000000007</c:v>
                </c:pt>
                <c:pt idx="510">
                  <c:v>8.3000000000000007</c:v>
                </c:pt>
                <c:pt idx="511">
                  <c:v>28.1</c:v>
                </c:pt>
                <c:pt idx="512">
                  <c:v>10</c:v>
                </c:pt>
                <c:pt idx="513">
                  <c:v>50</c:v>
                </c:pt>
                <c:pt idx="514">
                  <c:v>10.638</c:v>
                </c:pt>
                <c:pt idx="515">
                  <c:v>50</c:v>
                </c:pt>
                <c:pt idx="516">
                  <c:v>79</c:v>
                </c:pt>
                <c:pt idx="517">
                  <c:v>100</c:v>
                </c:pt>
                <c:pt idx="518">
                  <c:v>6</c:v>
                </c:pt>
                <c:pt idx="519">
                  <c:v>9</c:v>
                </c:pt>
                <c:pt idx="520">
                  <c:v>20</c:v>
                </c:pt>
                <c:pt idx="521">
                  <c:v>5.0010000000000003</c:v>
                </c:pt>
                <c:pt idx="522">
                  <c:v>9.9</c:v>
                </c:pt>
                <c:pt idx="523">
                  <c:v>56</c:v>
                </c:pt>
                <c:pt idx="524">
                  <c:v>10</c:v>
                </c:pt>
                <c:pt idx="525">
                  <c:v>10</c:v>
                </c:pt>
                <c:pt idx="526">
                  <c:v>9.9</c:v>
                </c:pt>
                <c:pt idx="527">
                  <c:v>8</c:v>
                </c:pt>
                <c:pt idx="528">
                  <c:v>5.44</c:v>
                </c:pt>
                <c:pt idx="529">
                  <c:v>20</c:v>
                </c:pt>
                <c:pt idx="530">
                  <c:v>10.88</c:v>
                </c:pt>
                <c:pt idx="531">
                  <c:v>20.399999999999999</c:v>
                </c:pt>
                <c:pt idx="532">
                  <c:v>10.199999999999999</c:v>
                </c:pt>
                <c:pt idx="533">
                  <c:v>8.16</c:v>
                </c:pt>
                <c:pt idx="534">
                  <c:v>20</c:v>
                </c:pt>
                <c:pt idx="535">
                  <c:v>6.8</c:v>
                </c:pt>
                <c:pt idx="536">
                  <c:v>71.400000000000006</c:v>
                </c:pt>
                <c:pt idx="537">
                  <c:v>8.16</c:v>
                </c:pt>
                <c:pt idx="538">
                  <c:v>10</c:v>
                </c:pt>
                <c:pt idx="539">
                  <c:v>10.199999999999999</c:v>
                </c:pt>
                <c:pt idx="540">
                  <c:v>10.199999999999999</c:v>
                </c:pt>
                <c:pt idx="541">
                  <c:v>10.88</c:v>
                </c:pt>
                <c:pt idx="542">
                  <c:v>16</c:v>
                </c:pt>
                <c:pt idx="543">
                  <c:v>15</c:v>
                </c:pt>
                <c:pt idx="544">
                  <c:v>157.5</c:v>
                </c:pt>
                <c:pt idx="545">
                  <c:v>120</c:v>
                </c:pt>
                <c:pt idx="546">
                  <c:v>15.4</c:v>
                </c:pt>
                <c:pt idx="547">
                  <c:v>5.3</c:v>
                </c:pt>
                <c:pt idx="548">
                  <c:v>102</c:v>
                </c:pt>
                <c:pt idx="549">
                  <c:v>10</c:v>
                </c:pt>
                <c:pt idx="550">
                  <c:v>5.28</c:v>
                </c:pt>
                <c:pt idx="551">
                  <c:v>5.17</c:v>
                </c:pt>
                <c:pt idx="552">
                  <c:v>110.2</c:v>
                </c:pt>
                <c:pt idx="553">
                  <c:v>50</c:v>
                </c:pt>
                <c:pt idx="554">
                  <c:v>50</c:v>
                </c:pt>
                <c:pt idx="555">
                  <c:v>5.0010000000000003</c:v>
                </c:pt>
                <c:pt idx="556">
                  <c:v>5.0010000000000003</c:v>
                </c:pt>
                <c:pt idx="557">
                  <c:v>10</c:v>
                </c:pt>
                <c:pt idx="558">
                  <c:v>19.8</c:v>
                </c:pt>
                <c:pt idx="559">
                  <c:v>20</c:v>
                </c:pt>
                <c:pt idx="560">
                  <c:v>20</c:v>
                </c:pt>
                <c:pt idx="561">
                  <c:v>20</c:v>
                </c:pt>
                <c:pt idx="562">
                  <c:v>100</c:v>
                </c:pt>
                <c:pt idx="563">
                  <c:v>10</c:v>
                </c:pt>
                <c:pt idx="564">
                  <c:v>20</c:v>
                </c:pt>
                <c:pt idx="565">
                  <c:v>20</c:v>
                </c:pt>
                <c:pt idx="566">
                  <c:v>17.600000000000001</c:v>
                </c:pt>
                <c:pt idx="567">
                  <c:v>20</c:v>
                </c:pt>
                <c:pt idx="568">
                  <c:v>15.9</c:v>
                </c:pt>
                <c:pt idx="569">
                  <c:v>81</c:v>
                </c:pt>
                <c:pt idx="570">
                  <c:v>46</c:v>
                </c:pt>
                <c:pt idx="571">
                  <c:v>20</c:v>
                </c:pt>
                <c:pt idx="572">
                  <c:v>105</c:v>
                </c:pt>
                <c:pt idx="573">
                  <c:v>140</c:v>
                </c:pt>
                <c:pt idx="574">
                  <c:v>100</c:v>
                </c:pt>
                <c:pt idx="575">
                  <c:v>74.8</c:v>
                </c:pt>
                <c:pt idx="576">
                  <c:v>200</c:v>
                </c:pt>
                <c:pt idx="577">
                  <c:v>50</c:v>
                </c:pt>
                <c:pt idx="578">
                  <c:v>20</c:v>
                </c:pt>
                <c:pt idx="579">
                  <c:v>252.3</c:v>
                </c:pt>
                <c:pt idx="580">
                  <c:v>20</c:v>
                </c:pt>
                <c:pt idx="581">
                  <c:v>18.5</c:v>
                </c:pt>
                <c:pt idx="582">
                  <c:v>50</c:v>
                </c:pt>
                <c:pt idx="583">
                  <c:v>20</c:v>
                </c:pt>
                <c:pt idx="584">
                  <c:v>20</c:v>
                </c:pt>
                <c:pt idx="585">
                  <c:v>74.400000000000006</c:v>
                </c:pt>
                <c:pt idx="586">
                  <c:v>7.26</c:v>
                </c:pt>
                <c:pt idx="587">
                  <c:v>52</c:v>
                </c:pt>
                <c:pt idx="588">
                  <c:v>74.5</c:v>
                </c:pt>
                <c:pt idx="589">
                  <c:v>74.5</c:v>
                </c:pt>
                <c:pt idx="590">
                  <c:v>74.5</c:v>
                </c:pt>
                <c:pt idx="591">
                  <c:v>74.5</c:v>
                </c:pt>
                <c:pt idx="592">
                  <c:v>74.5</c:v>
                </c:pt>
                <c:pt idx="593">
                  <c:v>74.5</c:v>
                </c:pt>
                <c:pt idx="594">
                  <c:v>74.5</c:v>
                </c:pt>
                <c:pt idx="595">
                  <c:v>74.5</c:v>
                </c:pt>
                <c:pt idx="596">
                  <c:v>74.900000000000006</c:v>
                </c:pt>
                <c:pt idx="597">
                  <c:v>70.3</c:v>
                </c:pt>
                <c:pt idx="598">
                  <c:v>31.16</c:v>
                </c:pt>
                <c:pt idx="599">
                  <c:v>7.5</c:v>
                </c:pt>
                <c:pt idx="600">
                  <c:v>12</c:v>
                </c:pt>
                <c:pt idx="601">
                  <c:v>75</c:v>
                </c:pt>
                <c:pt idx="602">
                  <c:v>8.1</c:v>
                </c:pt>
                <c:pt idx="603">
                  <c:v>15.9</c:v>
                </c:pt>
                <c:pt idx="604">
                  <c:v>6.625</c:v>
                </c:pt>
                <c:pt idx="605">
                  <c:v>8.4</c:v>
                </c:pt>
                <c:pt idx="606">
                  <c:v>80</c:v>
                </c:pt>
                <c:pt idx="607">
                  <c:v>50.2</c:v>
                </c:pt>
                <c:pt idx="608">
                  <c:v>52.1</c:v>
                </c:pt>
                <c:pt idx="609">
                  <c:v>50.2</c:v>
                </c:pt>
                <c:pt idx="610">
                  <c:v>50</c:v>
                </c:pt>
                <c:pt idx="611">
                  <c:v>33.299999999999997</c:v>
                </c:pt>
                <c:pt idx="612">
                  <c:v>74.8</c:v>
                </c:pt>
                <c:pt idx="613">
                  <c:v>74.900000000000006</c:v>
                </c:pt>
                <c:pt idx="614">
                  <c:v>6</c:v>
                </c:pt>
                <c:pt idx="615">
                  <c:v>10</c:v>
                </c:pt>
                <c:pt idx="616">
                  <c:v>10</c:v>
                </c:pt>
                <c:pt idx="617">
                  <c:v>8.8000000000000007</c:v>
                </c:pt>
                <c:pt idx="618">
                  <c:v>8.8000000000000007</c:v>
                </c:pt>
                <c:pt idx="619">
                  <c:v>8.4</c:v>
                </c:pt>
                <c:pt idx="620">
                  <c:v>7.5</c:v>
                </c:pt>
                <c:pt idx="621">
                  <c:v>8</c:v>
                </c:pt>
                <c:pt idx="622">
                  <c:v>10</c:v>
                </c:pt>
                <c:pt idx="623">
                  <c:v>10</c:v>
                </c:pt>
                <c:pt idx="624">
                  <c:v>5.0010000000000003</c:v>
                </c:pt>
                <c:pt idx="625">
                  <c:v>20</c:v>
                </c:pt>
                <c:pt idx="626">
                  <c:v>24.9</c:v>
                </c:pt>
                <c:pt idx="627">
                  <c:v>10</c:v>
                </c:pt>
                <c:pt idx="628">
                  <c:v>10</c:v>
                </c:pt>
                <c:pt idx="629">
                  <c:v>10</c:v>
                </c:pt>
                <c:pt idx="630">
                  <c:v>8</c:v>
                </c:pt>
                <c:pt idx="631">
                  <c:v>9.9</c:v>
                </c:pt>
                <c:pt idx="632">
                  <c:v>10</c:v>
                </c:pt>
                <c:pt idx="633">
                  <c:v>6</c:v>
                </c:pt>
                <c:pt idx="634">
                  <c:v>8</c:v>
                </c:pt>
                <c:pt idx="635">
                  <c:v>10</c:v>
                </c:pt>
                <c:pt idx="636">
                  <c:v>10</c:v>
                </c:pt>
                <c:pt idx="637">
                  <c:v>10.199999999999999</c:v>
                </c:pt>
                <c:pt idx="638">
                  <c:v>7.48</c:v>
                </c:pt>
                <c:pt idx="639">
                  <c:v>39</c:v>
                </c:pt>
                <c:pt idx="640">
                  <c:v>8</c:v>
                </c:pt>
                <c:pt idx="641">
                  <c:v>6.1</c:v>
                </c:pt>
                <c:pt idx="642">
                  <c:v>15</c:v>
                </c:pt>
                <c:pt idx="643">
                  <c:v>53</c:v>
                </c:pt>
                <c:pt idx="644">
                  <c:v>30</c:v>
                </c:pt>
                <c:pt idx="645">
                  <c:v>10</c:v>
                </c:pt>
                <c:pt idx="646">
                  <c:v>10</c:v>
                </c:pt>
                <c:pt idx="647">
                  <c:v>154</c:v>
                </c:pt>
                <c:pt idx="648">
                  <c:v>180</c:v>
                </c:pt>
                <c:pt idx="649">
                  <c:v>10</c:v>
                </c:pt>
                <c:pt idx="650">
                  <c:v>10</c:v>
                </c:pt>
                <c:pt idx="651">
                  <c:v>182</c:v>
                </c:pt>
                <c:pt idx="652">
                  <c:v>50</c:v>
                </c:pt>
                <c:pt idx="653">
                  <c:v>10</c:v>
                </c:pt>
                <c:pt idx="654">
                  <c:v>6</c:v>
                </c:pt>
                <c:pt idx="655">
                  <c:v>20</c:v>
                </c:pt>
                <c:pt idx="656">
                  <c:v>17</c:v>
                </c:pt>
                <c:pt idx="657">
                  <c:v>15</c:v>
                </c:pt>
                <c:pt idx="658">
                  <c:v>19.59</c:v>
                </c:pt>
                <c:pt idx="659">
                  <c:v>19.2</c:v>
                </c:pt>
                <c:pt idx="660">
                  <c:v>80</c:v>
                </c:pt>
                <c:pt idx="661">
                  <c:v>5.0010000000000003</c:v>
                </c:pt>
                <c:pt idx="662">
                  <c:v>5.0010000000000003</c:v>
                </c:pt>
                <c:pt idx="663">
                  <c:v>28</c:v>
                </c:pt>
                <c:pt idx="664">
                  <c:v>20</c:v>
                </c:pt>
                <c:pt idx="665">
                  <c:v>20</c:v>
                </c:pt>
                <c:pt idx="666">
                  <c:v>150</c:v>
                </c:pt>
                <c:pt idx="667">
                  <c:v>30</c:v>
                </c:pt>
                <c:pt idx="668">
                  <c:v>7.6</c:v>
                </c:pt>
                <c:pt idx="669">
                  <c:v>150</c:v>
                </c:pt>
                <c:pt idx="670">
                  <c:v>100</c:v>
                </c:pt>
                <c:pt idx="671">
                  <c:v>90</c:v>
                </c:pt>
                <c:pt idx="672">
                  <c:v>111.2</c:v>
                </c:pt>
                <c:pt idx="673">
                  <c:v>100</c:v>
                </c:pt>
                <c:pt idx="674">
                  <c:v>20</c:v>
                </c:pt>
                <c:pt idx="675">
                  <c:v>200</c:v>
                </c:pt>
                <c:pt idx="676">
                  <c:v>39.5</c:v>
                </c:pt>
                <c:pt idx="677">
                  <c:v>8.1</c:v>
                </c:pt>
                <c:pt idx="678">
                  <c:v>26.4</c:v>
                </c:pt>
                <c:pt idx="679">
                  <c:v>35</c:v>
                </c:pt>
                <c:pt idx="680">
                  <c:v>74.5</c:v>
                </c:pt>
                <c:pt idx="681">
                  <c:v>74.5</c:v>
                </c:pt>
                <c:pt idx="682">
                  <c:v>74.5</c:v>
                </c:pt>
                <c:pt idx="683">
                  <c:v>74.5</c:v>
                </c:pt>
                <c:pt idx="684">
                  <c:v>61.1</c:v>
                </c:pt>
                <c:pt idx="685">
                  <c:v>5.0010000000000003</c:v>
                </c:pt>
                <c:pt idx="686">
                  <c:v>49.6</c:v>
                </c:pt>
                <c:pt idx="687">
                  <c:v>45</c:v>
                </c:pt>
                <c:pt idx="688">
                  <c:v>74.5</c:v>
                </c:pt>
                <c:pt idx="689">
                  <c:v>55</c:v>
                </c:pt>
                <c:pt idx="690">
                  <c:v>42</c:v>
                </c:pt>
                <c:pt idx="691">
                  <c:v>74.900000000000006</c:v>
                </c:pt>
                <c:pt idx="692">
                  <c:v>120</c:v>
                </c:pt>
                <c:pt idx="693">
                  <c:v>150</c:v>
                </c:pt>
                <c:pt idx="694">
                  <c:v>102.5</c:v>
                </c:pt>
                <c:pt idx="695">
                  <c:v>40</c:v>
                </c:pt>
                <c:pt idx="696">
                  <c:v>7.9</c:v>
                </c:pt>
                <c:pt idx="697">
                  <c:v>6.7</c:v>
                </c:pt>
                <c:pt idx="698">
                  <c:v>5.3</c:v>
                </c:pt>
                <c:pt idx="699">
                  <c:v>6</c:v>
                </c:pt>
                <c:pt idx="700">
                  <c:v>5.0010000000000003</c:v>
                </c:pt>
                <c:pt idx="701">
                  <c:v>5.0010000000000003</c:v>
                </c:pt>
                <c:pt idx="702">
                  <c:v>7.6</c:v>
                </c:pt>
                <c:pt idx="703">
                  <c:v>52.5</c:v>
                </c:pt>
                <c:pt idx="704">
                  <c:v>70.099999999999994</c:v>
                </c:pt>
                <c:pt idx="705">
                  <c:v>10</c:v>
                </c:pt>
                <c:pt idx="706">
                  <c:v>20</c:v>
                </c:pt>
                <c:pt idx="707">
                  <c:v>79.900000000000006</c:v>
                </c:pt>
                <c:pt idx="708">
                  <c:v>20</c:v>
                </c:pt>
                <c:pt idx="709">
                  <c:v>16.2</c:v>
                </c:pt>
                <c:pt idx="710">
                  <c:v>80.599999999999994</c:v>
                </c:pt>
                <c:pt idx="711">
                  <c:v>5.5</c:v>
                </c:pt>
                <c:pt idx="712">
                  <c:v>7.6</c:v>
                </c:pt>
                <c:pt idx="713">
                  <c:v>7.5</c:v>
                </c:pt>
                <c:pt idx="714">
                  <c:v>50</c:v>
                </c:pt>
                <c:pt idx="715">
                  <c:v>10</c:v>
                </c:pt>
                <c:pt idx="716">
                  <c:v>10</c:v>
                </c:pt>
                <c:pt idx="717">
                  <c:v>10</c:v>
                </c:pt>
                <c:pt idx="718">
                  <c:v>10</c:v>
                </c:pt>
                <c:pt idx="719">
                  <c:v>10</c:v>
                </c:pt>
                <c:pt idx="720">
                  <c:v>100</c:v>
                </c:pt>
                <c:pt idx="721">
                  <c:v>100</c:v>
                </c:pt>
                <c:pt idx="722">
                  <c:v>200</c:v>
                </c:pt>
                <c:pt idx="723">
                  <c:v>7.3</c:v>
                </c:pt>
                <c:pt idx="724">
                  <c:v>10</c:v>
                </c:pt>
                <c:pt idx="725">
                  <c:v>18</c:v>
                </c:pt>
                <c:pt idx="726">
                  <c:v>6</c:v>
                </c:pt>
                <c:pt idx="727">
                  <c:v>16</c:v>
                </c:pt>
                <c:pt idx="728">
                  <c:v>20</c:v>
                </c:pt>
                <c:pt idx="729">
                  <c:v>5.0010000000000003</c:v>
                </c:pt>
                <c:pt idx="730">
                  <c:v>12.625</c:v>
                </c:pt>
                <c:pt idx="731">
                  <c:v>6.3</c:v>
                </c:pt>
                <c:pt idx="732">
                  <c:v>47.3</c:v>
                </c:pt>
                <c:pt idx="733">
                  <c:v>10</c:v>
                </c:pt>
                <c:pt idx="734">
                  <c:v>5.6</c:v>
                </c:pt>
                <c:pt idx="735">
                  <c:v>9.9</c:v>
                </c:pt>
                <c:pt idx="736">
                  <c:v>13.5</c:v>
                </c:pt>
                <c:pt idx="737">
                  <c:v>13.875</c:v>
                </c:pt>
                <c:pt idx="738">
                  <c:v>10</c:v>
                </c:pt>
                <c:pt idx="739">
                  <c:v>24</c:v>
                </c:pt>
                <c:pt idx="740">
                  <c:v>20</c:v>
                </c:pt>
                <c:pt idx="741">
                  <c:v>10</c:v>
                </c:pt>
                <c:pt idx="742">
                  <c:v>8.1999999999999993</c:v>
                </c:pt>
                <c:pt idx="743">
                  <c:v>74.900000000000006</c:v>
                </c:pt>
                <c:pt idx="744">
                  <c:v>10</c:v>
                </c:pt>
                <c:pt idx="745">
                  <c:v>72.5</c:v>
                </c:pt>
                <c:pt idx="746">
                  <c:v>74.900000000000006</c:v>
                </c:pt>
                <c:pt idx="747">
                  <c:v>10</c:v>
                </c:pt>
                <c:pt idx="748">
                  <c:v>5.0010000000000003</c:v>
                </c:pt>
                <c:pt idx="749">
                  <c:v>5.0010000000000003</c:v>
                </c:pt>
                <c:pt idx="750">
                  <c:v>7.5</c:v>
                </c:pt>
                <c:pt idx="751">
                  <c:v>100.7</c:v>
                </c:pt>
                <c:pt idx="752">
                  <c:v>10</c:v>
                </c:pt>
                <c:pt idx="753">
                  <c:v>250</c:v>
                </c:pt>
                <c:pt idx="754">
                  <c:v>100</c:v>
                </c:pt>
                <c:pt idx="755">
                  <c:v>57.6</c:v>
                </c:pt>
                <c:pt idx="756">
                  <c:v>142.4</c:v>
                </c:pt>
                <c:pt idx="757">
                  <c:v>19.899999999999999</c:v>
                </c:pt>
                <c:pt idx="758">
                  <c:v>5.0010000000000003</c:v>
                </c:pt>
                <c:pt idx="759">
                  <c:v>5.0010000000000003</c:v>
                </c:pt>
                <c:pt idx="760">
                  <c:v>100</c:v>
                </c:pt>
                <c:pt idx="761">
                  <c:v>100</c:v>
                </c:pt>
                <c:pt idx="762">
                  <c:v>32.5</c:v>
                </c:pt>
                <c:pt idx="763">
                  <c:v>158</c:v>
                </c:pt>
                <c:pt idx="764">
                  <c:v>128</c:v>
                </c:pt>
                <c:pt idx="765">
                  <c:v>50</c:v>
                </c:pt>
                <c:pt idx="766">
                  <c:v>30</c:v>
                </c:pt>
                <c:pt idx="767">
                  <c:v>70</c:v>
                </c:pt>
                <c:pt idx="768">
                  <c:v>80</c:v>
                </c:pt>
                <c:pt idx="769">
                  <c:v>192</c:v>
                </c:pt>
                <c:pt idx="770">
                  <c:v>40</c:v>
                </c:pt>
                <c:pt idx="771">
                  <c:v>20</c:v>
                </c:pt>
                <c:pt idx="772">
                  <c:v>50</c:v>
                </c:pt>
                <c:pt idx="773">
                  <c:v>50</c:v>
                </c:pt>
                <c:pt idx="774">
                  <c:v>125</c:v>
                </c:pt>
                <c:pt idx="775">
                  <c:v>100</c:v>
                </c:pt>
                <c:pt idx="776">
                  <c:v>153.5</c:v>
                </c:pt>
                <c:pt idx="777">
                  <c:v>150</c:v>
                </c:pt>
                <c:pt idx="778">
                  <c:v>137.4</c:v>
                </c:pt>
                <c:pt idx="779">
                  <c:v>137.4</c:v>
                </c:pt>
                <c:pt idx="780">
                  <c:v>8.4</c:v>
                </c:pt>
                <c:pt idx="781">
                  <c:v>75</c:v>
                </c:pt>
                <c:pt idx="782">
                  <c:v>13.695</c:v>
                </c:pt>
                <c:pt idx="783">
                  <c:v>60</c:v>
                </c:pt>
                <c:pt idx="784">
                  <c:v>6</c:v>
                </c:pt>
                <c:pt idx="785">
                  <c:v>19.600000000000001</c:v>
                </c:pt>
                <c:pt idx="786">
                  <c:v>74.900000000000006</c:v>
                </c:pt>
                <c:pt idx="787">
                  <c:v>74.5</c:v>
                </c:pt>
                <c:pt idx="788">
                  <c:v>74.5</c:v>
                </c:pt>
                <c:pt idx="789">
                  <c:v>74.5</c:v>
                </c:pt>
                <c:pt idx="790">
                  <c:v>74.5</c:v>
                </c:pt>
                <c:pt idx="791">
                  <c:v>74.5</c:v>
                </c:pt>
                <c:pt idx="792">
                  <c:v>74.5</c:v>
                </c:pt>
                <c:pt idx="793">
                  <c:v>74.5</c:v>
                </c:pt>
                <c:pt idx="794">
                  <c:v>74.5</c:v>
                </c:pt>
                <c:pt idx="795">
                  <c:v>74.5</c:v>
                </c:pt>
                <c:pt idx="796">
                  <c:v>74.5</c:v>
                </c:pt>
                <c:pt idx="797">
                  <c:v>74.5</c:v>
                </c:pt>
                <c:pt idx="798">
                  <c:v>74.5</c:v>
                </c:pt>
                <c:pt idx="799">
                  <c:v>74.5</c:v>
                </c:pt>
                <c:pt idx="800">
                  <c:v>74.5</c:v>
                </c:pt>
                <c:pt idx="801">
                  <c:v>74.5</c:v>
                </c:pt>
                <c:pt idx="802">
                  <c:v>74.5</c:v>
                </c:pt>
                <c:pt idx="803">
                  <c:v>74.5</c:v>
                </c:pt>
                <c:pt idx="804">
                  <c:v>74.5</c:v>
                </c:pt>
                <c:pt idx="805">
                  <c:v>74.5</c:v>
                </c:pt>
                <c:pt idx="806">
                  <c:v>74.5</c:v>
                </c:pt>
                <c:pt idx="807">
                  <c:v>74.5</c:v>
                </c:pt>
                <c:pt idx="808">
                  <c:v>171.4</c:v>
                </c:pt>
                <c:pt idx="809">
                  <c:v>49.5</c:v>
                </c:pt>
                <c:pt idx="810">
                  <c:v>25</c:v>
                </c:pt>
                <c:pt idx="811">
                  <c:v>86</c:v>
                </c:pt>
                <c:pt idx="812">
                  <c:v>74</c:v>
                </c:pt>
                <c:pt idx="813">
                  <c:v>57.5</c:v>
                </c:pt>
                <c:pt idx="814">
                  <c:v>204</c:v>
                </c:pt>
                <c:pt idx="815">
                  <c:v>9.8000000000000007</c:v>
                </c:pt>
                <c:pt idx="816">
                  <c:v>7.05</c:v>
                </c:pt>
                <c:pt idx="817">
                  <c:v>7.1</c:v>
                </c:pt>
                <c:pt idx="818">
                  <c:v>20</c:v>
                </c:pt>
                <c:pt idx="819">
                  <c:v>50</c:v>
                </c:pt>
                <c:pt idx="820">
                  <c:v>20</c:v>
                </c:pt>
                <c:pt idx="821">
                  <c:v>5.0010000000000003</c:v>
                </c:pt>
                <c:pt idx="822">
                  <c:v>5.0010000000000003</c:v>
                </c:pt>
                <c:pt idx="823">
                  <c:v>6</c:v>
                </c:pt>
                <c:pt idx="824">
                  <c:v>10</c:v>
                </c:pt>
                <c:pt idx="825">
                  <c:v>49.4</c:v>
                </c:pt>
                <c:pt idx="826">
                  <c:v>50</c:v>
                </c:pt>
                <c:pt idx="827">
                  <c:v>20</c:v>
                </c:pt>
                <c:pt idx="828">
                  <c:v>15</c:v>
                </c:pt>
                <c:pt idx="829">
                  <c:v>20</c:v>
                </c:pt>
                <c:pt idx="830">
                  <c:v>16</c:v>
                </c:pt>
                <c:pt idx="831">
                  <c:v>74.900000000000006</c:v>
                </c:pt>
                <c:pt idx="832">
                  <c:v>100</c:v>
                </c:pt>
                <c:pt idx="833">
                  <c:v>25</c:v>
                </c:pt>
                <c:pt idx="834">
                  <c:v>18</c:v>
                </c:pt>
                <c:pt idx="835">
                  <c:v>9</c:v>
                </c:pt>
                <c:pt idx="836">
                  <c:v>22</c:v>
                </c:pt>
                <c:pt idx="837">
                  <c:v>16</c:v>
                </c:pt>
                <c:pt idx="838">
                  <c:v>20</c:v>
                </c:pt>
                <c:pt idx="839">
                  <c:v>8.8000000000000007</c:v>
                </c:pt>
                <c:pt idx="840">
                  <c:v>9.6</c:v>
                </c:pt>
                <c:pt idx="841">
                  <c:v>13</c:v>
                </c:pt>
                <c:pt idx="842">
                  <c:v>8</c:v>
                </c:pt>
                <c:pt idx="843">
                  <c:v>6.5</c:v>
                </c:pt>
                <c:pt idx="844">
                  <c:v>55</c:v>
                </c:pt>
                <c:pt idx="845">
                  <c:v>25</c:v>
                </c:pt>
                <c:pt idx="846">
                  <c:v>25</c:v>
                </c:pt>
                <c:pt idx="847">
                  <c:v>50</c:v>
                </c:pt>
                <c:pt idx="848">
                  <c:v>54.6</c:v>
                </c:pt>
                <c:pt idx="849">
                  <c:v>5.0010000000000003</c:v>
                </c:pt>
                <c:pt idx="850">
                  <c:v>5.0010000000000003</c:v>
                </c:pt>
                <c:pt idx="851">
                  <c:v>5.0010000000000003</c:v>
                </c:pt>
                <c:pt idx="852">
                  <c:v>7</c:v>
                </c:pt>
                <c:pt idx="853">
                  <c:v>5.0010000000000003</c:v>
                </c:pt>
                <c:pt idx="854">
                  <c:v>5.0010000000000003</c:v>
                </c:pt>
                <c:pt idx="855">
                  <c:v>10</c:v>
                </c:pt>
                <c:pt idx="856">
                  <c:v>15</c:v>
                </c:pt>
                <c:pt idx="857">
                  <c:v>10</c:v>
                </c:pt>
                <c:pt idx="858">
                  <c:v>10</c:v>
                </c:pt>
                <c:pt idx="859">
                  <c:v>10</c:v>
                </c:pt>
                <c:pt idx="860">
                  <c:v>9.9</c:v>
                </c:pt>
                <c:pt idx="861">
                  <c:v>10</c:v>
                </c:pt>
                <c:pt idx="862">
                  <c:v>10</c:v>
                </c:pt>
                <c:pt idx="863">
                  <c:v>10</c:v>
                </c:pt>
                <c:pt idx="864">
                  <c:v>10</c:v>
                </c:pt>
                <c:pt idx="865">
                  <c:v>10</c:v>
                </c:pt>
                <c:pt idx="866">
                  <c:v>15</c:v>
                </c:pt>
                <c:pt idx="867">
                  <c:v>10</c:v>
                </c:pt>
                <c:pt idx="868">
                  <c:v>20</c:v>
                </c:pt>
                <c:pt idx="869">
                  <c:v>20</c:v>
                </c:pt>
                <c:pt idx="870">
                  <c:v>9.5</c:v>
                </c:pt>
                <c:pt idx="871">
                  <c:v>7.2</c:v>
                </c:pt>
                <c:pt idx="872">
                  <c:v>7.02</c:v>
                </c:pt>
                <c:pt idx="873">
                  <c:v>75</c:v>
                </c:pt>
                <c:pt idx="874">
                  <c:v>6</c:v>
                </c:pt>
                <c:pt idx="875">
                  <c:v>75</c:v>
                </c:pt>
                <c:pt idx="876">
                  <c:v>70</c:v>
                </c:pt>
                <c:pt idx="877">
                  <c:v>72.099999999999994</c:v>
                </c:pt>
                <c:pt idx="878">
                  <c:v>9.8000000000000007</c:v>
                </c:pt>
                <c:pt idx="879">
                  <c:v>6.5</c:v>
                </c:pt>
                <c:pt idx="880">
                  <c:v>12</c:v>
                </c:pt>
                <c:pt idx="881">
                  <c:v>74.97</c:v>
                </c:pt>
                <c:pt idx="882">
                  <c:v>10</c:v>
                </c:pt>
                <c:pt idx="883">
                  <c:v>115</c:v>
                </c:pt>
                <c:pt idx="884">
                  <c:v>10</c:v>
                </c:pt>
                <c:pt idx="885">
                  <c:v>152.5</c:v>
                </c:pt>
                <c:pt idx="886">
                  <c:v>225</c:v>
                </c:pt>
                <c:pt idx="887">
                  <c:v>204.4</c:v>
                </c:pt>
                <c:pt idx="888">
                  <c:v>198.5</c:v>
                </c:pt>
                <c:pt idx="889">
                  <c:v>59.8</c:v>
                </c:pt>
                <c:pt idx="890">
                  <c:v>240</c:v>
                </c:pt>
                <c:pt idx="891">
                  <c:v>150</c:v>
                </c:pt>
                <c:pt idx="892">
                  <c:v>30</c:v>
                </c:pt>
                <c:pt idx="893">
                  <c:v>16.8</c:v>
                </c:pt>
                <c:pt idx="894">
                  <c:v>300</c:v>
                </c:pt>
                <c:pt idx="895">
                  <c:v>200</c:v>
                </c:pt>
                <c:pt idx="896">
                  <c:v>59.8</c:v>
                </c:pt>
                <c:pt idx="897">
                  <c:v>400</c:v>
                </c:pt>
                <c:pt idx="898">
                  <c:v>120</c:v>
                </c:pt>
                <c:pt idx="899">
                  <c:v>58</c:v>
                </c:pt>
                <c:pt idx="900">
                  <c:v>122</c:v>
                </c:pt>
                <c:pt idx="901">
                  <c:v>99</c:v>
                </c:pt>
                <c:pt idx="902">
                  <c:v>32</c:v>
                </c:pt>
                <c:pt idx="903">
                  <c:v>15.7</c:v>
                </c:pt>
                <c:pt idx="904">
                  <c:v>19.7</c:v>
                </c:pt>
                <c:pt idx="905">
                  <c:v>12</c:v>
                </c:pt>
                <c:pt idx="906">
                  <c:v>14</c:v>
                </c:pt>
                <c:pt idx="907">
                  <c:v>80</c:v>
                </c:pt>
                <c:pt idx="908">
                  <c:v>80</c:v>
                </c:pt>
                <c:pt idx="909">
                  <c:v>165</c:v>
                </c:pt>
                <c:pt idx="910">
                  <c:v>25</c:v>
                </c:pt>
                <c:pt idx="911">
                  <c:v>15</c:v>
                </c:pt>
                <c:pt idx="912">
                  <c:v>75</c:v>
                </c:pt>
                <c:pt idx="913">
                  <c:v>20</c:v>
                </c:pt>
                <c:pt idx="914">
                  <c:v>97.9</c:v>
                </c:pt>
                <c:pt idx="915">
                  <c:v>13.8</c:v>
                </c:pt>
                <c:pt idx="916">
                  <c:v>9</c:v>
                </c:pt>
                <c:pt idx="917">
                  <c:v>5.0010000000000003</c:v>
                </c:pt>
                <c:pt idx="918">
                  <c:v>150</c:v>
                </c:pt>
                <c:pt idx="919">
                  <c:v>9.9</c:v>
                </c:pt>
                <c:pt idx="920">
                  <c:v>40</c:v>
                </c:pt>
                <c:pt idx="921">
                  <c:v>9</c:v>
                </c:pt>
                <c:pt idx="922">
                  <c:v>300</c:v>
                </c:pt>
                <c:pt idx="923">
                  <c:v>10</c:v>
                </c:pt>
                <c:pt idx="924">
                  <c:v>9</c:v>
                </c:pt>
                <c:pt idx="925">
                  <c:v>7.3</c:v>
                </c:pt>
                <c:pt idx="926">
                  <c:v>107</c:v>
                </c:pt>
                <c:pt idx="927">
                  <c:v>80</c:v>
                </c:pt>
                <c:pt idx="928">
                  <c:v>100</c:v>
                </c:pt>
                <c:pt idx="929">
                  <c:v>20</c:v>
                </c:pt>
                <c:pt idx="930">
                  <c:v>68</c:v>
                </c:pt>
                <c:pt idx="931">
                  <c:v>80</c:v>
                </c:pt>
                <c:pt idx="932">
                  <c:v>20</c:v>
                </c:pt>
                <c:pt idx="933">
                  <c:v>49.4</c:v>
                </c:pt>
                <c:pt idx="934">
                  <c:v>5.0999999999999996</c:v>
                </c:pt>
                <c:pt idx="935">
                  <c:v>77</c:v>
                </c:pt>
                <c:pt idx="936">
                  <c:v>20</c:v>
                </c:pt>
                <c:pt idx="937">
                  <c:v>16.100000000000001</c:v>
                </c:pt>
                <c:pt idx="938">
                  <c:v>16.7</c:v>
                </c:pt>
                <c:pt idx="939">
                  <c:v>10</c:v>
                </c:pt>
                <c:pt idx="940">
                  <c:v>50.4</c:v>
                </c:pt>
                <c:pt idx="941">
                  <c:v>200</c:v>
                </c:pt>
                <c:pt idx="942">
                  <c:v>20</c:v>
                </c:pt>
                <c:pt idx="943">
                  <c:v>88.2</c:v>
                </c:pt>
                <c:pt idx="944">
                  <c:v>60</c:v>
                </c:pt>
                <c:pt idx="945">
                  <c:v>9.1999999999999993</c:v>
                </c:pt>
                <c:pt idx="946">
                  <c:v>80</c:v>
                </c:pt>
                <c:pt idx="947">
                  <c:v>80</c:v>
                </c:pt>
                <c:pt idx="948">
                  <c:v>20</c:v>
                </c:pt>
                <c:pt idx="949">
                  <c:v>19.899999999999999</c:v>
                </c:pt>
                <c:pt idx="950">
                  <c:v>132</c:v>
                </c:pt>
                <c:pt idx="951">
                  <c:v>10</c:v>
                </c:pt>
                <c:pt idx="952">
                  <c:v>65</c:v>
                </c:pt>
                <c:pt idx="953">
                  <c:v>22.6</c:v>
                </c:pt>
                <c:pt idx="954">
                  <c:v>227</c:v>
                </c:pt>
                <c:pt idx="955">
                  <c:v>7.2</c:v>
                </c:pt>
                <c:pt idx="956">
                  <c:v>150</c:v>
                </c:pt>
                <c:pt idx="957">
                  <c:v>15.7</c:v>
                </c:pt>
                <c:pt idx="958">
                  <c:v>101</c:v>
                </c:pt>
                <c:pt idx="959">
                  <c:v>180</c:v>
                </c:pt>
                <c:pt idx="960">
                  <c:v>20</c:v>
                </c:pt>
                <c:pt idx="961">
                  <c:v>260</c:v>
                </c:pt>
                <c:pt idx="962">
                  <c:v>250</c:v>
                </c:pt>
                <c:pt idx="963">
                  <c:v>50</c:v>
                </c:pt>
                <c:pt idx="964">
                  <c:v>20</c:v>
                </c:pt>
                <c:pt idx="965">
                  <c:v>19.899999999999999</c:v>
                </c:pt>
                <c:pt idx="966">
                  <c:v>49.9</c:v>
                </c:pt>
                <c:pt idx="967">
                  <c:v>80</c:v>
                </c:pt>
                <c:pt idx="968">
                  <c:v>82.5</c:v>
                </c:pt>
                <c:pt idx="969">
                  <c:v>22</c:v>
                </c:pt>
                <c:pt idx="970">
                  <c:v>20</c:v>
                </c:pt>
                <c:pt idx="971">
                  <c:v>70</c:v>
                </c:pt>
                <c:pt idx="972">
                  <c:v>13</c:v>
                </c:pt>
                <c:pt idx="973">
                  <c:v>200</c:v>
                </c:pt>
                <c:pt idx="974">
                  <c:v>180</c:v>
                </c:pt>
                <c:pt idx="975">
                  <c:v>70.099999999999994</c:v>
                </c:pt>
                <c:pt idx="976">
                  <c:v>100</c:v>
                </c:pt>
                <c:pt idx="977">
                  <c:v>128</c:v>
                </c:pt>
                <c:pt idx="978">
                  <c:v>130</c:v>
                </c:pt>
                <c:pt idx="979">
                  <c:v>250</c:v>
                </c:pt>
                <c:pt idx="980">
                  <c:v>50</c:v>
                </c:pt>
                <c:pt idx="981">
                  <c:v>9.9</c:v>
                </c:pt>
                <c:pt idx="982">
                  <c:v>74.900000000000006</c:v>
                </c:pt>
                <c:pt idx="983">
                  <c:v>150</c:v>
                </c:pt>
                <c:pt idx="984">
                  <c:v>100</c:v>
                </c:pt>
                <c:pt idx="985">
                  <c:v>100</c:v>
                </c:pt>
                <c:pt idx="986">
                  <c:v>144</c:v>
                </c:pt>
                <c:pt idx="987">
                  <c:v>202.64</c:v>
                </c:pt>
                <c:pt idx="988">
                  <c:v>69.3</c:v>
                </c:pt>
                <c:pt idx="989">
                  <c:v>8.6999999999999993</c:v>
                </c:pt>
                <c:pt idx="990">
                  <c:v>74.5</c:v>
                </c:pt>
                <c:pt idx="991">
                  <c:v>100</c:v>
                </c:pt>
                <c:pt idx="992">
                  <c:v>74.5</c:v>
                </c:pt>
                <c:pt idx="993">
                  <c:v>200</c:v>
                </c:pt>
                <c:pt idx="994">
                  <c:v>200</c:v>
                </c:pt>
                <c:pt idx="995">
                  <c:v>150</c:v>
                </c:pt>
                <c:pt idx="996">
                  <c:v>13.5</c:v>
                </c:pt>
                <c:pt idx="997">
                  <c:v>250</c:v>
                </c:pt>
                <c:pt idx="998">
                  <c:v>110</c:v>
                </c:pt>
                <c:pt idx="999">
                  <c:v>9</c:v>
                </c:pt>
                <c:pt idx="1000">
                  <c:v>99</c:v>
                </c:pt>
                <c:pt idx="1001">
                  <c:v>255</c:v>
                </c:pt>
                <c:pt idx="1002">
                  <c:v>74.900000000000006</c:v>
                </c:pt>
                <c:pt idx="1003">
                  <c:v>80</c:v>
                </c:pt>
                <c:pt idx="1004">
                  <c:v>99</c:v>
                </c:pt>
                <c:pt idx="1005">
                  <c:v>74.5</c:v>
                </c:pt>
                <c:pt idx="1006">
                  <c:v>420</c:v>
                </c:pt>
                <c:pt idx="1007">
                  <c:v>100</c:v>
                </c:pt>
                <c:pt idx="1008">
                  <c:v>200</c:v>
                </c:pt>
                <c:pt idx="1009">
                  <c:v>123.6</c:v>
                </c:pt>
                <c:pt idx="1010">
                  <c:v>250</c:v>
                </c:pt>
                <c:pt idx="1011">
                  <c:v>80</c:v>
                </c:pt>
                <c:pt idx="1012">
                  <c:v>127</c:v>
                </c:pt>
                <c:pt idx="1013">
                  <c:v>27.4</c:v>
                </c:pt>
                <c:pt idx="1014">
                  <c:v>60</c:v>
                </c:pt>
                <c:pt idx="1015">
                  <c:v>137.80000000000001</c:v>
                </c:pt>
                <c:pt idx="1016">
                  <c:v>16</c:v>
                </c:pt>
                <c:pt idx="1017">
                  <c:v>134.69999999999999</c:v>
                </c:pt>
                <c:pt idx="1018">
                  <c:v>160</c:v>
                </c:pt>
                <c:pt idx="1019">
                  <c:v>74.5</c:v>
                </c:pt>
                <c:pt idx="1020">
                  <c:v>240</c:v>
                </c:pt>
                <c:pt idx="1021">
                  <c:v>250</c:v>
                </c:pt>
                <c:pt idx="1022">
                  <c:v>7.8</c:v>
                </c:pt>
                <c:pt idx="1023">
                  <c:v>80</c:v>
                </c:pt>
                <c:pt idx="1024">
                  <c:v>74.5</c:v>
                </c:pt>
                <c:pt idx="1025">
                  <c:v>100</c:v>
                </c:pt>
                <c:pt idx="1026">
                  <c:v>74.5</c:v>
                </c:pt>
                <c:pt idx="1027">
                  <c:v>6.9</c:v>
                </c:pt>
                <c:pt idx="1028">
                  <c:v>9.5</c:v>
                </c:pt>
                <c:pt idx="1029">
                  <c:v>150</c:v>
                </c:pt>
                <c:pt idx="1030">
                  <c:v>213</c:v>
                </c:pt>
                <c:pt idx="1031">
                  <c:v>20</c:v>
                </c:pt>
                <c:pt idx="1032">
                  <c:v>74.5</c:v>
                </c:pt>
                <c:pt idx="1033">
                  <c:v>74.5</c:v>
                </c:pt>
                <c:pt idx="1034">
                  <c:v>74.5</c:v>
                </c:pt>
                <c:pt idx="1035">
                  <c:v>74.5</c:v>
                </c:pt>
                <c:pt idx="1036">
                  <c:v>74.5</c:v>
                </c:pt>
                <c:pt idx="1037">
                  <c:v>74.5</c:v>
                </c:pt>
                <c:pt idx="1038">
                  <c:v>100</c:v>
                </c:pt>
                <c:pt idx="1039">
                  <c:v>20</c:v>
                </c:pt>
                <c:pt idx="1040">
                  <c:v>46.2</c:v>
                </c:pt>
                <c:pt idx="1041">
                  <c:v>71.400000000000006</c:v>
                </c:pt>
                <c:pt idx="1042">
                  <c:v>250</c:v>
                </c:pt>
                <c:pt idx="1043">
                  <c:v>51</c:v>
                </c:pt>
                <c:pt idx="1044">
                  <c:v>203</c:v>
                </c:pt>
                <c:pt idx="1045">
                  <c:v>200</c:v>
                </c:pt>
                <c:pt idx="1046">
                  <c:v>250</c:v>
                </c:pt>
                <c:pt idx="1047">
                  <c:v>57.6</c:v>
                </c:pt>
                <c:pt idx="1048">
                  <c:v>165</c:v>
                </c:pt>
                <c:pt idx="1049">
                  <c:v>20</c:v>
                </c:pt>
                <c:pt idx="1050">
                  <c:v>7.8</c:v>
                </c:pt>
                <c:pt idx="1051">
                  <c:v>6.8</c:v>
                </c:pt>
                <c:pt idx="1052">
                  <c:v>79</c:v>
                </c:pt>
                <c:pt idx="1053">
                  <c:v>74.5</c:v>
                </c:pt>
                <c:pt idx="1054">
                  <c:v>100</c:v>
                </c:pt>
                <c:pt idx="1055">
                  <c:v>20</c:v>
                </c:pt>
                <c:pt idx="1056">
                  <c:v>20</c:v>
                </c:pt>
                <c:pt idx="1057">
                  <c:v>74.5</c:v>
                </c:pt>
                <c:pt idx="1058">
                  <c:v>74.5</c:v>
                </c:pt>
                <c:pt idx="1059">
                  <c:v>100</c:v>
                </c:pt>
                <c:pt idx="1060">
                  <c:v>74.5</c:v>
                </c:pt>
                <c:pt idx="1061">
                  <c:v>74.5</c:v>
                </c:pt>
                <c:pt idx="1062">
                  <c:v>74.5</c:v>
                </c:pt>
                <c:pt idx="1063">
                  <c:v>200</c:v>
                </c:pt>
                <c:pt idx="1064">
                  <c:v>250</c:v>
                </c:pt>
                <c:pt idx="1065">
                  <c:v>250</c:v>
                </c:pt>
                <c:pt idx="1066">
                  <c:v>20</c:v>
                </c:pt>
                <c:pt idx="1067">
                  <c:v>61.2</c:v>
                </c:pt>
                <c:pt idx="1068">
                  <c:v>110.9</c:v>
                </c:pt>
                <c:pt idx="1069">
                  <c:v>74.5</c:v>
                </c:pt>
                <c:pt idx="1070">
                  <c:v>6.7</c:v>
                </c:pt>
                <c:pt idx="1071">
                  <c:v>20</c:v>
                </c:pt>
                <c:pt idx="1072">
                  <c:v>8.1999999999999993</c:v>
                </c:pt>
                <c:pt idx="1073">
                  <c:v>74.5</c:v>
                </c:pt>
                <c:pt idx="1074">
                  <c:v>57</c:v>
                </c:pt>
                <c:pt idx="1075">
                  <c:v>79.599999999999994</c:v>
                </c:pt>
                <c:pt idx="1076">
                  <c:v>7</c:v>
                </c:pt>
                <c:pt idx="1077">
                  <c:v>45.8</c:v>
                </c:pt>
                <c:pt idx="1078">
                  <c:v>149</c:v>
                </c:pt>
                <c:pt idx="1079">
                  <c:v>55</c:v>
                </c:pt>
                <c:pt idx="1080">
                  <c:v>54.6</c:v>
                </c:pt>
                <c:pt idx="1081">
                  <c:v>7.5</c:v>
                </c:pt>
                <c:pt idx="1082">
                  <c:v>6.8</c:v>
                </c:pt>
                <c:pt idx="1083">
                  <c:v>74.900000000000006</c:v>
                </c:pt>
                <c:pt idx="1084">
                  <c:v>24</c:v>
                </c:pt>
                <c:pt idx="1085">
                  <c:v>120</c:v>
                </c:pt>
                <c:pt idx="1086">
                  <c:v>100</c:v>
                </c:pt>
                <c:pt idx="1087">
                  <c:v>150</c:v>
                </c:pt>
                <c:pt idx="1088">
                  <c:v>20</c:v>
                </c:pt>
                <c:pt idx="1089">
                  <c:v>150</c:v>
                </c:pt>
                <c:pt idx="1090">
                  <c:v>50</c:v>
                </c:pt>
                <c:pt idx="1091">
                  <c:v>250</c:v>
                </c:pt>
                <c:pt idx="1092">
                  <c:v>50</c:v>
                </c:pt>
                <c:pt idx="1093">
                  <c:v>7</c:v>
                </c:pt>
                <c:pt idx="1094">
                  <c:v>5.0010000000000003</c:v>
                </c:pt>
                <c:pt idx="1095">
                  <c:v>5.7</c:v>
                </c:pt>
                <c:pt idx="1096">
                  <c:v>59.6</c:v>
                </c:pt>
                <c:pt idx="1097">
                  <c:v>10</c:v>
                </c:pt>
                <c:pt idx="1098">
                  <c:v>10.8</c:v>
                </c:pt>
                <c:pt idx="1099">
                  <c:v>6.5</c:v>
                </c:pt>
                <c:pt idx="1100">
                  <c:v>12.5</c:v>
                </c:pt>
              </c:numCache>
            </c:numRef>
          </c:bubbleSize>
          <c:bubble3D val="0"/>
          <c:extLst>
            <c:ext xmlns:c16="http://schemas.microsoft.com/office/drawing/2014/chart" uri="{C3380CC4-5D6E-409C-BE32-E72D297353CC}">
              <c16:uniqueId val="{00000000-0F9F-41E8-AF11-55DAD5DC7024}"/>
            </c:ext>
          </c:extLst>
        </c:ser>
        <c:dLbls>
          <c:showLegendKey val="0"/>
          <c:showVal val="0"/>
          <c:showCatName val="0"/>
          <c:showSerName val="0"/>
          <c:showPercent val="0"/>
          <c:showBubbleSize val="0"/>
        </c:dLbls>
        <c:bubbleScale val="70"/>
        <c:showNegBubbles val="0"/>
        <c:axId val="556866296"/>
        <c:axId val="556867864"/>
      </c:bubbleChart>
      <c:valAx>
        <c:axId val="556866296"/>
        <c:scaling>
          <c:orientation val="minMax"/>
          <c:max val="13.5"/>
          <c:min val="0.5"/>
        </c:scaling>
        <c:delete val="0"/>
        <c:axPos val="b"/>
        <c:majorGridlines>
          <c:spPr>
            <a:ln w="9525" cap="flat" cmpd="sng" algn="ctr">
              <a:noFill/>
              <a:round/>
            </a:ln>
            <a:effectLst/>
          </c:spPr>
        </c:majorGridlines>
        <c:numFmt formatCode="General" sourceLinked="1"/>
        <c:majorTickMark val="out"/>
        <c:minorTickMark val="none"/>
        <c:tickLblPos val="none"/>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6867864"/>
        <c:crosses val="autoZero"/>
        <c:crossBetween val="midCat"/>
        <c:majorUnit val="1"/>
      </c:valAx>
      <c:valAx>
        <c:axId val="556867864"/>
        <c:scaling>
          <c:orientation val="minMax"/>
          <c:max val="400"/>
          <c:min val="0"/>
        </c:scaling>
        <c:delete val="0"/>
        <c:axPos val="l"/>
        <c:majorGridlines>
          <c:spPr>
            <a:ln w="9525" cap="flat" cmpd="sng" algn="ctr">
              <a:noFill/>
              <a:round/>
            </a:ln>
            <a:effectLst/>
          </c:spPr>
        </c:majorGridlines>
        <c:numFmt formatCode="0" sourceLinked="0"/>
        <c:majorTickMark val="none"/>
        <c:minorTickMark val="none"/>
        <c:tickLblPos val="none"/>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6866296"/>
        <c:crosses val="autoZero"/>
        <c:crossBetween val="midCat"/>
        <c:majorUnit val="50"/>
      </c:valAx>
      <c:spPr>
        <a:noFill/>
        <a:ln>
          <a:noFill/>
        </a:ln>
        <a:effectLst/>
      </c:spPr>
    </c:plotArea>
    <c:plotVisOnly val="1"/>
    <c:dispBlanksAs val="gap"/>
    <c:showDLblsOverMax val="0"/>
  </c:chart>
  <c:spPr>
    <a:no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04147114186484E-2"/>
          <c:y val="8.0916779341976192E-2"/>
          <c:w val="0.90162186166123159"/>
          <c:h val="0.68388709933985514"/>
        </c:manualLayout>
      </c:layout>
      <c:lineChart>
        <c:grouping val="standard"/>
        <c:varyColors val="0"/>
        <c:ser>
          <c:idx val="0"/>
          <c:order val="0"/>
          <c:tx>
            <c:v> Nationwide</c:v>
          </c:tx>
          <c:spPr>
            <a:ln>
              <a:solidFill>
                <a:schemeClr val="accent1"/>
              </a:solidFill>
              <a:prstDash val="sysDash"/>
            </a:ln>
          </c:spPr>
          <c:marker>
            <c:symbol val="circle"/>
            <c:size val="7"/>
            <c:spPr>
              <a:solidFill>
                <a:schemeClr val="bg1"/>
              </a:solidFill>
              <a:ln>
                <a:solidFill>
                  <a:schemeClr val="accent1"/>
                </a:solidFill>
              </a:ln>
            </c:spPr>
          </c:marker>
          <c:cat>
            <c:multiLvlStrRef>
              <c:f>'LCOE vs. PPA Price'!$A$30:$C$43</c:f>
              <c:multiLvlStrCache>
                <c:ptCount val="14"/>
                <c:lvl>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lvl>
                <c:lvl>
                  <c:pt idx="0">
                    <c:v>10</c:v>
                  </c:pt>
                  <c:pt idx="1">
                    <c:v>28</c:v>
                  </c:pt>
                  <c:pt idx="2">
                    <c:v>39</c:v>
                  </c:pt>
                  <c:pt idx="3">
                    <c:v>38</c:v>
                  </c:pt>
                  <c:pt idx="4">
                    <c:v>63</c:v>
                  </c:pt>
                  <c:pt idx="5">
                    <c:v>85</c:v>
                  </c:pt>
                  <c:pt idx="6">
                    <c:v>145</c:v>
                  </c:pt>
                  <c:pt idx="7">
                    <c:v>160</c:v>
                  </c:pt>
                  <c:pt idx="8">
                    <c:v>93</c:v>
                  </c:pt>
                  <c:pt idx="9">
                    <c:v>99</c:v>
                  </c:pt>
                  <c:pt idx="10">
                    <c:v>159</c:v>
                  </c:pt>
                  <c:pt idx="11">
                    <c:v>123</c:v>
                  </c:pt>
                  <c:pt idx="12">
                    <c:v>59</c:v>
                  </c:pt>
                  <c:pt idx="13">
                    <c:v>TBD</c:v>
                  </c:pt>
                </c:lvl>
                <c:lvl>
                  <c:pt idx="0">
                    <c:v>175</c:v>
                  </c:pt>
                  <c:pt idx="1">
                    <c:v>423</c:v>
                  </c:pt>
                  <c:pt idx="2">
                    <c:v>894</c:v>
                  </c:pt>
                  <c:pt idx="3">
                    <c:v>1,344</c:v>
                  </c:pt>
                  <c:pt idx="4">
                    <c:v>3,166</c:v>
                  </c:pt>
                  <c:pt idx="5">
                    <c:v>2,840</c:v>
                  </c:pt>
                  <c:pt idx="6">
                    <c:v>7,377</c:v>
                  </c:pt>
                  <c:pt idx="7">
                    <c:v>3,996</c:v>
                  </c:pt>
                  <c:pt idx="8">
                    <c:v>3,929</c:v>
                  </c:pt>
                  <c:pt idx="9">
                    <c:v>4,401</c:v>
                  </c:pt>
                  <c:pt idx="10">
                    <c:v>9,481</c:v>
                  </c:pt>
                  <c:pt idx="11">
                    <c:v>11,203</c:v>
                  </c:pt>
                  <c:pt idx="12">
                    <c:v>4,622</c:v>
                  </c:pt>
                  <c:pt idx="13">
                    <c:v>TBD</c:v>
                  </c:pt>
                </c:lvl>
              </c:multiLvlStrCache>
            </c:multiLvlStrRef>
          </c:cat>
          <c:val>
            <c:numRef>
              <c:f>'LCOE vs. PPA Price'!$D$30:$D$43</c:f>
              <c:numCache>
                <c:formatCode>0.00</c:formatCode>
                <c:ptCount val="14"/>
                <c:pt idx="0">
                  <c:v>319.88689794915638</c:v>
                </c:pt>
                <c:pt idx="1">
                  <c:v>225.94113668451112</c:v>
                </c:pt>
                <c:pt idx="2">
                  <c:v>194.27680445688065</c:v>
                </c:pt>
                <c:pt idx="3">
                  <c:v>153.81089775977915</c:v>
                </c:pt>
                <c:pt idx="4">
                  <c:v>132.21016376831994</c:v>
                </c:pt>
                <c:pt idx="5">
                  <c:v>109.27545818150826</c:v>
                </c:pt>
                <c:pt idx="6">
                  <c:v>86.689531542009846</c:v>
                </c:pt>
                <c:pt idx="7">
                  <c:v>83.804403182510356</c:v>
                </c:pt>
                <c:pt idx="8">
                  <c:v>67.862522692929744</c:v>
                </c:pt>
                <c:pt idx="9">
                  <c:v>59.715118207146652</c:v>
                </c:pt>
                <c:pt idx="10">
                  <c:v>54.944913525891522</c:v>
                </c:pt>
                <c:pt idx="11">
                  <c:v>42.892925324668759</c:v>
                </c:pt>
                <c:pt idx="12">
                  <c:v>42.051699932265457</c:v>
                </c:pt>
              </c:numCache>
            </c:numRef>
          </c:val>
          <c:smooth val="0"/>
          <c:extLst>
            <c:ext xmlns:c16="http://schemas.microsoft.com/office/drawing/2014/chart" uri="{C3380CC4-5D6E-409C-BE32-E72D297353CC}">
              <c16:uniqueId val="{00000000-4B3B-4C69-A532-919308F66399}"/>
            </c:ext>
          </c:extLst>
        </c:ser>
        <c:ser>
          <c:idx val="1"/>
          <c:order val="1"/>
          <c:spPr>
            <a:ln>
              <a:solidFill>
                <a:schemeClr val="accent1"/>
              </a:solidFill>
            </a:ln>
          </c:spPr>
          <c:marker>
            <c:symbol val="circle"/>
            <c:size val="7"/>
            <c:spPr>
              <a:solidFill>
                <a:schemeClr val="bg1"/>
              </a:solidFill>
              <a:ln>
                <a:solidFill>
                  <a:schemeClr val="accent1"/>
                </a:solidFill>
              </a:ln>
            </c:spPr>
          </c:marker>
          <c:cat>
            <c:multiLvlStrRef>
              <c:f>'LCOE vs. PPA Price'!$A$30:$C$43</c:f>
              <c:multiLvlStrCache>
                <c:ptCount val="14"/>
                <c:lvl>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lvl>
                <c:lvl>
                  <c:pt idx="0">
                    <c:v>10</c:v>
                  </c:pt>
                  <c:pt idx="1">
                    <c:v>28</c:v>
                  </c:pt>
                  <c:pt idx="2">
                    <c:v>39</c:v>
                  </c:pt>
                  <c:pt idx="3">
                    <c:v>38</c:v>
                  </c:pt>
                  <c:pt idx="4">
                    <c:v>63</c:v>
                  </c:pt>
                  <c:pt idx="5">
                    <c:v>85</c:v>
                  </c:pt>
                  <c:pt idx="6">
                    <c:v>145</c:v>
                  </c:pt>
                  <c:pt idx="7">
                    <c:v>160</c:v>
                  </c:pt>
                  <c:pt idx="8">
                    <c:v>93</c:v>
                  </c:pt>
                  <c:pt idx="9">
                    <c:v>99</c:v>
                  </c:pt>
                  <c:pt idx="10">
                    <c:v>159</c:v>
                  </c:pt>
                  <c:pt idx="11">
                    <c:v>123</c:v>
                  </c:pt>
                  <c:pt idx="12">
                    <c:v>59</c:v>
                  </c:pt>
                  <c:pt idx="13">
                    <c:v>TBD</c:v>
                  </c:pt>
                </c:lvl>
                <c:lvl>
                  <c:pt idx="0">
                    <c:v>175</c:v>
                  </c:pt>
                  <c:pt idx="1">
                    <c:v>423</c:v>
                  </c:pt>
                  <c:pt idx="2">
                    <c:v>894</c:v>
                  </c:pt>
                  <c:pt idx="3">
                    <c:v>1,344</c:v>
                  </c:pt>
                  <c:pt idx="4">
                    <c:v>3,166</c:v>
                  </c:pt>
                  <c:pt idx="5">
                    <c:v>2,840</c:v>
                  </c:pt>
                  <c:pt idx="6">
                    <c:v>7,377</c:v>
                  </c:pt>
                  <c:pt idx="7">
                    <c:v>3,996</c:v>
                  </c:pt>
                  <c:pt idx="8">
                    <c:v>3,929</c:v>
                  </c:pt>
                  <c:pt idx="9">
                    <c:v>4,401</c:v>
                  </c:pt>
                  <c:pt idx="10">
                    <c:v>9,481</c:v>
                  </c:pt>
                  <c:pt idx="11">
                    <c:v>11,203</c:v>
                  </c:pt>
                  <c:pt idx="12">
                    <c:v>4,622</c:v>
                  </c:pt>
                  <c:pt idx="13">
                    <c:v>TBD</c:v>
                  </c:pt>
                </c:lvl>
              </c:multiLvlStrCache>
            </c:multiLvlStrRef>
          </c:cat>
          <c:val>
            <c:numRef>
              <c:f>'LCOE vs. PPA Price'!$G$30:$G$43</c:f>
              <c:numCache>
                <c:formatCode>0.00</c:formatCode>
                <c:ptCount val="14"/>
                <c:pt idx="0">
                  <c:v>211.46092130261394</c:v>
                </c:pt>
                <c:pt idx="1">
                  <c:v>151.62925563173718</c:v>
                </c:pt>
                <c:pt idx="2">
                  <c:v>129.3688706097445</c:v>
                </c:pt>
                <c:pt idx="3">
                  <c:v>102.48298450712691</c:v>
                </c:pt>
                <c:pt idx="4">
                  <c:v>89.960314149696174</c:v>
                </c:pt>
                <c:pt idx="5">
                  <c:v>75.446731253505163</c:v>
                </c:pt>
                <c:pt idx="6">
                  <c:v>60.566102429266373</c:v>
                </c:pt>
                <c:pt idx="7">
                  <c:v>58.61969679169043</c:v>
                </c:pt>
                <c:pt idx="8">
                  <c:v>50.156673183963342</c:v>
                </c:pt>
                <c:pt idx="9">
                  <c:v>44.179148808909638</c:v>
                </c:pt>
                <c:pt idx="10">
                  <c:v>40.532731891317219</c:v>
                </c:pt>
                <c:pt idx="11">
                  <c:v>32.044088102870887</c:v>
                </c:pt>
                <c:pt idx="12">
                  <c:v>31.600947479896114</c:v>
                </c:pt>
              </c:numCache>
            </c:numRef>
          </c:val>
          <c:smooth val="0"/>
          <c:extLst>
            <c:ext xmlns:c16="http://schemas.microsoft.com/office/drawing/2014/chart" uri="{C3380CC4-5D6E-409C-BE32-E72D297353CC}">
              <c16:uniqueId val="{00000001-4B3B-4C69-A532-919308F66399}"/>
            </c:ext>
          </c:extLst>
        </c:ser>
        <c:ser>
          <c:idx val="2"/>
          <c:order val="2"/>
          <c:spPr>
            <a:ln w="19050">
              <a:solidFill>
                <a:schemeClr val="accent2"/>
              </a:solidFill>
            </a:ln>
          </c:spPr>
          <c:marker>
            <c:symbol val="none"/>
          </c:marker>
          <c:cat>
            <c:multiLvlStrRef>
              <c:f>'LCOE vs. PPA Price'!$A$30:$C$43</c:f>
              <c:multiLvlStrCache>
                <c:ptCount val="14"/>
                <c:lvl>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lvl>
                <c:lvl>
                  <c:pt idx="0">
                    <c:v>10</c:v>
                  </c:pt>
                  <c:pt idx="1">
                    <c:v>28</c:v>
                  </c:pt>
                  <c:pt idx="2">
                    <c:v>39</c:v>
                  </c:pt>
                  <c:pt idx="3">
                    <c:v>38</c:v>
                  </c:pt>
                  <c:pt idx="4">
                    <c:v>63</c:v>
                  </c:pt>
                  <c:pt idx="5">
                    <c:v>85</c:v>
                  </c:pt>
                  <c:pt idx="6">
                    <c:v>145</c:v>
                  </c:pt>
                  <c:pt idx="7">
                    <c:v>160</c:v>
                  </c:pt>
                  <c:pt idx="8">
                    <c:v>93</c:v>
                  </c:pt>
                  <c:pt idx="9">
                    <c:v>99</c:v>
                  </c:pt>
                  <c:pt idx="10">
                    <c:v>159</c:v>
                  </c:pt>
                  <c:pt idx="11">
                    <c:v>123</c:v>
                  </c:pt>
                  <c:pt idx="12">
                    <c:v>59</c:v>
                  </c:pt>
                  <c:pt idx="13">
                    <c:v>TBD</c:v>
                  </c:pt>
                </c:lvl>
                <c:lvl>
                  <c:pt idx="0">
                    <c:v>175</c:v>
                  </c:pt>
                  <c:pt idx="1">
                    <c:v>423</c:v>
                  </c:pt>
                  <c:pt idx="2">
                    <c:v>894</c:v>
                  </c:pt>
                  <c:pt idx="3">
                    <c:v>1,344</c:v>
                  </c:pt>
                  <c:pt idx="4">
                    <c:v>3,166</c:v>
                  </c:pt>
                  <c:pt idx="5">
                    <c:v>2,840</c:v>
                  </c:pt>
                  <c:pt idx="6">
                    <c:v>7,377</c:v>
                  </c:pt>
                  <c:pt idx="7">
                    <c:v>3,996</c:v>
                  </c:pt>
                  <c:pt idx="8">
                    <c:v>3,929</c:v>
                  </c:pt>
                  <c:pt idx="9">
                    <c:v>4,401</c:v>
                  </c:pt>
                  <c:pt idx="10">
                    <c:v>9,481</c:v>
                  </c:pt>
                  <c:pt idx="11">
                    <c:v>11,203</c:v>
                  </c:pt>
                  <c:pt idx="12">
                    <c:v>4,622</c:v>
                  </c:pt>
                  <c:pt idx="13">
                    <c:v>TBD</c:v>
                  </c:pt>
                </c:lvl>
              </c:multiLvlStrCache>
            </c:multiLvlStrRef>
          </c:cat>
          <c:val>
            <c:numRef>
              <c:f>'LCOE vs. PPA Price'!$K$30:$K$43</c:f>
              <c:numCache>
                <c:formatCode>0.00</c:formatCode>
                <c:ptCount val="14"/>
                <c:pt idx="0">
                  <c:v>213.41393043670851</c:v>
                </c:pt>
                <c:pt idx="1">
                  <c:v>189.04224521908935</c:v>
                </c:pt>
                <c:pt idx="2">
                  <c:v>144.2231206444506</c:v>
                </c:pt>
                <c:pt idx="3">
                  <c:v>139.66242075636242</c:v>
                </c:pt>
                <c:pt idx="4">
                  <c:v>108.34380196700363</c:v>
                </c:pt>
                <c:pt idx="5">
                  <c:v>88.024684149958574</c:v>
                </c:pt>
                <c:pt idx="6">
                  <c:v>59.338836266836473</c:v>
                </c:pt>
                <c:pt idx="7">
                  <c:v>52.446745948111499</c:v>
                </c:pt>
                <c:pt idx="8">
                  <c:v>50.184139063486363</c:v>
                </c:pt>
                <c:pt idx="9">
                  <c:v>38.935671876334965</c:v>
                </c:pt>
                <c:pt idx="10">
                  <c:v>28.526009117115095</c:v>
                </c:pt>
                <c:pt idx="11">
                  <c:v>24.470778272851501</c:v>
                </c:pt>
                <c:pt idx="12">
                  <c:v>22.094557358551398</c:v>
                </c:pt>
                <c:pt idx="13">
                  <c:v>24.208814286635786</c:v>
                </c:pt>
              </c:numCache>
            </c:numRef>
          </c:val>
          <c:smooth val="0"/>
          <c:extLst>
            <c:ext xmlns:c16="http://schemas.microsoft.com/office/drawing/2014/chart" uri="{C3380CC4-5D6E-409C-BE32-E72D297353CC}">
              <c16:uniqueId val="{00000002-4B3B-4C69-A532-919308F66399}"/>
            </c:ext>
          </c:extLst>
        </c:ser>
        <c:dLbls>
          <c:showLegendKey val="0"/>
          <c:showVal val="0"/>
          <c:showCatName val="0"/>
          <c:showSerName val="0"/>
          <c:showPercent val="0"/>
          <c:showBubbleSize val="0"/>
        </c:dLbls>
        <c:marker val="1"/>
        <c:smooth val="0"/>
        <c:axId val="556863552"/>
        <c:axId val="556870216"/>
      </c:lineChart>
      <c:catAx>
        <c:axId val="556863552"/>
        <c:scaling>
          <c:orientation val="minMax"/>
        </c:scaling>
        <c:delete val="0"/>
        <c:axPos val="b"/>
        <c:numFmt formatCode="General" sourceLinked="1"/>
        <c:majorTickMark val="out"/>
        <c:minorTickMark val="none"/>
        <c:tickLblPos val="nextTo"/>
        <c:spPr>
          <a:ln w="3175">
            <a:noFill/>
            <a:prstDash val="solid"/>
          </a:ln>
        </c:spPr>
        <c:txPr>
          <a:bodyPr rot="0" vert="horz"/>
          <a:lstStyle/>
          <a:p>
            <a:pPr>
              <a:defRPr b="1"/>
            </a:pPr>
            <a:endParaRPr lang="en-US"/>
          </a:p>
        </c:txPr>
        <c:crossAx val="556870216"/>
        <c:crosses val="autoZero"/>
        <c:auto val="1"/>
        <c:lblAlgn val="ctr"/>
        <c:lblOffset val="50"/>
        <c:noMultiLvlLbl val="1"/>
      </c:catAx>
      <c:valAx>
        <c:axId val="556870216"/>
        <c:scaling>
          <c:orientation val="minMax"/>
          <c:max val="320"/>
          <c:min val="0"/>
        </c:scaling>
        <c:delete val="0"/>
        <c:axPos val="l"/>
        <c:majorGridlines>
          <c:spPr>
            <a:ln w="3175">
              <a:solidFill>
                <a:schemeClr val="bg1">
                  <a:lumMod val="75000"/>
                </a:schemeClr>
              </a:solidFill>
            </a:ln>
          </c:spPr>
        </c:majorGridlines>
        <c:numFmt formatCode="#,##0" sourceLinked="0"/>
        <c:majorTickMark val="out"/>
        <c:minorTickMark val="none"/>
        <c:tickLblPos val="nextTo"/>
        <c:spPr>
          <a:noFill/>
          <a:ln w="3175">
            <a:noFill/>
            <a:prstDash val="solid"/>
          </a:ln>
        </c:spPr>
        <c:txPr>
          <a:bodyPr rot="0" vert="horz"/>
          <a:lstStyle/>
          <a:p>
            <a:pPr>
              <a:defRPr b="1"/>
            </a:pPr>
            <a:endParaRPr lang="en-US"/>
          </a:p>
        </c:txPr>
        <c:crossAx val="556863552"/>
        <c:crosses val="autoZero"/>
        <c:crossBetween val="between"/>
        <c:majorUnit val="40"/>
      </c:valAx>
      <c:spPr>
        <a:noFill/>
        <a:ln w="25400">
          <a:noFill/>
        </a:ln>
      </c:spPr>
    </c:plotArea>
    <c:plotVisOnly val="1"/>
    <c:dispBlanksAs val="gap"/>
    <c:showDLblsOverMax val="0"/>
  </c:chart>
  <c:spPr>
    <a:solidFill>
      <a:schemeClr val="bg1"/>
    </a:solidFill>
    <a:ln w="9525">
      <a:noFill/>
    </a:ln>
  </c:spPr>
  <c:txPr>
    <a:bodyPr/>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printSettings>
    <c:headerFooter alignWithMargins="0"/>
    <c:pageMargins b="1" l="0.75" r="0.75" t="1" header="0.5" footer="0.5"/>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11F213D-5F26-4056-A0CD-40A16F12FD0E}">
  <sheetPr codeName="Chart7">
    <tabColor rgb="FF00B050"/>
  </sheetPr>
  <sheetViews>
    <sheetView workbookViewId="0"/>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874015F-1633-4202-BBB0-91013C0A3117}">
  <sheetPr codeName="Chart9">
    <tabColor rgb="FF00B050"/>
  </sheetPr>
  <sheetViews>
    <sheetView workbookViewId="0"/>
  </sheetViews>
  <pageMargins left="0.7" right="0.7" top="0.75" bottom="0.75" header="0.3" footer="0.3"/>
  <pageSetup orientation="landscape"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6DC81A3-7481-444B-9E73-4BA743B865C3}">
  <sheetPr codeName="Chart10">
    <tabColor rgb="FF00B050"/>
  </sheetPr>
  <sheetViews>
    <sheetView workbookViewId="0"/>
  </sheetViews>
  <pageMargins left="0.7" right="0.7" top="0.75" bottom="0.75" header="0.3" footer="0.3"/>
  <pageSetup orientation="landscape" r:id="rId1"/>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85D6AE2-2A13-4A63-AF5C-462FAA2A9786}">
  <sheetPr codeName="Chart11">
    <tabColor rgb="FF00B050"/>
  </sheetPr>
  <sheetViews>
    <sheetView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3.xml.rels><?xml version="1.0" encoding="UTF-8" standalone="yes"?>
<Relationships xmlns="http://schemas.openxmlformats.org/package/2006/relationships"><Relationship Id="rId2" Type="http://schemas.openxmlformats.org/officeDocument/2006/relationships/image" Target="../media/image15.emf"/><Relationship Id="rId1" Type="http://schemas.openxmlformats.org/officeDocument/2006/relationships/image" Target="../media/image14.jpeg"/></Relationships>
</file>

<file path=xl/drawings/_rels/drawing24.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19CA0C4E-21B6-A9EF-BDBB-808BA097F21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oneCellAnchor>
    <xdr:from>
      <xdr:col>0</xdr:col>
      <xdr:colOff>0</xdr:colOff>
      <xdr:row>4</xdr:row>
      <xdr:rowOff>0</xdr:rowOff>
    </xdr:from>
    <xdr:ext cx="5639435" cy="1657350"/>
    <xdr:pic>
      <xdr:nvPicPr>
        <xdr:cNvPr id="2" name="Picture 1" descr="A black text on a white background&#10;&#10;Description automatically generated">
          <a:extLst>
            <a:ext uri="{FF2B5EF4-FFF2-40B4-BE49-F238E27FC236}">
              <a16:creationId xmlns:a16="http://schemas.microsoft.com/office/drawing/2014/main" id="{EBFA8480-8003-4A52-906E-688E35C1C35F}"/>
            </a:ext>
          </a:extLst>
        </xdr:cNvPr>
        <xdr:cNvPicPr>
          <a:picLocks noChangeAspect="1"/>
        </xdr:cNvPicPr>
      </xdr:nvPicPr>
      <xdr:blipFill>
        <a:blip xmlns:r="http://schemas.openxmlformats.org/officeDocument/2006/relationships" r:embed="rId1"/>
        <a:stretch>
          <a:fillRect/>
        </a:stretch>
      </xdr:blipFill>
      <xdr:spPr>
        <a:xfrm>
          <a:off x="0" y="571500"/>
          <a:ext cx="5639435" cy="1657350"/>
        </a:xfrm>
        <a:prstGeom prst="rect">
          <a:avLst/>
        </a:prstGeom>
      </xdr:spPr>
    </xdr:pic>
    <xdr:clientData/>
  </xdr:oneCellAnchor>
  <xdr:oneCellAnchor>
    <xdr:from>
      <xdr:col>0</xdr:col>
      <xdr:colOff>0</xdr:colOff>
      <xdr:row>14</xdr:row>
      <xdr:rowOff>0</xdr:rowOff>
    </xdr:from>
    <xdr:ext cx="5610860" cy="2533650"/>
    <xdr:pic>
      <xdr:nvPicPr>
        <xdr:cNvPr id="3" name="Picture 2" descr="A white text on a white background&#10;&#10;Description automatically generated">
          <a:extLst>
            <a:ext uri="{FF2B5EF4-FFF2-40B4-BE49-F238E27FC236}">
              <a16:creationId xmlns:a16="http://schemas.microsoft.com/office/drawing/2014/main" id="{3CF93DE6-2FB1-4535-B68D-FB0522047645}"/>
            </a:ext>
          </a:extLst>
        </xdr:cNvPr>
        <xdr:cNvPicPr>
          <a:picLocks noChangeAspect="1"/>
        </xdr:cNvPicPr>
      </xdr:nvPicPr>
      <xdr:blipFill>
        <a:blip xmlns:r="http://schemas.openxmlformats.org/officeDocument/2006/relationships" r:embed="rId2"/>
        <a:stretch>
          <a:fillRect/>
        </a:stretch>
      </xdr:blipFill>
      <xdr:spPr>
        <a:xfrm>
          <a:off x="0" y="2476500"/>
          <a:ext cx="5610860" cy="253365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3</xdr:row>
      <xdr:rowOff>180975</xdr:rowOff>
    </xdr:from>
    <xdr:ext cx="6343420" cy="5668166"/>
    <xdr:pic>
      <xdr:nvPicPr>
        <xdr:cNvPr id="2" name="Picture 1">
          <a:extLst>
            <a:ext uri="{FF2B5EF4-FFF2-40B4-BE49-F238E27FC236}">
              <a16:creationId xmlns:a16="http://schemas.microsoft.com/office/drawing/2014/main" id="{29DFE20A-204D-4E4D-BA35-71E474ED25A7}"/>
            </a:ext>
          </a:extLst>
        </xdr:cNvPr>
        <xdr:cNvPicPr>
          <a:picLocks noChangeAspect="1"/>
        </xdr:cNvPicPr>
      </xdr:nvPicPr>
      <xdr:blipFill>
        <a:blip xmlns:r="http://schemas.openxmlformats.org/officeDocument/2006/relationships" r:embed="rId1"/>
        <a:stretch>
          <a:fillRect/>
        </a:stretch>
      </xdr:blipFill>
      <xdr:spPr>
        <a:xfrm>
          <a:off x="0" y="1133475"/>
          <a:ext cx="6343420" cy="5668166"/>
        </a:xfrm>
        <a:prstGeom prst="rect">
          <a:avLst/>
        </a:prstGeom>
      </xdr:spPr>
    </xdr:pic>
    <xdr:clientData/>
  </xdr:oneCellAnchor>
  <xdr:oneCellAnchor>
    <xdr:from>
      <xdr:col>11</xdr:col>
      <xdr:colOff>268940</xdr:colOff>
      <xdr:row>3</xdr:row>
      <xdr:rowOff>44823</xdr:rowOff>
    </xdr:from>
    <xdr:ext cx="5563376" cy="6077798"/>
    <xdr:pic>
      <xdr:nvPicPr>
        <xdr:cNvPr id="3" name="Picture 2">
          <a:extLst>
            <a:ext uri="{FF2B5EF4-FFF2-40B4-BE49-F238E27FC236}">
              <a16:creationId xmlns:a16="http://schemas.microsoft.com/office/drawing/2014/main" id="{9DBFE9F3-5785-4B17-A0B3-9F016A5077E1}"/>
            </a:ext>
          </a:extLst>
        </xdr:cNvPr>
        <xdr:cNvPicPr>
          <a:picLocks noChangeAspect="1"/>
        </xdr:cNvPicPr>
      </xdr:nvPicPr>
      <xdr:blipFill>
        <a:blip xmlns:r="http://schemas.openxmlformats.org/officeDocument/2006/relationships" r:embed="rId2"/>
        <a:stretch>
          <a:fillRect/>
        </a:stretch>
      </xdr:blipFill>
      <xdr:spPr>
        <a:xfrm>
          <a:off x="7026087" y="997323"/>
          <a:ext cx="5563376" cy="6077798"/>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19050</xdr:colOff>
      <xdr:row>4</xdr:row>
      <xdr:rowOff>114300</xdr:rowOff>
    </xdr:from>
    <xdr:ext cx="6401693" cy="2000529"/>
    <xdr:pic>
      <xdr:nvPicPr>
        <xdr:cNvPr id="2" name="Picture 1">
          <a:extLst>
            <a:ext uri="{FF2B5EF4-FFF2-40B4-BE49-F238E27FC236}">
              <a16:creationId xmlns:a16="http://schemas.microsoft.com/office/drawing/2014/main" id="{D7678FF9-438C-4BFC-BAAE-26E5BD774B64}"/>
            </a:ext>
          </a:extLst>
        </xdr:cNvPr>
        <xdr:cNvPicPr>
          <a:picLocks noChangeAspect="1"/>
        </xdr:cNvPicPr>
      </xdr:nvPicPr>
      <xdr:blipFill>
        <a:blip xmlns:r="http://schemas.openxmlformats.org/officeDocument/2006/relationships" r:embed="rId1"/>
        <a:stretch>
          <a:fillRect/>
        </a:stretch>
      </xdr:blipFill>
      <xdr:spPr>
        <a:xfrm>
          <a:off x="628650" y="1066800"/>
          <a:ext cx="6401693" cy="2000529"/>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162560</xdr:rowOff>
    </xdr:from>
    <xdr:ext cx="6830044" cy="1181100"/>
    <xdr:pic>
      <xdr:nvPicPr>
        <xdr:cNvPr id="2" name="Picture 1" descr="LBNL_Banner.psd">
          <a:extLst>
            <a:ext uri="{FF2B5EF4-FFF2-40B4-BE49-F238E27FC236}">
              <a16:creationId xmlns:a16="http://schemas.microsoft.com/office/drawing/2014/main" id="{93F4407D-9EF0-44B8-A577-5AA4CAF8F7F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9227"/>
        <a:stretch/>
      </xdr:blipFill>
      <xdr:spPr bwMode="auto">
        <a:xfrm>
          <a:off x="0" y="162560"/>
          <a:ext cx="6830044"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xdr:row>
      <xdr:rowOff>0</xdr:rowOff>
    </xdr:from>
    <xdr:ext cx="2247900" cy="3881726"/>
    <xdr:pic>
      <xdr:nvPicPr>
        <xdr:cNvPr id="3" name="Picture 2" descr="https://www.enelgreenpower.com/content/dam/enel-egp/immagini/flagship-plants/roadrunner/Article-Media-roadrunner1.jpg">
          <a:extLst>
            <a:ext uri="{FF2B5EF4-FFF2-40B4-BE49-F238E27FC236}">
              <a16:creationId xmlns:a16="http://schemas.microsoft.com/office/drawing/2014/main" id="{79F2D1A1-383A-48DE-8EB7-B2A136D890F5}"/>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0" y="1905000"/>
          <a:ext cx="2247900" cy="38817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74072</xdr:rowOff>
    </xdr:from>
    <xdr:to>
      <xdr:col>8</xdr:col>
      <xdr:colOff>521426</xdr:colOff>
      <xdr:row>20</xdr:row>
      <xdr:rowOff>92578</xdr:rowOff>
    </xdr:to>
    <xdr:graphicFrame macro="">
      <xdr:nvGraphicFramePr>
        <xdr:cNvPr id="2" name="Chart 8">
          <a:extLst>
            <a:ext uri="{FF2B5EF4-FFF2-40B4-BE49-F238E27FC236}">
              <a16:creationId xmlns:a16="http://schemas.microsoft.com/office/drawing/2014/main" id="{FBD16962-D90A-479D-A37C-EC8B779090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16288</xdr:colOff>
      <xdr:row>1</xdr:row>
      <xdr:rowOff>106402</xdr:rowOff>
    </xdr:from>
    <xdr:to>
      <xdr:col>20</xdr:col>
      <xdr:colOff>360573</xdr:colOff>
      <xdr:row>20</xdr:row>
      <xdr:rowOff>124908</xdr:rowOff>
    </xdr:to>
    <xdr:graphicFrame macro="">
      <xdr:nvGraphicFramePr>
        <xdr:cNvPr id="3" name="Chart 8">
          <a:extLst>
            <a:ext uri="{FF2B5EF4-FFF2-40B4-BE49-F238E27FC236}">
              <a16:creationId xmlns:a16="http://schemas.microsoft.com/office/drawing/2014/main" id="{6717737F-B55F-4C01-9706-79BD51722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552141</xdr:colOff>
      <xdr:row>1</xdr:row>
      <xdr:rowOff>94631</xdr:rowOff>
    </xdr:from>
    <xdr:to>
      <xdr:col>31</xdr:col>
      <xdr:colOff>80129</xdr:colOff>
      <xdr:row>20</xdr:row>
      <xdr:rowOff>111157</xdr:rowOff>
    </xdr:to>
    <xdr:grpSp>
      <xdr:nvGrpSpPr>
        <xdr:cNvPr id="4" name="Group 3">
          <a:extLst>
            <a:ext uri="{FF2B5EF4-FFF2-40B4-BE49-F238E27FC236}">
              <a16:creationId xmlns:a16="http://schemas.microsoft.com/office/drawing/2014/main" id="{B8F1F538-BAC1-4ABA-BD54-DB84EDF00BB8}"/>
            </a:ext>
          </a:extLst>
        </xdr:cNvPr>
        <xdr:cNvGrpSpPr/>
      </xdr:nvGrpSpPr>
      <xdr:grpSpPr>
        <a:xfrm>
          <a:off x="12732235" y="285131"/>
          <a:ext cx="5945457" cy="3183589"/>
          <a:chOff x="15473362" y="338138"/>
          <a:chExt cx="6091238" cy="2941385"/>
        </a:xfrm>
      </xdr:grpSpPr>
      <xdr:graphicFrame macro="">
        <xdr:nvGraphicFramePr>
          <xdr:cNvPr id="5" name="Chart 8">
            <a:extLst>
              <a:ext uri="{FF2B5EF4-FFF2-40B4-BE49-F238E27FC236}">
                <a16:creationId xmlns:a16="http://schemas.microsoft.com/office/drawing/2014/main" id="{F9C8B9E3-2677-76BA-0607-AE5815F1F8D5}"/>
              </a:ext>
            </a:extLst>
          </xdr:cNvPr>
          <xdr:cNvGraphicFramePr>
            <a:graphicFrameLocks/>
          </xdr:cNvGraphicFramePr>
        </xdr:nvGraphicFramePr>
        <xdr:xfrm>
          <a:off x="15492412" y="338138"/>
          <a:ext cx="6072188" cy="2941385"/>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Chart 5">
            <a:extLst>
              <a:ext uri="{FF2B5EF4-FFF2-40B4-BE49-F238E27FC236}">
                <a16:creationId xmlns:a16="http://schemas.microsoft.com/office/drawing/2014/main" id="{364696C5-0A29-96A6-645D-E5986E2481E2}"/>
              </a:ext>
            </a:extLst>
          </xdr:cNvPr>
          <xdr:cNvGraphicFramePr>
            <a:graphicFrameLocks/>
          </xdr:cNvGraphicFramePr>
        </xdr:nvGraphicFramePr>
        <xdr:xfrm>
          <a:off x="15473362" y="533399"/>
          <a:ext cx="6072188" cy="2552783"/>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15.xml><?xml version="1.0" encoding="utf-8"?>
<c:userShapes xmlns:c="http://schemas.openxmlformats.org/drawingml/2006/chart">
  <cdr:relSizeAnchor xmlns:cdr="http://schemas.openxmlformats.org/drawingml/2006/chartDrawing">
    <cdr:from>
      <cdr:x>0.38121</cdr:x>
      <cdr:y>0.95225</cdr:y>
    </cdr:from>
    <cdr:to>
      <cdr:x>0.68897</cdr:x>
      <cdr:y>1</cdr:y>
    </cdr:to>
    <cdr:sp macro="" textlink="">
      <cdr:nvSpPr>
        <cdr:cNvPr id="5" name="Text Box 1036"/>
        <cdr:cNvSpPr txBox="1">
          <a:spLocks xmlns:a="http://schemas.openxmlformats.org/drawingml/2006/main" noChangeArrowheads="1"/>
        </cdr:cNvSpPr>
      </cdr:nvSpPr>
      <cdr:spPr bwMode="auto">
        <a:xfrm xmlns:a="http://schemas.openxmlformats.org/drawingml/2006/main">
          <a:off x="2250281" y="3033459"/>
          <a:ext cx="1816744" cy="15211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wrap="square" lIns="18288" tIns="0" rIns="18288"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US" sz="1000" b="1" i="0" u="none" strike="noStrike" baseline="0">
              <a:solidFill>
                <a:srgbClr val="000000"/>
              </a:solidFill>
              <a:latin typeface="Arial" panose="020B0604020202020204" pitchFamily="34" charset="0"/>
              <a:cs typeface="Arial" panose="020B0604020202020204" pitchFamily="34" charset="0"/>
            </a:rPr>
            <a:t>Commercial Operation Year</a:t>
          </a:r>
        </a:p>
      </cdr:txBody>
    </cdr:sp>
  </cdr:relSizeAnchor>
  <cdr:relSizeAnchor xmlns:cdr="http://schemas.openxmlformats.org/drawingml/2006/chartDrawing">
    <cdr:from>
      <cdr:x>0</cdr:x>
      <cdr:y>3.32824E-7</cdr:y>
    </cdr:from>
    <cdr:to>
      <cdr:x>0.67559</cdr:x>
      <cdr:y>0.07045</cdr:y>
    </cdr:to>
    <cdr:sp macro="" textlink="">
      <cdr:nvSpPr>
        <cdr:cNvPr id="2" name="TextBox 1"/>
        <cdr:cNvSpPr txBox="1"/>
      </cdr:nvSpPr>
      <cdr:spPr>
        <a:xfrm xmlns:a="http://schemas.openxmlformats.org/drawingml/2006/main">
          <a:off x="0" y="1"/>
          <a:ext cx="4090988" cy="211678"/>
        </a:xfrm>
        <a:prstGeom xmlns:a="http://schemas.openxmlformats.org/drawingml/2006/main" prst="rect">
          <a:avLst/>
        </a:prstGeom>
      </cdr:spPr>
      <cdr:txBody>
        <a:bodyPr xmlns:a="http://schemas.openxmlformats.org/drawingml/2006/main" vertOverflow="clip" vert="horz" wrap="square" lIns="18288" tIns="18288" rIns="18288" bIns="18288" rtlCol="0"/>
        <a:lstStyle xmlns:a="http://schemas.openxmlformats.org/drawingml/2006/main"/>
        <a:p xmlns:a="http://schemas.openxmlformats.org/drawingml/2006/main">
          <a:r>
            <a:rPr lang="en-US" sz="1000" b="1">
              <a:latin typeface="Arial" panose="020B0604020202020204" pitchFamily="34" charset="0"/>
              <a:cs typeface="Arial" panose="020B0604020202020204" pitchFamily="34" charset="0"/>
            </a:rPr>
            <a:t>Generation-Weighted Average LCOE in the Lower 48 (2022 $/MWh)</a:t>
          </a:r>
        </a:p>
      </cdr:txBody>
    </cdr:sp>
  </cdr:relSizeAnchor>
</c:userShapes>
</file>

<file path=xl/drawings/drawing16.xml><?xml version="1.0" encoding="utf-8"?>
<c:userShapes xmlns:c="http://schemas.openxmlformats.org/drawingml/2006/chart">
  <cdr:relSizeAnchor xmlns:cdr="http://schemas.openxmlformats.org/drawingml/2006/chartDrawing">
    <cdr:from>
      <cdr:x>0.38977</cdr:x>
      <cdr:y>0.9421</cdr:y>
    </cdr:from>
    <cdr:to>
      <cdr:x>0.68897</cdr:x>
      <cdr:y>1</cdr:y>
    </cdr:to>
    <cdr:sp macro="" textlink="">
      <cdr:nvSpPr>
        <cdr:cNvPr id="5" name="Text Box 1036"/>
        <cdr:cNvSpPr txBox="1">
          <a:spLocks xmlns:a="http://schemas.openxmlformats.org/drawingml/2006/main" noChangeArrowheads="1"/>
        </cdr:cNvSpPr>
      </cdr:nvSpPr>
      <cdr:spPr bwMode="auto">
        <a:xfrm xmlns:a="http://schemas.openxmlformats.org/drawingml/2006/main">
          <a:off x="2329243" y="3001130"/>
          <a:ext cx="1788001" cy="18443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wrap="square" lIns="18288" tIns="0" rIns="18288"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US" sz="1000" b="1" i="0" u="none" strike="noStrike" baseline="0">
              <a:solidFill>
                <a:srgbClr val="000000"/>
              </a:solidFill>
              <a:latin typeface="Arial" panose="020B0604020202020204" pitchFamily="34" charset="0"/>
              <a:cs typeface="Arial" panose="020B0604020202020204" pitchFamily="34" charset="0"/>
            </a:rPr>
            <a:t>Commercial Operation Year</a:t>
          </a:r>
        </a:p>
      </cdr:txBody>
    </cdr:sp>
  </cdr:relSizeAnchor>
  <cdr:relSizeAnchor xmlns:cdr="http://schemas.openxmlformats.org/drawingml/2006/chartDrawing">
    <cdr:from>
      <cdr:x>0</cdr:x>
      <cdr:y>3.32824E-7</cdr:y>
    </cdr:from>
    <cdr:to>
      <cdr:x>0.51395</cdr:x>
      <cdr:y>0.06286</cdr:y>
    </cdr:to>
    <cdr:sp macro="" textlink="">
      <cdr:nvSpPr>
        <cdr:cNvPr id="2" name="TextBox 1"/>
        <cdr:cNvSpPr txBox="1"/>
      </cdr:nvSpPr>
      <cdr:spPr>
        <a:xfrm xmlns:a="http://schemas.openxmlformats.org/drawingml/2006/main">
          <a:off x="0" y="1"/>
          <a:ext cx="3146012" cy="188872"/>
        </a:xfrm>
        <a:prstGeom xmlns:a="http://schemas.openxmlformats.org/drawingml/2006/main" prst="rect">
          <a:avLst/>
        </a:prstGeom>
      </cdr:spPr>
      <cdr:txBody>
        <a:bodyPr xmlns:a="http://schemas.openxmlformats.org/drawingml/2006/main" vertOverflow="clip" vert="horz" wrap="square" lIns="18288" tIns="18288" rIns="18288" bIns="18288" rtlCol="0"/>
        <a:lstStyle xmlns:a="http://schemas.openxmlformats.org/drawingml/2006/main"/>
        <a:p xmlns:a="http://schemas.openxmlformats.org/drawingml/2006/main">
          <a:r>
            <a:rPr lang="en-US" sz="1000" b="1">
              <a:latin typeface="Arial" panose="020B0604020202020204" pitchFamily="34" charset="0"/>
              <a:cs typeface="Arial" panose="020B0604020202020204" pitchFamily="34" charset="0"/>
            </a:rPr>
            <a:t>Generation-Weighted Average LCOE (2022 $/MWh)</a:t>
          </a:r>
        </a:p>
      </cdr:txBody>
    </cdr:sp>
  </cdr:relSizeAnchor>
  <cdr:relSizeAnchor xmlns:cdr="http://schemas.openxmlformats.org/drawingml/2006/chartDrawing">
    <cdr:from>
      <cdr:x>0.07436</cdr:x>
      <cdr:y>0.72759</cdr:y>
    </cdr:from>
    <cdr:to>
      <cdr:x>0.18718</cdr:x>
      <cdr:y>0.78882</cdr:y>
    </cdr:to>
    <cdr:sp macro="" textlink="">
      <cdr:nvSpPr>
        <cdr:cNvPr id="3" name="TextBox 2"/>
        <cdr:cNvSpPr txBox="1"/>
      </cdr:nvSpPr>
      <cdr:spPr>
        <a:xfrm xmlns:a="http://schemas.openxmlformats.org/drawingml/2006/main">
          <a:off x="455181" y="2186113"/>
          <a:ext cx="690594" cy="183971"/>
        </a:xfrm>
        <a:prstGeom xmlns:a="http://schemas.openxmlformats.org/drawingml/2006/main" prst="rect">
          <a:avLst/>
        </a:prstGeom>
        <a:solidFill xmlns:a="http://schemas.openxmlformats.org/drawingml/2006/main">
          <a:schemeClr val="accent6">
            <a:lumMod val="20000"/>
            <a:lumOff val="80000"/>
          </a:schemeClr>
        </a:solidFill>
      </cdr:spPr>
      <cdr:txBody>
        <a:bodyPr xmlns:a="http://schemas.openxmlformats.org/drawingml/2006/main" vertOverflow="clip" wrap="square" lIns="45720" rIns="45720" rtlCol="0" anchor="ctr" anchorCtr="1"/>
        <a:lstStyle xmlns:a="http://schemas.openxmlformats.org/drawingml/2006/main"/>
        <a:p xmlns:a="http://schemas.openxmlformats.org/drawingml/2006/main">
          <a:r>
            <a:rPr lang="en-US" sz="1200">
              <a:solidFill>
                <a:schemeClr val="accent6">
                  <a:lumMod val="75000"/>
                </a:schemeClr>
              </a:solidFill>
            </a:rPr>
            <a:t>Lower 48</a:t>
          </a:r>
        </a:p>
      </cdr:txBody>
    </cdr:sp>
  </cdr:relSizeAnchor>
  <cdr:relSizeAnchor xmlns:cdr="http://schemas.openxmlformats.org/drawingml/2006/chartDrawing">
    <cdr:from>
      <cdr:x>0.18204</cdr:x>
      <cdr:y>0.14183</cdr:y>
    </cdr:from>
    <cdr:to>
      <cdr:x>0.24878</cdr:x>
      <cdr:y>0.22841</cdr:y>
    </cdr:to>
    <cdr:sp macro="" textlink="">
      <cdr:nvSpPr>
        <cdr:cNvPr id="4" name="TextBox 3"/>
        <cdr:cNvSpPr txBox="1"/>
      </cdr:nvSpPr>
      <cdr:spPr>
        <a:xfrm xmlns:a="http://schemas.openxmlformats.org/drawingml/2006/main">
          <a:off x="1114319" y="426142"/>
          <a:ext cx="408529" cy="260138"/>
        </a:xfrm>
        <a:prstGeom xmlns:a="http://schemas.openxmlformats.org/drawingml/2006/main" prst="rect">
          <a:avLst/>
        </a:prstGeom>
      </cdr:spPr>
      <cdr:txBody>
        <a:bodyPr xmlns:a="http://schemas.openxmlformats.org/drawingml/2006/main" vertOverflow="clip" wrap="square" lIns="45720" rIns="45720" rtlCol="0" anchor="ctr" anchorCtr="1"/>
        <a:lstStyle xmlns:a="http://schemas.openxmlformats.org/drawingml/2006/main"/>
        <a:p xmlns:a="http://schemas.openxmlformats.org/drawingml/2006/main">
          <a:r>
            <a:rPr lang="en-US" sz="1000">
              <a:solidFill>
                <a:schemeClr val="accent6">
                  <a:lumMod val="75000"/>
                </a:schemeClr>
              </a:solidFill>
              <a:latin typeface="Arial" panose="020B0604020202020204" pitchFamily="34" charset="0"/>
              <a:cs typeface="Arial" panose="020B0604020202020204" pitchFamily="34" charset="0"/>
            </a:rPr>
            <a:t>PJM</a:t>
          </a:r>
        </a:p>
      </cdr:txBody>
    </cdr:sp>
  </cdr:relSizeAnchor>
  <cdr:relSizeAnchor xmlns:cdr="http://schemas.openxmlformats.org/drawingml/2006/chartDrawing">
    <cdr:from>
      <cdr:x>0.03708</cdr:x>
      <cdr:y>0.22759</cdr:y>
    </cdr:from>
    <cdr:to>
      <cdr:x>0.16059</cdr:x>
      <cdr:y>0.34127</cdr:y>
    </cdr:to>
    <cdr:sp macro="" textlink="">
      <cdr:nvSpPr>
        <cdr:cNvPr id="6" name="TextBox 1"/>
        <cdr:cNvSpPr txBox="1"/>
      </cdr:nvSpPr>
      <cdr:spPr>
        <a:xfrm xmlns:a="http://schemas.openxmlformats.org/drawingml/2006/main">
          <a:off x="226972" y="683823"/>
          <a:ext cx="756030" cy="341563"/>
        </a:xfrm>
        <a:prstGeom xmlns:a="http://schemas.openxmlformats.org/drawingml/2006/main" prst="rect">
          <a:avLst/>
        </a:prstGeom>
      </cdr:spPr>
      <cdr:txBody>
        <a:bodyPr xmlns:a="http://schemas.openxmlformats.org/drawingml/2006/main" wrap="square" lIns="45720" rIns="4572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a:solidFill>
                <a:schemeClr val="accent4"/>
              </a:solidFill>
              <a:latin typeface="Arial" panose="020B0604020202020204" pitchFamily="34" charset="0"/>
              <a:cs typeface="Arial" panose="020B0604020202020204" pitchFamily="34" charset="0"/>
            </a:rPr>
            <a:t>Southeast (non-ISO)</a:t>
          </a:r>
        </a:p>
      </cdr:txBody>
    </cdr:sp>
  </cdr:relSizeAnchor>
  <cdr:relSizeAnchor xmlns:cdr="http://schemas.openxmlformats.org/drawingml/2006/chartDrawing">
    <cdr:from>
      <cdr:x>0.066</cdr:x>
      <cdr:y>0.47565</cdr:y>
    </cdr:from>
    <cdr:to>
      <cdr:x>0.18951</cdr:x>
      <cdr:y>0.58933</cdr:y>
    </cdr:to>
    <cdr:sp macro="" textlink="">
      <cdr:nvSpPr>
        <cdr:cNvPr id="7" name="TextBox 1"/>
        <cdr:cNvSpPr txBox="1"/>
      </cdr:nvSpPr>
      <cdr:spPr>
        <a:xfrm xmlns:a="http://schemas.openxmlformats.org/drawingml/2006/main">
          <a:off x="404023" y="1429130"/>
          <a:ext cx="756029" cy="341563"/>
        </a:xfrm>
        <a:prstGeom xmlns:a="http://schemas.openxmlformats.org/drawingml/2006/main" prst="rect">
          <a:avLst/>
        </a:prstGeom>
      </cdr:spPr>
      <cdr:txBody>
        <a:bodyPr xmlns:a="http://schemas.openxmlformats.org/drawingml/2006/main" wrap="square" lIns="45720" rIns="4572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a:solidFill>
                <a:schemeClr val="accent2"/>
              </a:solidFill>
              <a:latin typeface="Arial" panose="020B0604020202020204" pitchFamily="34" charset="0"/>
              <a:cs typeface="Arial" panose="020B0604020202020204" pitchFamily="34" charset="0"/>
            </a:rPr>
            <a:t>West</a:t>
          </a:r>
        </a:p>
        <a:p xmlns:a="http://schemas.openxmlformats.org/drawingml/2006/main">
          <a:pPr algn="ctr"/>
          <a:r>
            <a:rPr lang="en-US" sz="1000">
              <a:solidFill>
                <a:schemeClr val="accent2"/>
              </a:solidFill>
              <a:latin typeface="Arial" panose="020B0604020202020204" pitchFamily="34" charset="0"/>
              <a:cs typeface="Arial" panose="020B0604020202020204" pitchFamily="34" charset="0"/>
            </a:rPr>
            <a:t>(non-ISO)</a:t>
          </a:r>
        </a:p>
      </cdr:txBody>
    </cdr:sp>
  </cdr:relSizeAnchor>
  <cdr:relSizeAnchor xmlns:cdr="http://schemas.openxmlformats.org/drawingml/2006/chartDrawing">
    <cdr:from>
      <cdr:x>0.72289</cdr:x>
      <cdr:y>0.55476</cdr:y>
    </cdr:from>
    <cdr:to>
      <cdr:x>0.80359</cdr:x>
      <cdr:y>0.62852</cdr:y>
    </cdr:to>
    <cdr:sp macro="" textlink="">
      <cdr:nvSpPr>
        <cdr:cNvPr id="8" name="TextBox 1"/>
        <cdr:cNvSpPr txBox="1"/>
      </cdr:nvSpPr>
      <cdr:spPr>
        <a:xfrm xmlns:a="http://schemas.openxmlformats.org/drawingml/2006/main">
          <a:off x="4424961" y="1666814"/>
          <a:ext cx="493981" cy="221619"/>
        </a:xfrm>
        <a:prstGeom xmlns:a="http://schemas.openxmlformats.org/drawingml/2006/main" prst="rect">
          <a:avLst/>
        </a:prstGeom>
      </cdr:spPr>
      <cdr:txBody>
        <a:bodyPr xmlns:a="http://schemas.openxmlformats.org/drawingml/2006/main" wrap="square" lIns="45720" rIns="4572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a:solidFill>
                <a:schemeClr val="bg1">
                  <a:lumMod val="50000"/>
                </a:schemeClr>
              </a:solidFill>
              <a:latin typeface="Arial" panose="020B0604020202020204" pitchFamily="34" charset="0"/>
              <a:cs typeface="Arial" panose="020B0604020202020204" pitchFamily="34" charset="0"/>
            </a:rPr>
            <a:t>Hawaii</a:t>
          </a:r>
        </a:p>
      </cdr:txBody>
    </cdr:sp>
  </cdr:relSizeAnchor>
  <cdr:relSizeAnchor xmlns:cdr="http://schemas.openxmlformats.org/drawingml/2006/chartDrawing">
    <cdr:from>
      <cdr:x>0.5713</cdr:x>
      <cdr:y>0.35164</cdr:y>
    </cdr:from>
    <cdr:to>
      <cdr:x>0.66583</cdr:x>
      <cdr:y>0.43545</cdr:y>
    </cdr:to>
    <cdr:sp macro="" textlink="">
      <cdr:nvSpPr>
        <cdr:cNvPr id="9" name="TextBox 1"/>
        <cdr:cNvSpPr txBox="1"/>
      </cdr:nvSpPr>
      <cdr:spPr>
        <a:xfrm xmlns:a="http://schemas.openxmlformats.org/drawingml/2006/main">
          <a:off x="3497046" y="1056537"/>
          <a:ext cx="578637" cy="251815"/>
        </a:xfrm>
        <a:prstGeom xmlns:a="http://schemas.openxmlformats.org/drawingml/2006/main" prst="rect">
          <a:avLst/>
        </a:prstGeom>
      </cdr:spPr>
      <cdr:txBody>
        <a:bodyPr xmlns:a="http://schemas.openxmlformats.org/drawingml/2006/main" wrap="square" lIns="45720" rIns="4572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a:solidFill>
                <a:schemeClr val="accent1"/>
              </a:solidFill>
              <a:latin typeface="Arial" panose="020B0604020202020204" pitchFamily="34" charset="0"/>
              <a:cs typeface="Arial" panose="020B0604020202020204" pitchFamily="34" charset="0"/>
            </a:rPr>
            <a:t>ISO-NE</a:t>
          </a:r>
        </a:p>
      </cdr:txBody>
    </cdr:sp>
  </cdr:relSizeAnchor>
  <cdr:relSizeAnchor xmlns:cdr="http://schemas.openxmlformats.org/drawingml/2006/chartDrawing">
    <cdr:from>
      <cdr:x>0.49211</cdr:x>
      <cdr:y>0.70417</cdr:y>
    </cdr:from>
    <cdr:to>
      <cdr:x>0.56629</cdr:x>
      <cdr:y>0.77802</cdr:y>
    </cdr:to>
    <cdr:sp macro="" textlink="">
      <cdr:nvSpPr>
        <cdr:cNvPr id="10" name="TextBox 1"/>
        <cdr:cNvSpPr txBox="1"/>
      </cdr:nvSpPr>
      <cdr:spPr>
        <a:xfrm xmlns:a="http://schemas.openxmlformats.org/drawingml/2006/main">
          <a:off x="3012276" y="2115755"/>
          <a:ext cx="454070" cy="221890"/>
        </a:xfrm>
        <a:prstGeom xmlns:a="http://schemas.openxmlformats.org/drawingml/2006/main" prst="rect">
          <a:avLst/>
        </a:prstGeom>
      </cdr:spPr>
      <cdr:txBody>
        <a:bodyPr xmlns:a="http://schemas.openxmlformats.org/drawingml/2006/main" wrap="square" lIns="45720" rIns="4572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a:solidFill>
                <a:schemeClr val="bg2">
                  <a:lumMod val="50000"/>
                </a:schemeClr>
              </a:solidFill>
              <a:latin typeface="Arial" panose="020B0604020202020204" pitchFamily="34" charset="0"/>
              <a:cs typeface="Arial" panose="020B0604020202020204" pitchFamily="34" charset="0"/>
            </a:rPr>
            <a:t>SPP</a:t>
          </a:r>
        </a:p>
      </cdr:txBody>
    </cdr:sp>
  </cdr:relSizeAnchor>
  <cdr:relSizeAnchor xmlns:cdr="http://schemas.openxmlformats.org/drawingml/2006/chartDrawing">
    <cdr:from>
      <cdr:x>0.46069</cdr:x>
      <cdr:y>0.47573</cdr:y>
    </cdr:from>
    <cdr:to>
      <cdr:x>0.55735</cdr:x>
      <cdr:y>0.53204</cdr:y>
    </cdr:to>
    <cdr:sp macro="" textlink="">
      <cdr:nvSpPr>
        <cdr:cNvPr id="11" name="TextBox 1"/>
        <cdr:cNvSpPr txBox="1"/>
      </cdr:nvSpPr>
      <cdr:spPr>
        <a:xfrm xmlns:a="http://schemas.openxmlformats.org/drawingml/2006/main">
          <a:off x="2819948" y="1429379"/>
          <a:ext cx="591675" cy="169189"/>
        </a:xfrm>
        <a:prstGeom xmlns:a="http://schemas.openxmlformats.org/drawingml/2006/main" prst="rect">
          <a:avLst/>
        </a:prstGeom>
      </cdr:spPr>
      <cdr:txBody>
        <a:bodyPr xmlns:a="http://schemas.openxmlformats.org/drawingml/2006/main" wrap="square" lIns="45720" rIns="4572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a:solidFill>
                <a:schemeClr val="accent3">
                  <a:lumMod val="75000"/>
                </a:schemeClr>
              </a:solidFill>
              <a:latin typeface="Arial" panose="020B0604020202020204" pitchFamily="34" charset="0"/>
              <a:cs typeface="Arial" panose="020B0604020202020204" pitchFamily="34" charset="0"/>
            </a:rPr>
            <a:t>MISO</a:t>
          </a:r>
        </a:p>
      </cdr:txBody>
    </cdr:sp>
  </cdr:relSizeAnchor>
  <cdr:relSizeAnchor xmlns:cdr="http://schemas.openxmlformats.org/drawingml/2006/chartDrawing">
    <cdr:from>
      <cdr:x>0.2083</cdr:x>
      <cdr:y>0.60286</cdr:y>
    </cdr:from>
    <cdr:to>
      <cdr:x>0.30495</cdr:x>
      <cdr:y>0.67311</cdr:y>
    </cdr:to>
    <cdr:sp macro="" textlink="">
      <cdr:nvSpPr>
        <cdr:cNvPr id="13" name="TextBox 1"/>
        <cdr:cNvSpPr txBox="1"/>
      </cdr:nvSpPr>
      <cdr:spPr>
        <a:xfrm xmlns:a="http://schemas.openxmlformats.org/drawingml/2006/main">
          <a:off x="1275036" y="1811363"/>
          <a:ext cx="591613" cy="211072"/>
        </a:xfrm>
        <a:prstGeom xmlns:a="http://schemas.openxmlformats.org/drawingml/2006/main" prst="rect">
          <a:avLst/>
        </a:prstGeom>
      </cdr:spPr>
      <cdr:txBody>
        <a:bodyPr xmlns:a="http://schemas.openxmlformats.org/drawingml/2006/main" wrap="square" lIns="45720" rIns="4572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a:solidFill>
                <a:schemeClr val="accent4">
                  <a:lumMod val="75000"/>
                </a:schemeClr>
              </a:solidFill>
              <a:latin typeface="Arial" panose="020B0604020202020204" pitchFamily="34" charset="0"/>
              <a:cs typeface="Arial" panose="020B0604020202020204" pitchFamily="34" charset="0"/>
            </a:rPr>
            <a:t>CAISO</a:t>
          </a:r>
        </a:p>
      </cdr:txBody>
    </cdr:sp>
  </cdr:relSizeAnchor>
  <cdr:relSizeAnchor xmlns:cdr="http://schemas.openxmlformats.org/drawingml/2006/chartDrawing">
    <cdr:from>
      <cdr:x>0.36841</cdr:x>
      <cdr:y>0.33804</cdr:y>
    </cdr:from>
    <cdr:to>
      <cdr:x>0.46506</cdr:x>
      <cdr:y>0.40829</cdr:y>
    </cdr:to>
    <cdr:sp macro="" textlink="">
      <cdr:nvSpPr>
        <cdr:cNvPr id="14" name="TextBox 1"/>
        <cdr:cNvSpPr txBox="1"/>
      </cdr:nvSpPr>
      <cdr:spPr>
        <a:xfrm xmlns:a="http://schemas.openxmlformats.org/drawingml/2006/main">
          <a:off x="2255082" y="1015672"/>
          <a:ext cx="591614" cy="211073"/>
        </a:xfrm>
        <a:prstGeom xmlns:a="http://schemas.openxmlformats.org/drawingml/2006/main" prst="rect">
          <a:avLst/>
        </a:prstGeom>
      </cdr:spPr>
      <cdr:txBody>
        <a:bodyPr xmlns:a="http://schemas.openxmlformats.org/drawingml/2006/main" wrap="square" lIns="45720" rIns="4572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a:solidFill>
                <a:schemeClr val="tx1">
                  <a:lumMod val="75000"/>
                  <a:lumOff val="25000"/>
                </a:schemeClr>
              </a:solidFill>
              <a:latin typeface="Arial" panose="020B0604020202020204" pitchFamily="34" charset="0"/>
              <a:cs typeface="Arial" panose="020B0604020202020204" pitchFamily="34" charset="0"/>
            </a:rPr>
            <a:t>ERCOT</a:t>
          </a:r>
        </a:p>
      </cdr:txBody>
    </cdr:sp>
  </cdr:relSizeAnchor>
  <cdr:relSizeAnchor xmlns:cdr="http://schemas.openxmlformats.org/drawingml/2006/chartDrawing">
    <cdr:from>
      <cdr:x>0.81056</cdr:x>
      <cdr:y>0.58752</cdr:y>
    </cdr:from>
    <cdr:to>
      <cdr:x>0.90509</cdr:x>
      <cdr:y>0.65549</cdr:y>
    </cdr:to>
    <cdr:sp macro="" textlink="">
      <cdr:nvSpPr>
        <cdr:cNvPr id="15" name="TextBox 1"/>
        <cdr:cNvSpPr txBox="1"/>
      </cdr:nvSpPr>
      <cdr:spPr>
        <a:xfrm xmlns:a="http://schemas.openxmlformats.org/drawingml/2006/main">
          <a:off x="4961575" y="1765274"/>
          <a:ext cx="578637" cy="204222"/>
        </a:xfrm>
        <a:prstGeom xmlns:a="http://schemas.openxmlformats.org/drawingml/2006/main" prst="rect">
          <a:avLst/>
        </a:prstGeom>
      </cdr:spPr>
      <cdr:txBody>
        <a:bodyPr xmlns:a="http://schemas.openxmlformats.org/drawingml/2006/main" wrap="square" lIns="45720" rIns="4572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a:solidFill>
                <a:schemeClr val="accent4">
                  <a:lumMod val="75000"/>
                </a:schemeClr>
              </a:solidFill>
              <a:latin typeface="Arial" panose="020B0604020202020204" pitchFamily="34" charset="0"/>
              <a:cs typeface="Arial" panose="020B0604020202020204" pitchFamily="34" charset="0"/>
            </a:rPr>
            <a:t>NYISO</a:t>
          </a:r>
        </a:p>
      </cdr:txBody>
    </cdr:sp>
  </cdr:relSizeAnchor>
</c:userShapes>
</file>

<file path=xl/drawings/drawing17.xml><?xml version="1.0" encoding="utf-8"?>
<c:userShapes xmlns:c="http://schemas.openxmlformats.org/drawingml/2006/chart">
  <cdr:relSizeAnchor xmlns:cdr="http://schemas.openxmlformats.org/drawingml/2006/chartDrawing">
    <cdr:from>
      <cdr:x>0.39387</cdr:x>
      <cdr:y>0.94938</cdr:y>
    </cdr:from>
    <cdr:to>
      <cdr:x>0.68897</cdr:x>
      <cdr:y>1</cdr:y>
    </cdr:to>
    <cdr:sp macro="" textlink="">
      <cdr:nvSpPr>
        <cdr:cNvPr id="5" name="Text Box 1036"/>
        <cdr:cNvSpPr txBox="1">
          <a:spLocks xmlns:a="http://schemas.openxmlformats.org/drawingml/2006/main" noChangeArrowheads="1"/>
        </cdr:cNvSpPr>
      </cdr:nvSpPr>
      <cdr:spPr bwMode="auto">
        <a:xfrm xmlns:a="http://schemas.openxmlformats.org/drawingml/2006/main">
          <a:off x="2334390" y="3022425"/>
          <a:ext cx="1749041" cy="16116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wrap="square" lIns="18288" tIns="0" rIns="18288"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US" sz="1000" b="1" i="0" u="none" strike="noStrike" baseline="0">
              <a:solidFill>
                <a:srgbClr val="000000"/>
              </a:solidFill>
              <a:latin typeface="Arial" panose="020B0604020202020204" pitchFamily="34" charset="0"/>
              <a:cs typeface="Arial" panose="020B0604020202020204" pitchFamily="34" charset="0"/>
            </a:rPr>
            <a:t>Commercial Operation Year</a:t>
          </a:r>
        </a:p>
      </cdr:txBody>
    </cdr:sp>
  </cdr:relSizeAnchor>
  <cdr:relSizeAnchor xmlns:cdr="http://schemas.openxmlformats.org/drawingml/2006/chartDrawing">
    <cdr:from>
      <cdr:x>0</cdr:x>
      <cdr:y>0</cdr:y>
    </cdr:from>
    <cdr:to>
      <cdr:x>0.68833</cdr:x>
      <cdr:y>0.07158</cdr:y>
    </cdr:to>
    <cdr:sp macro="" textlink="">
      <cdr:nvSpPr>
        <cdr:cNvPr id="2" name="TextBox 1"/>
        <cdr:cNvSpPr txBox="1"/>
      </cdr:nvSpPr>
      <cdr:spPr>
        <a:xfrm xmlns:a="http://schemas.openxmlformats.org/drawingml/2006/main">
          <a:off x="0" y="0"/>
          <a:ext cx="4205479" cy="214932"/>
        </a:xfrm>
        <a:prstGeom xmlns:a="http://schemas.openxmlformats.org/drawingml/2006/main" prst="rect">
          <a:avLst/>
        </a:prstGeom>
      </cdr:spPr>
      <cdr:txBody>
        <a:bodyPr xmlns:a="http://schemas.openxmlformats.org/drawingml/2006/main" vertOverflow="clip" vert="horz" wrap="square" lIns="18288" tIns="18288" rIns="18288" bIns="18288" rtlCol="0"/>
        <a:lstStyle xmlns:a="http://schemas.openxmlformats.org/drawingml/2006/main"/>
        <a:p xmlns:a="http://schemas.openxmlformats.org/drawingml/2006/main">
          <a:r>
            <a:rPr lang="en-US" sz="1000" b="1">
              <a:latin typeface="Arial" panose="020B0604020202020204" pitchFamily="34" charset="0"/>
              <a:cs typeface="Arial" panose="020B0604020202020204" pitchFamily="34" charset="0"/>
            </a:rPr>
            <a:t>Generation-Weighted</a:t>
          </a:r>
          <a:r>
            <a:rPr lang="en-US" sz="1000" b="1" baseline="0">
              <a:latin typeface="Arial" panose="020B0604020202020204" pitchFamily="34" charset="0"/>
              <a:cs typeface="Arial" panose="020B0604020202020204" pitchFamily="34" charset="0"/>
            </a:rPr>
            <a:t> </a:t>
          </a:r>
          <a:r>
            <a:rPr lang="en-US" sz="1000" b="1">
              <a:latin typeface="Arial" panose="020B0604020202020204" pitchFamily="34" charset="0"/>
              <a:cs typeface="Arial" panose="020B0604020202020204" pitchFamily="34" charset="0"/>
            </a:rPr>
            <a:t>Average and Project-Level</a:t>
          </a:r>
          <a:r>
            <a:rPr lang="en-US" sz="1000" b="1" baseline="0">
              <a:latin typeface="Arial" panose="020B0604020202020204" pitchFamily="34" charset="0"/>
              <a:cs typeface="Arial" panose="020B0604020202020204" pitchFamily="34" charset="0"/>
            </a:rPr>
            <a:t> </a:t>
          </a:r>
          <a:r>
            <a:rPr lang="en-US" sz="1000" b="1">
              <a:latin typeface="Arial" panose="020B0604020202020204" pitchFamily="34" charset="0"/>
              <a:cs typeface="Arial" panose="020B0604020202020204" pitchFamily="34" charset="0"/>
            </a:rPr>
            <a:t>LCOE (2022 $/MWh)</a:t>
          </a:r>
        </a:p>
      </cdr:txBody>
    </cdr:sp>
  </cdr:relSizeAnchor>
</c:userShapes>
</file>

<file path=xl/drawings/drawing18.xml><?xml version="1.0" encoding="utf-8"?>
<c:userShapes xmlns:c="http://schemas.openxmlformats.org/drawingml/2006/chart">
  <cdr:relSizeAnchor xmlns:cdr="http://schemas.openxmlformats.org/drawingml/2006/chartDrawing">
    <cdr:from>
      <cdr:x>0.4176</cdr:x>
      <cdr:y>0.16275</cdr:y>
    </cdr:from>
    <cdr:to>
      <cdr:x>0.50829</cdr:x>
      <cdr:y>0.24357</cdr:y>
    </cdr:to>
    <cdr:sp macro="" textlink="">
      <cdr:nvSpPr>
        <cdr:cNvPr id="2" name="TextBox 1"/>
        <cdr:cNvSpPr txBox="1"/>
      </cdr:nvSpPr>
      <cdr:spPr>
        <a:xfrm xmlns:a="http://schemas.openxmlformats.org/drawingml/2006/main">
          <a:off x="2551381" y="424125"/>
          <a:ext cx="554084" cy="210610"/>
        </a:xfrm>
        <a:prstGeom xmlns:a="http://schemas.openxmlformats.org/drawingml/2006/main" prst="rect">
          <a:avLst/>
        </a:prstGeom>
      </cdr:spPr>
      <cdr:txBody>
        <a:bodyPr xmlns:a="http://schemas.openxmlformats.org/drawingml/2006/main" vertOverflow="clip" wrap="square" lIns="18288" rIns="18288" rtlCol="0" anchor="ctr" anchorCtr="1"/>
        <a:lstStyle xmlns:a="http://schemas.openxmlformats.org/drawingml/2006/main"/>
        <a:p xmlns:a="http://schemas.openxmlformats.org/drawingml/2006/main">
          <a:r>
            <a:rPr lang="en-US" sz="900">
              <a:solidFill>
                <a:schemeClr val="tx1">
                  <a:lumMod val="75000"/>
                  <a:lumOff val="25000"/>
                </a:schemeClr>
              </a:solidFill>
              <a:latin typeface="Arial" panose="020B0604020202020204" pitchFamily="34" charset="0"/>
              <a:cs typeface="Arial" panose="020B0604020202020204" pitchFamily="34" charset="0"/>
            </a:rPr>
            <a:t>6 MW</a:t>
          </a:r>
        </a:p>
      </cdr:txBody>
    </cdr:sp>
  </cdr:relSizeAnchor>
  <cdr:relSizeAnchor xmlns:cdr="http://schemas.openxmlformats.org/drawingml/2006/chartDrawing">
    <cdr:from>
      <cdr:x>0.4015</cdr:x>
      <cdr:y>0.18875</cdr:y>
    </cdr:from>
    <cdr:to>
      <cdr:x>0.42956</cdr:x>
      <cdr:y>0.20702</cdr:y>
    </cdr:to>
    <cdr:cxnSp macro="">
      <cdr:nvCxnSpPr>
        <cdr:cNvPr id="4" name="Straight Arrow Connector 3">
          <a:extLst xmlns:a="http://schemas.openxmlformats.org/drawingml/2006/main">
            <a:ext uri="{FF2B5EF4-FFF2-40B4-BE49-F238E27FC236}">
              <a16:creationId xmlns:a16="http://schemas.microsoft.com/office/drawing/2014/main" id="{4E982282-9952-A076-8596-2B047D9C95C0}"/>
            </a:ext>
          </a:extLst>
        </cdr:cNvPr>
        <cdr:cNvCxnSpPr/>
      </cdr:nvCxnSpPr>
      <cdr:spPr>
        <a:xfrm xmlns:a="http://schemas.openxmlformats.org/drawingml/2006/main" flipH="1" flipV="1">
          <a:off x="2452996" y="491856"/>
          <a:ext cx="171450" cy="47625"/>
        </a:xfrm>
        <a:prstGeom xmlns:a="http://schemas.openxmlformats.org/drawingml/2006/main" prst="straightConnector1">
          <a:avLst/>
        </a:prstGeom>
        <a:ln xmlns:a="http://schemas.openxmlformats.org/drawingml/2006/main" w="6350">
          <a:solidFill>
            <a:schemeClr val="tx1">
              <a:lumMod val="75000"/>
              <a:lumOff val="25000"/>
            </a:schemeClr>
          </a:solidFill>
          <a:tailEnd type="stealth" w="sm"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0.52348</cdr:x>
      <cdr:y>0.36551</cdr:y>
    </cdr:from>
    <cdr:to>
      <cdr:x>0.63573</cdr:x>
      <cdr:y>0.45061</cdr:y>
    </cdr:to>
    <cdr:sp macro="" textlink="">
      <cdr:nvSpPr>
        <cdr:cNvPr id="3" name="TextBox 2"/>
        <cdr:cNvSpPr txBox="1"/>
      </cdr:nvSpPr>
      <cdr:spPr>
        <a:xfrm xmlns:a="http://schemas.openxmlformats.org/drawingml/2006/main">
          <a:off x="3198251" y="952491"/>
          <a:ext cx="685808" cy="2217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latin typeface="Arial" panose="020B0604020202020204" pitchFamily="34" charset="0"/>
              <a:cs typeface="Arial" panose="020B0604020202020204" pitchFamily="34" charset="0"/>
            </a:rPr>
            <a:t>300 MW</a:t>
          </a:r>
        </a:p>
      </cdr:txBody>
    </cdr:sp>
  </cdr:relSizeAnchor>
  <cdr:relSizeAnchor xmlns:cdr="http://schemas.openxmlformats.org/drawingml/2006/chartDrawing">
    <cdr:from>
      <cdr:x>0.55406</cdr:x>
      <cdr:y>0.42816</cdr:y>
    </cdr:from>
    <cdr:to>
      <cdr:x>0.56831</cdr:x>
      <cdr:y>0.55212</cdr:y>
    </cdr:to>
    <cdr:cxnSp macro="">
      <cdr:nvCxnSpPr>
        <cdr:cNvPr id="6" name="Straight Arrow Connector 5">
          <a:extLst xmlns:a="http://schemas.openxmlformats.org/drawingml/2006/main">
            <a:ext uri="{FF2B5EF4-FFF2-40B4-BE49-F238E27FC236}">
              <a16:creationId xmlns:a16="http://schemas.microsoft.com/office/drawing/2014/main" id="{6059D8C3-C514-0186-4D9D-CEB64BE97847}"/>
            </a:ext>
          </a:extLst>
        </cdr:cNvPr>
        <cdr:cNvCxnSpPr/>
      </cdr:nvCxnSpPr>
      <cdr:spPr>
        <a:xfrm xmlns:a="http://schemas.openxmlformats.org/drawingml/2006/main" flipH="1">
          <a:off x="3385109" y="1115743"/>
          <a:ext cx="87062" cy="323030"/>
        </a:xfrm>
        <a:prstGeom xmlns:a="http://schemas.openxmlformats.org/drawingml/2006/main" prst="straightConnector1">
          <a:avLst/>
        </a:prstGeom>
        <a:ln xmlns:a="http://schemas.openxmlformats.org/drawingml/2006/main" w="6350">
          <a:solidFill>
            <a:schemeClr val="tx1"/>
          </a:solidFill>
          <a:tailEnd type="stealth" w="sm"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9.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439102</xdr:colOff>
      <xdr:row>21</xdr:row>
      <xdr:rowOff>31433</xdr:rowOff>
    </xdr:to>
    <xdr:graphicFrame macro="">
      <xdr:nvGraphicFramePr>
        <xdr:cNvPr id="2" name="Chart 8">
          <a:extLst>
            <a:ext uri="{FF2B5EF4-FFF2-40B4-BE49-F238E27FC236}">
              <a16:creationId xmlns:a16="http://schemas.microsoft.com/office/drawing/2014/main" id="{9EC33312-954B-417E-894F-D71D90DCA8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766763</xdr:colOff>
      <xdr:row>2</xdr:row>
      <xdr:rowOff>0</xdr:rowOff>
    </xdr:from>
    <xdr:to>
      <xdr:col>16</xdr:col>
      <xdr:colOff>10478</xdr:colOff>
      <xdr:row>21</xdr:row>
      <xdr:rowOff>31433</xdr:rowOff>
    </xdr:to>
    <xdr:graphicFrame macro="">
      <xdr:nvGraphicFramePr>
        <xdr:cNvPr id="3" name="Chart 8">
          <a:extLst>
            <a:ext uri="{FF2B5EF4-FFF2-40B4-BE49-F238E27FC236}">
              <a16:creationId xmlns:a16="http://schemas.microsoft.com/office/drawing/2014/main" id="{C8DECE23-CAA8-4E78-AE6C-005528155F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361950</xdr:colOff>
      <xdr:row>1</xdr:row>
      <xdr:rowOff>128587</xdr:rowOff>
    </xdr:from>
    <xdr:to>
      <xdr:col>26</xdr:col>
      <xdr:colOff>396240</xdr:colOff>
      <xdr:row>21</xdr:row>
      <xdr:rowOff>2857</xdr:rowOff>
    </xdr:to>
    <xdr:graphicFrame macro="">
      <xdr:nvGraphicFramePr>
        <xdr:cNvPr id="4" name="Chart 8">
          <a:extLst>
            <a:ext uri="{FF2B5EF4-FFF2-40B4-BE49-F238E27FC236}">
              <a16:creationId xmlns:a16="http://schemas.microsoft.com/office/drawing/2014/main" id="{F3174A8B-E367-4907-8155-13740685F5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64A15BA3-08CD-C476-450D-8C937DB7FEF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c:userShapes xmlns:c="http://schemas.openxmlformats.org/drawingml/2006/chart">
  <cdr:relSizeAnchor xmlns:cdr="http://schemas.openxmlformats.org/drawingml/2006/chartDrawing">
    <cdr:from>
      <cdr:x>0.38249</cdr:x>
      <cdr:y>0.95101</cdr:y>
    </cdr:from>
    <cdr:to>
      <cdr:x>0.66845</cdr:x>
      <cdr:y>1</cdr:y>
    </cdr:to>
    <cdr:sp macro="" textlink="">
      <cdr:nvSpPr>
        <cdr:cNvPr id="5" name="Text Box 1036"/>
        <cdr:cNvSpPr txBox="1">
          <a:spLocks xmlns:a="http://schemas.openxmlformats.org/drawingml/2006/main" noChangeArrowheads="1"/>
        </cdr:cNvSpPr>
      </cdr:nvSpPr>
      <cdr:spPr bwMode="auto">
        <a:xfrm xmlns:a="http://schemas.openxmlformats.org/drawingml/2006/main">
          <a:off x="2308356" y="2869692"/>
          <a:ext cx="1725781" cy="14782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wrap="square" lIns="18288" tIns="0" rIns="18288"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US" sz="1000" b="1" i="0" u="none" strike="noStrike" baseline="0">
              <a:solidFill>
                <a:srgbClr val="000000"/>
              </a:solidFill>
              <a:latin typeface="Arial" panose="020B0604020202020204" pitchFamily="34" charset="0"/>
              <a:cs typeface="Arial" panose="020B0604020202020204" pitchFamily="34" charset="0"/>
            </a:rPr>
            <a:t>Commercial Operation Year</a:t>
          </a:r>
        </a:p>
      </cdr:txBody>
    </cdr:sp>
  </cdr:relSizeAnchor>
  <cdr:relSizeAnchor xmlns:cdr="http://schemas.openxmlformats.org/drawingml/2006/chartDrawing">
    <cdr:from>
      <cdr:x>0</cdr:x>
      <cdr:y>0</cdr:y>
    </cdr:from>
    <cdr:to>
      <cdr:x>0.53977</cdr:x>
      <cdr:y>0.07734</cdr:y>
    </cdr:to>
    <cdr:sp macro="" textlink="">
      <cdr:nvSpPr>
        <cdr:cNvPr id="2" name="TextBox 1"/>
        <cdr:cNvSpPr txBox="1"/>
      </cdr:nvSpPr>
      <cdr:spPr>
        <a:xfrm xmlns:a="http://schemas.openxmlformats.org/drawingml/2006/main">
          <a:off x="0" y="0"/>
          <a:ext cx="3257550" cy="233362"/>
        </a:xfrm>
        <a:prstGeom xmlns:a="http://schemas.openxmlformats.org/drawingml/2006/main" prst="rect">
          <a:avLst/>
        </a:prstGeom>
      </cdr:spPr>
      <cdr:txBody>
        <a:bodyPr xmlns:a="http://schemas.openxmlformats.org/drawingml/2006/main" vertOverflow="clip" vert="horz" wrap="square" lIns="18288" tIns="18288" rIns="18288" bIns="18288" rtlCol="0"/>
        <a:lstStyle xmlns:a="http://schemas.openxmlformats.org/drawingml/2006/main"/>
        <a:p xmlns:a="http://schemas.openxmlformats.org/drawingml/2006/main">
          <a:r>
            <a:rPr lang="en-US" sz="1000" b="1">
              <a:latin typeface="Arial" panose="020B0604020202020204" pitchFamily="34" charset="0"/>
              <a:cs typeface="Arial" panose="020B0604020202020204" pitchFamily="34" charset="0"/>
            </a:rPr>
            <a:t>Median LCOE and Levelized PPA Price (2022 $/MWh)</a:t>
          </a:r>
        </a:p>
      </cdr:txBody>
    </cdr:sp>
  </cdr:relSizeAnchor>
  <cdr:relSizeAnchor xmlns:cdr="http://schemas.openxmlformats.org/drawingml/2006/chartDrawing">
    <cdr:from>
      <cdr:x>0.17519</cdr:x>
      <cdr:y>0.16888</cdr:y>
    </cdr:from>
    <cdr:to>
      <cdr:x>0.43718</cdr:x>
      <cdr:y>0.24463</cdr:y>
    </cdr:to>
    <cdr:sp macro="" textlink="">
      <cdr:nvSpPr>
        <cdr:cNvPr id="3" name="TextBox 2"/>
        <cdr:cNvSpPr txBox="1"/>
      </cdr:nvSpPr>
      <cdr:spPr>
        <a:xfrm xmlns:a="http://schemas.openxmlformats.org/drawingml/2006/main">
          <a:off x="1057290" y="509602"/>
          <a:ext cx="1581120" cy="228578"/>
        </a:xfrm>
        <a:prstGeom xmlns:a="http://schemas.openxmlformats.org/drawingml/2006/main" prst="rect">
          <a:avLst/>
        </a:prstGeom>
      </cdr:spPr>
      <cdr:txBody>
        <a:bodyPr xmlns:a="http://schemas.openxmlformats.org/drawingml/2006/main" vertOverflow="clip" wrap="square" lIns="45720" rIns="45720" rtlCol="0" anchor="ctr" anchorCtr="1"/>
        <a:lstStyle xmlns:a="http://schemas.openxmlformats.org/drawingml/2006/main"/>
        <a:p xmlns:a="http://schemas.openxmlformats.org/drawingml/2006/main">
          <a:r>
            <a:rPr lang="en-US" sz="1000">
              <a:solidFill>
                <a:schemeClr val="accent1"/>
              </a:solidFill>
              <a:latin typeface="Arial" panose="020B0604020202020204" pitchFamily="34" charset="0"/>
              <a:cs typeface="Arial" panose="020B0604020202020204" pitchFamily="34" charset="0"/>
            </a:rPr>
            <a:t>LCOE without the ITC</a:t>
          </a:r>
        </a:p>
      </cdr:txBody>
    </cdr:sp>
  </cdr:relSizeAnchor>
  <cdr:relSizeAnchor xmlns:cdr="http://schemas.openxmlformats.org/drawingml/2006/chartDrawing">
    <cdr:from>
      <cdr:x>0.87121</cdr:x>
      <cdr:y>0.59028</cdr:y>
    </cdr:from>
    <cdr:to>
      <cdr:x>1</cdr:x>
      <cdr:y>0.65657</cdr:y>
    </cdr:to>
    <cdr:sp macro="" textlink="">
      <cdr:nvSpPr>
        <cdr:cNvPr id="6" name="TextBox 1"/>
        <cdr:cNvSpPr txBox="1"/>
      </cdr:nvSpPr>
      <cdr:spPr>
        <a:xfrm xmlns:a="http://schemas.openxmlformats.org/drawingml/2006/main">
          <a:off x="5257787" y="1781175"/>
          <a:ext cx="777253" cy="200028"/>
        </a:xfrm>
        <a:prstGeom xmlns:a="http://schemas.openxmlformats.org/drawingml/2006/main" prst="rect">
          <a:avLst/>
        </a:prstGeom>
      </cdr:spPr>
      <cdr:txBody>
        <a:bodyPr xmlns:a="http://schemas.openxmlformats.org/drawingml/2006/main" wrap="square" lIns="45720" rIns="4572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solidFill>
                <a:schemeClr val="accent2"/>
              </a:solidFill>
              <a:latin typeface="Arial" panose="020B0604020202020204" pitchFamily="34" charset="0"/>
              <a:cs typeface="Arial" panose="020B0604020202020204" pitchFamily="34" charset="0"/>
            </a:rPr>
            <a:t>PPA price</a:t>
          </a:r>
        </a:p>
      </cdr:txBody>
    </cdr:sp>
  </cdr:relSizeAnchor>
  <cdr:relSizeAnchor xmlns:cdr="http://schemas.openxmlformats.org/drawingml/2006/chartDrawing">
    <cdr:from>
      <cdr:x>0.0676</cdr:x>
      <cdr:y>0.52347</cdr:y>
    </cdr:from>
    <cdr:to>
      <cdr:x>0.3296</cdr:x>
      <cdr:y>0.59922</cdr:y>
    </cdr:to>
    <cdr:sp macro="" textlink="">
      <cdr:nvSpPr>
        <cdr:cNvPr id="7" name="TextBox 1"/>
        <cdr:cNvSpPr txBox="1"/>
      </cdr:nvSpPr>
      <cdr:spPr>
        <a:xfrm xmlns:a="http://schemas.openxmlformats.org/drawingml/2006/main">
          <a:off x="407981" y="1579572"/>
          <a:ext cx="1581181" cy="228577"/>
        </a:xfrm>
        <a:prstGeom xmlns:a="http://schemas.openxmlformats.org/drawingml/2006/main" prst="rect">
          <a:avLst/>
        </a:prstGeom>
      </cdr:spPr>
      <cdr:txBody>
        <a:bodyPr xmlns:a="http://schemas.openxmlformats.org/drawingml/2006/main" wrap="square" lIns="45720" rIns="4572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solidFill>
                <a:schemeClr val="accent1"/>
              </a:solidFill>
              <a:latin typeface="Arial" panose="020B0604020202020204" pitchFamily="34" charset="0"/>
              <a:cs typeface="Arial" panose="020B0604020202020204" pitchFamily="34" charset="0"/>
            </a:rPr>
            <a:t>LCOE with the ITC</a:t>
          </a:r>
        </a:p>
      </cdr:txBody>
    </cdr:sp>
  </cdr:relSizeAnchor>
  <cdr:relSizeAnchor xmlns:cdr="http://schemas.openxmlformats.org/drawingml/2006/chartDrawing">
    <cdr:from>
      <cdr:x>0</cdr:x>
      <cdr:y>0.78388</cdr:y>
    </cdr:from>
    <cdr:to>
      <cdr:x>0.10732</cdr:x>
      <cdr:y>0.93434</cdr:y>
    </cdr:to>
    <cdr:sp macro="" textlink="">
      <cdr:nvSpPr>
        <cdr:cNvPr id="8" name="TextBox 1"/>
        <cdr:cNvSpPr txBox="1"/>
      </cdr:nvSpPr>
      <cdr:spPr>
        <a:xfrm xmlns:a="http://schemas.openxmlformats.org/drawingml/2006/main">
          <a:off x="0" y="2365374"/>
          <a:ext cx="647700" cy="454016"/>
        </a:xfrm>
        <a:prstGeom xmlns:a="http://schemas.openxmlformats.org/drawingml/2006/main" prst="rect">
          <a:avLst/>
        </a:prstGeom>
      </cdr:spPr>
      <cdr:txBody>
        <a:bodyPr xmlns:a="http://schemas.openxmlformats.org/drawingml/2006/main" wrap="square" lIns="45720" rIns="4572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1000" b="1">
              <a:solidFill>
                <a:schemeClr val="tx1"/>
              </a:solidFill>
              <a:latin typeface="Arial" panose="020B0604020202020204" pitchFamily="34" charset="0"/>
              <a:cs typeface="Arial" panose="020B0604020202020204" pitchFamily="34" charset="0"/>
            </a:rPr>
            <a:t>COD:</a:t>
          </a:r>
        </a:p>
        <a:p xmlns:a="http://schemas.openxmlformats.org/drawingml/2006/main">
          <a:pPr algn="r"/>
          <a:r>
            <a:rPr lang="en-US" sz="1000" b="1">
              <a:solidFill>
                <a:schemeClr val="tx1"/>
              </a:solidFill>
              <a:latin typeface="Arial" panose="020B0604020202020204" pitchFamily="34" charset="0"/>
              <a:cs typeface="Arial" panose="020B0604020202020204" pitchFamily="34" charset="0"/>
            </a:rPr>
            <a:t>Plants:</a:t>
          </a:r>
        </a:p>
        <a:p xmlns:a="http://schemas.openxmlformats.org/drawingml/2006/main">
          <a:pPr algn="r"/>
          <a:r>
            <a:rPr lang="en-US" sz="1000" b="1">
              <a:solidFill>
                <a:schemeClr val="tx1"/>
              </a:solidFill>
              <a:latin typeface="Arial" panose="020B0604020202020204" pitchFamily="34" charset="0"/>
              <a:cs typeface="Arial" panose="020B0604020202020204" pitchFamily="34" charset="0"/>
            </a:rPr>
            <a:t>MW-AC:</a:t>
          </a:r>
        </a:p>
      </cdr:txBody>
    </cdr:sp>
  </cdr:relSizeAnchor>
</c:userShapes>
</file>

<file path=xl/drawings/drawing21.xml><?xml version="1.0" encoding="utf-8"?>
<c:userShapes xmlns:c="http://schemas.openxmlformats.org/drawingml/2006/chart">
  <cdr:relSizeAnchor xmlns:cdr="http://schemas.openxmlformats.org/drawingml/2006/chartDrawing">
    <cdr:from>
      <cdr:x>0.38249</cdr:x>
      <cdr:y>0.95101</cdr:y>
    </cdr:from>
    <cdr:to>
      <cdr:x>0.66845</cdr:x>
      <cdr:y>1</cdr:y>
    </cdr:to>
    <cdr:sp macro="" textlink="">
      <cdr:nvSpPr>
        <cdr:cNvPr id="5" name="Text Box 1036"/>
        <cdr:cNvSpPr txBox="1">
          <a:spLocks xmlns:a="http://schemas.openxmlformats.org/drawingml/2006/main" noChangeArrowheads="1"/>
        </cdr:cNvSpPr>
      </cdr:nvSpPr>
      <cdr:spPr bwMode="auto">
        <a:xfrm xmlns:a="http://schemas.openxmlformats.org/drawingml/2006/main">
          <a:off x="2308356" y="2869692"/>
          <a:ext cx="1725781" cy="14782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wrap="square" lIns="18288" tIns="0" rIns="18288"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US" sz="1000" b="1" i="0" u="none" strike="noStrike" baseline="0">
              <a:solidFill>
                <a:srgbClr val="000000"/>
              </a:solidFill>
              <a:latin typeface="Arial" panose="020B0604020202020204" pitchFamily="34" charset="0"/>
              <a:cs typeface="Arial" panose="020B0604020202020204" pitchFamily="34" charset="0"/>
            </a:rPr>
            <a:t>Commercial Operation Year</a:t>
          </a:r>
        </a:p>
      </cdr:txBody>
    </cdr:sp>
  </cdr:relSizeAnchor>
  <cdr:relSizeAnchor xmlns:cdr="http://schemas.openxmlformats.org/drawingml/2006/chartDrawing">
    <cdr:from>
      <cdr:x>0</cdr:x>
      <cdr:y>0</cdr:y>
    </cdr:from>
    <cdr:to>
      <cdr:x>0.75344</cdr:x>
      <cdr:y>0.07891</cdr:y>
    </cdr:to>
    <cdr:sp macro="" textlink="">
      <cdr:nvSpPr>
        <cdr:cNvPr id="2" name="TextBox 1"/>
        <cdr:cNvSpPr txBox="1"/>
      </cdr:nvSpPr>
      <cdr:spPr>
        <a:xfrm xmlns:a="http://schemas.openxmlformats.org/drawingml/2006/main">
          <a:off x="0" y="0"/>
          <a:ext cx="4543424" cy="238124"/>
        </a:xfrm>
        <a:prstGeom xmlns:a="http://schemas.openxmlformats.org/drawingml/2006/main" prst="rect">
          <a:avLst/>
        </a:prstGeom>
      </cdr:spPr>
      <cdr:txBody>
        <a:bodyPr xmlns:a="http://schemas.openxmlformats.org/drawingml/2006/main" vertOverflow="clip" vert="horz" wrap="square" lIns="18288" tIns="18288" rIns="18288" bIns="18288" rtlCol="0"/>
        <a:lstStyle xmlns:a="http://schemas.openxmlformats.org/drawingml/2006/main"/>
        <a:p xmlns:a="http://schemas.openxmlformats.org/drawingml/2006/main">
          <a:r>
            <a:rPr lang="en-US" sz="1000" b="1">
              <a:latin typeface="Arial" panose="020B0604020202020204" pitchFamily="34" charset="0"/>
              <a:cs typeface="Arial" panose="020B0604020202020204" pitchFamily="34" charset="0"/>
            </a:rPr>
            <a:t>Capacity-Weighted Average LCOE and Levelized PPA Price (2022 $/MWh)</a:t>
          </a:r>
        </a:p>
      </cdr:txBody>
    </cdr:sp>
  </cdr:relSizeAnchor>
  <cdr:relSizeAnchor xmlns:cdr="http://schemas.openxmlformats.org/drawingml/2006/chartDrawing">
    <cdr:from>
      <cdr:x>0.21718</cdr:x>
      <cdr:y>0.18624</cdr:y>
    </cdr:from>
    <cdr:to>
      <cdr:x>0.46718</cdr:x>
      <cdr:y>0.29671</cdr:y>
    </cdr:to>
    <cdr:sp macro="" textlink="">
      <cdr:nvSpPr>
        <cdr:cNvPr id="3" name="TextBox 2"/>
        <cdr:cNvSpPr txBox="1"/>
      </cdr:nvSpPr>
      <cdr:spPr>
        <a:xfrm xmlns:a="http://schemas.openxmlformats.org/drawingml/2006/main">
          <a:off x="1309673" y="561995"/>
          <a:ext cx="1507569" cy="333346"/>
        </a:xfrm>
        <a:prstGeom xmlns:a="http://schemas.openxmlformats.org/drawingml/2006/main" prst="rect">
          <a:avLst/>
        </a:prstGeom>
      </cdr:spPr>
      <cdr:txBody>
        <a:bodyPr xmlns:a="http://schemas.openxmlformats.org/drawingml/2006/main" vertOverflow="clip" wrap="square" lIns="45720" rIns="45720" rtlCol="0" anchor="ctr" anchorCtr="1"/>
        <a:lstStyle xmlns:a="http://schemas.openxmlformats.org/drawingml/2006/main"/>
        <a:p xmlns:a="http://schemas.openxmlformats.org/drawingml/2006/main">
          <a:r>
            <a:rPr lang="en-US" sz="1000">
              <a:solidFill>
                <a:schemeClr val="accent1"/>
              </a:solidFill>
              <a:latin typeface="Arial" panose="020B0604020202020204" pitchFamily="34" charset="0"/>
              <a:cs typeface="Arial" panose="020B0604020202020204" pitchFamily="34" charset="0"/>
            </a:rPr>
            <a:t>LCOE without the ITC</a:t>
          </a:r>
        </a:p>
      </cdr:txBody>
    </cdr:sp>
  </cdr:relSizeAnchor>
  <cdr:relSizeAnchor xmlns:cdr="http://schemas.openxmlformats.org/drawingml/2006/chartDrawing">
    <cdr:from>
      <cdr:x>0.87121</cdr:x>
      <cdr:y>0.56608</cdr:y>
    </cdr:from>
    <cdr:to>
      <cdr:x>1</cdr:x>
      <cdr:y>0.6471</cdr:y>
    </cdr:to>
    <cdr:sp macro="" textlink="">
      <cdr:nvSpPr>
        <cdr:cNvPr id="6" name="TextBox 1"/>
        <cdr:cNvSpPr txBox="1"/>
      </cdr:nvSpPr>
      <cdr:spPr>
        <a:xfrm xmlns:a="http://schemas.openxmlformats.org/drawingml/2006/main">
          <a:off x="5253638" y="1708148"/>
          <a:ext cx="776639" cy="244480"/>
        </a:xfrm>
        <a:prstGeom xmlns:a="http://schemas.openxmlformats.org/drawingml/2006/main" prst="rect">
          <a:avLst/>
        </a:prstGeom>
      </cdr:spPr>
      <cdr:txBody>
        <a:bodyPr xmlns:a="http://schemas.openxmlformats.org/drawingml/2006/main" wrap="square" lIns="45720" rIns="4572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solidFill>
                <a:schemeClr val="accent2"/>
              </a:solidFill>
              <a:latin typeface="Arial" panose="020B0604020202020204" pitchFamily="34" charset="0"/>
              <a:cs typeface="Arial" panose="020B0604020202020204" pitchFamily="34" charset="0"/>
            </a:rPr>
            <a:t>PPA price</a:t>
          </a:r>
        </a:p>
      </cdr:txBody>
    </cdr:sp>
  </cdr:relSizeAnchor>
  <cdr:relSizeAnchor xmlns:cdr="http://schemas.openxmlformats.org/drawingml/2006/chartDrawing">
    <cdr:from>
      <cdr:x>0.18521</cdr:x>
      <cdr:y>0.59449</cdr:y>
    </cdr:from>
    <cdr:to>
      <cdr:x>0.44721</cdr:x>
      <cdr:y>0.67024</cdr:y>
    </cdr:to>
    <cdr:sp macro="" textlink="">
      <cdr:nvSpPr>
        <cdr:cNvPr id="7" name="TextBox 1"/>
        <cdr:cNvSpPr txBox="1"/>
      </cdr:nvSpPr>
      <cdr:spPr>
        <a:xfrm xmlns:a="http://schemas.openxmlformats.org/drawingml/2006/main">
          <a:off x="1116844" y="1793872"/>
          <a:ext cx="1579933" cy="228577"/>
        </a:xfrm>
        <a:prstGeom xmlns:a="http://schemas.openxmlformats.org/drawingml/2006/main" prst="rect">
          <a:avLst/>
        </a:prstGeom>
      </cdr:spPr>
      <cdr:txBody>
        <a:bodyPr xmlns:a="http://schemas.openxmlformats.org/drawingml/2006/main" wrap="square" lIns="45720" rIns="4572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solidFill>
                <a:schemeClr val="accent1"/>
              </a:solidFill>
              <a:latin typeface="Arial" panose="020B0604020202020204" pitchFamily="34" charset="0"/>
              <a:cs typeface="Arial" panose="020B0604020202020204" pitchFamily="34" charset="0"/>
            </a:rPr>
            <a:t>LCOE with the ITC</a:t>
          </a:r>
        </a:p>
      </cdr:txBody>
    </cdr:sp>
  </cdr:relSizeAnchor>
  <cdr:relSizeAnchor xmlns:cdr="http://schemas.openxmlformats.org/drawingml/2006/chartDrawing">
    <cdr:from>
      <cdr:x>0</cdr:x>
      <cdr:y>0.7823</cdr:y>
    </cdr:from>
    <cdr:to>
      <cdr:x>0.10662</cdr:x>
      <cdr:y>0.93276</cdr:y>
    </cdr:to>
    <cdr:sp macro="" textlink="">
      <cdr:nvSpPr>
        <cdr:cNvPr id="8" name="TextBox 1"/>
        <cdr:cNvSpPr txBox="1"/>
      </cdr:nvSpPr>
      <cdr:spPr>
        <a:xfrm xmlns:a="http://schemas.openxmlformats.org/drawingml/2006/main">
          <a:off x="0" y="2360606"/>
          <a:ext cx="642936" cy="454016"/>
        </a:xfrm>
        <a:prstGeom xmlns:a="http://schemas.openxmlformats.org/drawingml/2006/main" prst="rect">
          <a:avLst/>
        </a:prstGeom>
      </cdr:spPr>
      <cdr:txBody>
        <a:bodyPr xmlns:a="http://schemas.openxmlformats.org/drawingml/2006/main" wrap="square" lIns="45720" rIns="4572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1000" b="1">
              <a:solidFill>
                <a:schemeClr val="tx1"/>
              </a:solidFill>
              <a:latin typeface="Arial" panose="020B0604020202020204" pitchFamily="34" charset="0"/>
              <a:cs typeface="Arial" panose="020B0604020202020204" pitchFamily="34" charset="0"/>
            </a:rPr>
            <a:t>COD:</a:t>
          </a:r>
        </a:p>
        <a:p xmlns:a="http://schemas.openxmlformats.org/drawingml/2006/main">
          <a:pPr algn="r"/>
          <a:r>
            <a:rPr lang="en-US" sz="1000" b="1">
              <a:solidFill>
                <a:schemeClr val="tx1"/>
              </a:solidFill>
              <a:latin typeface="Arial" panose="020B0604020202020204" pitchFamily="34" charset="0"/>
              <a:cs typeface="Arial" panose="020B0604020202020204" pitchFamily="34" charset="0"/>
            </a:rPr>
            <a:t>Plants:</a:t>
          </a:r>
        </a:p>
        <a:p xmlns:a="http://schemas.openxmlformats.org/drawingml/2006/main">
          <a:pPr algn="r"/>
          <a:r>
            <a:rPr lang="en-US" sz="1000" b="1">
              <a:solidFill>
                <a:schemeClr val="tx1"/>
              </a:solidFill>
              <a:latin typeface="Arial" panose="020B0604020202020204" pitchFamily="34" charset="0"/>
              <a:cs typeface="Arial" panose="020B0604020202020204" pitchFamily="34" charset="0"/>
            </a:rPr>
            <a:t>MW-AC:</a:t>
          </a:r>
        </a:p>
      </cdr:txBody>
    </cdr:sp>
  </cdr:relSizeAnchor>
</c:userShapes>
</file>

<file path=xl/drawings/drawing22.xml><?xml version="1.0" encoding="utf-8"?>
<c:userShapes xmlns:c="http://schemas.openxmlformats.org/drawingml/2006/chart">
  <cdr:relSizeAnchor xmlns:cdr="http://schemas.openxmlformats.org/drawingml/2006/chartDrawing">
    <cdr:from>
      <cdr:x>0.38249</cdr:x>
      <cdr:y>0.95101</cdr:y>
    </cdr:from>
    <cdr:to>
      <cdr:x>0.66845</cdr:x>
      <cdr:y>1</cdr:y>
    </cdr:to>
    <cdr:sp macro="" textlink="">
      <cdr:nvSpPr>
        <cdr:cNvPr id="5" name="Text Box 1036"/>
        <cdr:cNvSpPr txBox="1">
          <a:spLocks xmlns:a="http://schemas.openxmlformats.org/drawingml/2006/main" noChangeArrowheads="1"/>
        </cdr:cNvSpPr>
      </cdr:nvSpPr>
      <cdr:spPr bwMode="auto">
        <a:xfrm xmlns:a="http://schemas.openxmlformats.org/drawingml/2006/main">
          <a:off x="2308356" y="2869692"/>
          <a:ext cx="1725781" cy="14782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wrap="square" lIns="18288" tIns="0" rIns="18288"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US" sz="1000" b="1" i="0" u="none" strike="noStrike" baseline="0">
              <a:solidFill>
                <a:srgbClr val="000000"/>
              </a:solidFill>
              <a:latin typeface="Arial" panose="020B0604020202020204" pitchFamily="34" charset="0"/>
              <a:cs typeface="Arial" panose="020B0604020202020204" pitchFamily="34" charset="0"/>
            </a:rPr>
            <a:t>Commercial Operation Year</a:t>
          </a:r>
        </a:p>
      </cdr:txBody>
    </cdr:sp>
  </cdr:relSizeAnchor>
  <cdr:relSizeAnchor xmlns:cdr="http://schemas.openxmlformats.org/drawingml/2006/chartDrawing">
    <cdr:from>
      <cdr:x>0</cdr:x>
      <cdr:y>0</cdr:y>
    </cdr:from>
    <cdr:to>
      <cdr:x>0.77178</cdr:x>
      <cdr:y>0.0726</cdr:y>
    </cdr:to>
    <cdr:sp macro="" textlink="">
      <cdr:nvSpPr>
        <cdr:cNvPr id="2" name="TextBox 1"/>
        <cdr:cNvSpPr txBox="1"/>
      </cdr:nvSpPr>
      <cdr:spPr>
        <a:xfrm xmlns:a="http://schemas.openxmlformats.org/drawingml/2006/main">
          <a:off x="0" y="0"/>
          <a:ext cx="4657725" cy="219076"/>
        </a:xfrm>
        <a:prstGeom xmlns:a="http://schemas.openxmlformats.org/drawingml/2006/main" prst="rect">
          <a:avLst/>
        </a:prstGeom>
      </cdr:spPr>
      <cdr:txBody>
        <a:bodyPr xmlns:a="http://schemas.openxmlformats.org/drawingml/2006/main" vertOverflow="clip" vert="horz" wrap="square" lIns="18288" tIns="18288" rIns="18288" bIns="18288" rtlCol="0"/>
        <a:lstStyle xmlns:a="http://schemas.openxmlformats.org/drawingml/2006/main"/>
        <a:p xmlns:a="http://schemas.openxmlformats.org/drawingml/2006/main">
          <a:r>
            <a:rPr lang="en-US" sz="1000" b="1">
              <a:latin typeface="Arial" panose="020B0604020202020204" pitchFamily="34" charset="0"/>
              <a:cs typeface="Arial" panose="020B0604020202020204" pitchFamily="34" charset="0"/>
            </a:rPr>
            <a:t>Generation-Weighted Average LCOE and Levelized PPA Price (2022 $/MWh)</a:t>
          </a:r>
        </a:p>
      </cdr:txBody>
    </cdr:sp>
  </cdr:relSizeAnchor>
  <cdr:relSizeAnchor xmlns:cdr="http://schemas.openxmlformats.org/drawingml/2006/chartDrawing">
    <cdr:from>
      <cdr:x>0.22885</cdr:x>
      <cdr:y>0.1752</cdr:y>
    </cdr:from>
    <cdr:to>
      <cdr:x>0.4506</cdr:x>
      <cdr:y>0.28567</cdr:y>
    </cdr:to>
    <cdr:sp macro="" textlink="">
      <cdr:nvSpPr>
        <cdr:cNvPr id="3" name="TextBox 2"/>
        <cdr:cNvSpPr txBox="1"/>
      </cdr:nvSpPr>
      <cdr:spPr>
        <a:xfrm xmlns:a="http://schemas.openxmlformats.org/drawingml/2006/main">
          <a:off x="1381126" y="528667"/>
          <a:ext cx="1338270" cy="333345"/>
        </a:xfrm>
        <a:prstGeom xmlns:a="http://schemas.openxmlformats.org/drawingml/2006/main" prst="rect">
          <a:avLst/>
        </a:prstGeom>
      </cdr:spPr>
      <cdr:txBody>
        <a:bodyPr xmlns:a="http://schemas.openxmlformats.org/drawingml/2006/main" vertOverflow="clip" wrap="square" lIns="45720" rIns="45720" rtlCol="0" anchor="ctr" anchorCtr="1"/>
        <a:lstStyle xmlns:a="http://schemas.openxmlformats.org/drawingml/2006/main"/>
        <a:p xmlns:a="http://schemas.openxmlformats.org/drawingml/2006/main">
          <a:r>
            <a:rPr lang="en-US" sz="1000">
              <a:solidFill>
                <a:schemeClr val="accent1"/>
              </a:solidFill>
              <a:latin typeface="Arial" panose="020B0604020202020204" pitchFamily="34" charset="0"/>
              <a:cs typeface="Arial" panose="020B0604020202020204" pitchFamily="34" charset="0"/>
            </a:rPr>
            <a:t>LCOE without the ITC</a:t>
          </a:r>
        </a:p>
      </cdr:txBody>
    </cdr:sp>
  </cdr:relSizeAnchor>
  <cdr:relSizeAnchor xmlns:cdr="http://schemas.openxmlformats.org/drawingml/2006/chartDrawing">
    <cdr:from>
      <cdr:x>0.87121</cdr:x>
      <cdr:y>0.57712</cdr:y>
    </cdr:from>
    <cdr:to>
      <cdr:x>1</cdr:x>
      <cdr:y>0.65814</cdr:y>
    </cdr:to>
    <cdr:sp macro="" textlink="">
      <cdr:nvSpPr>
        <cdr:cNvPr id="6" name="TextBox 1"/>
        <cdr:cNvSpPr txBox="1"/>
      </cdr:nvSpPr>
      <cdr:spPr>
        <a:xfrm xmlns:a="http://schemas.openxmlformats.org/drawingml/2006/main">
          <a:off x="5257787" y="1741485"/>
          <a:ext cx="777253" cy="244480"/>
        </a:xfrm>
        <a:prstGeom xmlns:a="http://schemas.openxmlformats.org/drawingml/2006/main" prst="rect">
          <a:avLst/>
        </a:prstGeom>
      </cdr:spPr>
      <cdr:txBody>
        <a:bodyPr xmlns:a="http://schemas.openxmlformats.org/drawingml/2006/main" wrap="square" lIns="45720" rIns="4572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solidFill>
                <a:schemeClr val="accent2"/>
              </a:solidFill>
              <a:latin typeface="Arial" panose="020B0604020202020204" pitchFamily="34" charset="0"/>
              <a:cs typeface="Arial" panose="020B0604020202020204" pitchFamily="34" charset="0"/>
            </a:rPr>
            <a:t>PPA price</a:t>
          </a:r>
        </a:p>
      </cdr:txBody>
    </cdr:sp>
  </cdr:relSizeAnchor>
  <cdr:relSizeAnchor xmlns:cdr="http://schemas.openxmlformats.org/drawingml/2006/chartDrawing">
    <cdr:from>
      <cdr:x>0.22727</cdr:x>
      <cdr:y>0.56187</cdr:y>
    </cdr:from>
    <cdr:to>
      <cdr:x>0.43561</cdr:x>
      <cdr:y>0.67551</cdr:y>
    </cdr:to>
    <cdr:sp macro="" textlink="">
      <cdr:nvSpPr>
        <cdr:cNvPr id="7" name="TextBox 1"/>
        <cdr:cNvSpPr txBox="1"/>
      </cdr:nvSpPr>
      <cdr:spPr>
        <a:xfrm xmlns:a="http://schemas.openxmlformats.org/drawingml/2006/main">
          <a:off x="1371581" y="1695441"/>
          <a:ext cx="1257340" cy="342911"/>
        </a:xfrm>
        <a:prstGeom xmlns:a="http://schemas.openxmlformats.org/drawingml/2006/main" prst="rect">
          <a:avLst/>
        </a:prstGeom>
      </cdr:spPr>
      <cdr:txBody>
        <a:bodyPr xmlns:a="http://schemas.openxmlformats.org/drawingml/2006/main" wrap="square" lIns="45720" rIns="4572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solidFill>
                <a:schemeClr val="accent1"/>
              </a:solidFill>
              <a:latin typeface="Arial" panose="020B0604020202020204" pitchFamily="34" charset="0"/>
              <a:cs typeface="Arial" panose="020B0604020202020204" pitchFamily="34" charset="0"/>
            </a:rPr>
            <a:t>LCOE with the ITC</a:t>
          </a:r>
        </a:p>
      </cdr:txBody>
    </cdr:sp>
  </cdr:relSizeAnchor>
  <cdr:relSizeAnchor xmlns:cdr="http://schemas.openxmlformats.org/drawingml/2006/chartDrawing">
    <cdr:from>
      <cdr:x>0</cdr:x>
      <cdr:y>0.7823</cdr:y>
    </cdr:from>
    <cdr:to>
      <cdr:x>0.10653</cdr:x>
      <cdr:y>0.93276</cdr:y>
    </cdr:to>
    <cdr:sp macro="" textlink="">
      <cdr:nvSpPr>
        <cdr:cNvPr id="8" name="TextBox 1"/>
        <cdr:cNvSpPr txBox="1"/>
      </cdr:nvSpPr>
      <cdr:spPr>
        <a:xfrm xmlns:a="http://schemas.openxmlformats.org/drawingml/2006/main">
          <a:off x="0" y="2360606"/>
          <a:ext cx="642938" cy="454016"/>
        </a:xfrm>
        <a:prstGeom xmlns:a="http://schemas.openxmlformats.org/drawingml/2006/main" prst="rect">
          <a:avLst/>
        </a:prstGeom>
      </cdr:spPr>
      <cdr:txBody>
        <a:bodyPr xmlns:a="http://schemas.openxmlformats.org/drawingml/2006/main" wrap="square" lIns="45720" rIns="4572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1000" b="1">
              <a:solidFill>
                <a:schemeClr val="tx1"/>
              </a:solidFill>
              <a:latin typeface="Arial" panose="020B0604020202020204" pitchFamily="34" charset="0"/>
              <a:cs typeface="Arial" panose="020B0604020202020204" pitchFamily="34" charset="0"/>
            </a:rPr>
            <a:t>COD:</a:t>
          </a:r>
        </a:p>
        <a:p xmlns:a="http://schemas.openxmlformats.org/drawingml/2006/main">
          <a:pPr algn="r"/>
          <a:r>
            <a:rPr lang="en-US" sz="1000" b="1">
              <a:solidFill>
                <a:schemeClr val="tx1"/>
              </a:solidFill>
              <a:latin typeface="Arial" panose="020B0604020202020204" pitchFamily="34" charset="0"/>
              <a:cs typeface="Arial" panose="020B0604020202020204" pitchFamily="34" charset="0"/>
            </a:rPr>
            <a:t>Plants:</a:t>
          </a:r>
        </a:p>
        <a:p xmlns:a="http://schemas.openxmlformats.org/drawingml/2006/main">
          <a:pPr algn="r"/>
          <a:r>
            <a:rPr lang="en-US" sz="1000" b="1">
              <a:solidFill>
                <a:schemeClr val="tx1"/>
              </a:solidFill>
              <a:latin typeface="Arial" panose="020B0604020202020204" pitchFamily="34" charset="0"/>
              <a:cs typeface="Arial" panose="020B0604020202020204" pitchFamily="34" charset="0"/>
            </a:rPr>
            <a:t>MW-AC:</a:t>
          </a:r>
        </a:p>
      </cdr:txBody>
    </cdr:sp>
  </cdr:relSizeAnchor>
</c:userShapes>
</file>

<file path=xl/drawings/drawing23.xml><?xml version="1.0" encoding="utf-8"?>
<xdr:wsDr xmlns:xdr="http://schemas.openxmlformats.org/drawingml/2006/spreadsheetDrawing" xmlns:a="http://schemas.openxmlformats.org/drawingml/2006/main">
  <xdr:oneCellAnchor>
    <xdr:from>
      <xdr:col>0</xdr:col>
      <xdr:colOff>10160</xdr:colOff>
      <xdr:row>0</xdr:row>
      <xdr:rowOff>0</xdr:rowOff>
    </xdr:from>
    <xdr:ext cx="2295486" cy="1638300"/>
    <xdr:pic>
      <xdr:nvPicPr>
        <xdr:cNvPr id="2" name="Picture 1" descr="EERE identifier_vert_2017_top bleed_BC.jpg">
          <a:extLst>
            <a:ext uri="{FF2B5EF4-FFF2-40B4-BE49-F238E27FC236}">
              <a16:creationId xmlns:a16="http://schemas.microsoft.com/office/drawing/2014/main" id="{E619A3C6-1B05-4CF3-93E9-814FB66708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 y="0"/>
          <a:ext cx="2295486" cy="1638300"/>
        </a:xfrm>
        <a:prstGeom prst="rect">
          <a:avLst/>
        </a:prstGeom>
        <a:noFill/>
        <a:ln>
          <a:noFill/>
        </a:ln>
        <a:extLst>
          <a:ext uri="{909E8E84-426E-40dd-AFC4-6F175D3DCCD1}">
            <a14:hiddenFill xmlns:lc="http://schemas.openxmlformats.org/drawingml/2006/lockedCanvas" xmlns="" xmlns:a14="http://schemas.microsoft.com/office/drawing/2010/main" xmlns:p="http://schemas.openxmlformats.org/presentationml/2006/main" xmlns:r="http://schemas.openxmlformats.org/officeDocument/2006/relationships">
              <a:solidFill>
                <a:srgbClr val="FFFFFF"/>
              </a:solidFill>
            </a14:hiddenFill>
          </a:ext>
          <a:ext uri="{91240B29-F687-4f45-9708-019B960494DF}">
            <a14:hiddenLine xmlns:lc="http://schemas.openxmlformats.org/drawingml/2006/lockedCanvas" xmlns="" xmlns:a14="http://schemas.microsoft.com/office/drawing/2010/main" xmlns:p="http://schemas.openxmlformats.org/presentationml/2006/main" xmlns:r="http://schemas.openxmlformats.org/officeDocument/2006/relationships" w="9525">
              <a:solidFill>
                <a:srgbClr val="000000"/>
              </a:solidFill>
              <a:miter lim="800000"/>
              <a:headEnd/>
              <a:tailEnd/>
            </a14:hiddenLine>
          </a:ext>
        </a:extLst>
      </xdr:spPr>
    </xdr:pic>
    <xdr:clientData/>
  </xdr:oneCellAnchor>
  <xdr:oneCellAnchor>
    <xdr:from>
      <xdr:col>0</xdr:col>
      <xdr:colOff>2700</xdr:colOff>
      <xdr:row>11</xdr:row>
      <xdr:rowOff>81280</xdr:rowOff>
    </xdr:from>
    <xdr:ext cx="3465423" cy="4475480"/>
    <xdr:pic>
      <xdr:nvPicPr>
        <xdr:cNvPr id="3" name="Picture 2">
          <a:extLst>
            <a:ext uri="{FF2B5EF4-FFF2-40B4-BE49-F238E27FC236}">
              <a16:creationId xmlns:a16="http://schemas.microsoft.com/office/drawing/2014/main" id="{F6D31AF4-8C02-437A-BA18-8CBA2A33138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00" y="2176780"/>
          <a:ext cx="3465423" cy="44754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4.xml><?xml version="1.0" encoding="utf-8"?>
<xdr:wsDr xmlns:xdr="http://schemas.openxmlformats.org/drawingml/2006/spreadsheetDrawing" xmlns:a="http://schemas.openxmlformats.org/drawingml/2006/main">
  <xdr:twoCellAnchor>
    <xdr:from>
      <xdr:col>20</xdr:col>
      <xdr:colOff>577215</xdr:colOff>
      <xdr:row>1</xdr:row>
      <xdr:rowOff>89534</xdr:rowOff>
    </xdr:from>
    <xdr:to>
      <xdr:col>31</xdr:col>
      <xdr:colOff>24765</xdr:colOff>
      <xdr:row>20</xdr:row>
      <xdr:rowOff>32384</xdr:rowOff>
    </xdr:to>
    <xdr:graphicFrame macro="">
      <xdr:nvGraphicFramePr>
        <xdr:cNvPr id="2" name="Chart 8">
          <a:extLst>
            <a:ext uri="{FF2B5EF4-FFF2-40B4-BE49-F238E27FC236}">
              <a16:creationId xmlns:a16="http://schemas.microsoft.com/office/drawing/2014/main" id="{0D95952D-344E-4145-A686-3232C1F09F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552448</xdr:colOff>
      <xdr:row>1</xdr:row>
      <xdr:rowOff>123825</xdr:rowOff>
    </xdr:from>
    <xdr:to>
      <xdr:col>20</xdr:col>
      <xdr:colOff>242885</xdr:colOff>
      <xdr:row>20</xdr:row>
      <xdr:rowOff>66675</xdr:rowOff>
    </xdr:to>
    <xdr:graphicFrame macro="">
      <xdr:nvGraphicFramePr>
        <xdr:cNvPr id="3" name="Chart 8">
          <a:extLst>
            <a:ext uri="{FF2B5EF4-FFF2-40B4-BE49-F238E27FC236}">
              <a16:creationId xmlns:a16="http://schemas.microsoft.com/office/drawing/2014/main" id="{74051A0A-E202-4E8F-821B-ECFEC7129A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xdr:row>
      <xdr:rowOff>123825</xdr:rowOff>
    </xdr:from>
    <xdr:to>
      <xdr:col>8</xdr:col>
      <xdr:colOff>528638</xdr:colOff>
      <xdr:row>20</xdr:row>
      <xdr:rowOff>59055</xdr:rowOff>
    </xdr:to>
    <xdr:grpSp>
      <xdr:nvGrpSpPr>
        <xdr:cNvPr id="4" name="Group 3">
          <a:extLst>
            <a:ext uri="{FF2B5EF4-FFF2-40B4-BE49-F238E27FC236}">
              <a16:creationId xmlns:a16="http://schemas.microsoft.com/office/drawing/2014/main" id="{668B7909-83E4-46E5-8F38-5FD26C038B50}"/>
            </a:ext>
          </a:extLst>
        </xdr:cNvPr>
        <xdr:cNvGrpSpPr/>
      </xdr:nvGrpSpPr>
      <xdr:grpSpPr>
        <a:xfrm>
          <a:off x="0" y="314325"/>
          <a:ext cx="5850732" cy="3102293"/>
          <a:chOff x="15473362" y="338138"/>
          <a:chExt cx="6072188" cy="2941385"/>
        </a:xfrm>
      </xdr:grpSpPr>
      <xdr:graphicFrame macro="">
        <xdr:nvGraphicFramePr>
          <xdr:cNvPr id="5" name="Chart 8">
            <a:extLst>
              <a:ext uri="{FF2B5EF4-FFF2-40B4-BE49-F238E27FC236}">
                <a16:creationId xmlns:a16="http://schemas.microsoft.com/office/drawing/2014/main" id="{C237833C-A374-4FAF-EC18-0C775602114F}"/>
              </a:ext>
            </a:extLst>
          </xdr:cNvPr>
          <xdr:cNvGraphicFramePr>
            <a:graphicFrameLocks/>
          </xdr:cNvGraphicFramePr>
        </xdr:nvGraphicFramePr>
        <xdr:xfrm>
          <a:off x="15492412" y="338138"/>
          <a:ext cx="5960222" cy="2941385"/>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Chart 5">
            <a:extLst>
              <a:ext uri="{FF2B5EF4-FFF2-40B4-BE49-F238E27FC236}">
                <a16:creationId xmlns:a16="http://schemas.microsoft.com/office/drawing/2014/main" id="{BEDBB90C-A08A-058E-5AD8-352D69D124AE}"/>
              </a:ext>
            </a:extLst>
          </xdr:cNvPr>
          <xdr:cNvGraphicFramePr>
            <a:graphicFrameLocks/>
          </xdr:cNvGraphicFramePr>
        </xdr:nvGraphicFramePr>
        <xdr:xfrm>
          <a:off x="15473362" y="533400"/>
          <a:ext cx="6072188" cy="2319337"/>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25.xml><?xml version="1.0" encoding="utf-8"?>
<c:userShapes xmlns:c="http://schemas.openxmlformats.org/drawingml/2006/chart">
  <cdr:relSizeAnchor xmlns:cdr="http://schemas.openxmlformats.org/drawingml/2006/chartDrawing">
    <cdr:from>
      <cdr:x>0.40301</cdr:x>
      <cdr:y>0.95101</cdr:y>
    </cdr:from>
    <cdr:to>
      <cdr:x>0.68897</cdr:x>
      <cdr:y>1</cdr:y>
    </cdr:to>
    <cdr:sp macro="" textlink="">
      <cdr:nvSpPr>
        <cdr:cNvPr id="5" name="Text Box 1036"/>
        <cdr:cNvSpPr txBox="1">
          <a:spLocks xmlns:a="http://schemas.openxmlformats.org/drawingml/2006/main" noChangeArrowheads="1"/>
        </cdr:cNvSpPr>
      </cdr:nvSpPr>
      <cdr:spPr bwMode="auto">
        <a:xfrm xmlns:a="http://schemas.openxmlformats.org/drawingml/2006/main">
          <a:off x="2547320" y="2884170"/>
          <a:ext cx="1807510" cy="1485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wrap="square" lIns="18288" tIns="0" rIns="18288"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US" sz="1000" b="0" i="0" u="none" strike="noStrike" baseline="0">
              <a:solidFill>
                <a:srgbClr val="000000"/>
              </a:solidFill>
              <a:latin typeface="Arial" panose="020B0604020202020204" pitchFamily="34" charset="0"/>
              <a:cs typeface="Arial" panose="020B0604020202020204" pitchFamily="34" charset="0"/>
            </a:rPr>
            <a:t>Commercial Operation Year</a:t>
          </a:r>
        </a:p>
      </cdr:txBody>
    </cdr:sp>
  </cdr:relSizeAnchor>
  <cdr:relSizeAnchor xmlns:cdr="http://schemas.openxmlformats.org/drawingml/2006/chartDrawing">
    <cdr:from>
      <cdr:x>0</cdr:x>
      <cdr:y>0</cdr:y>
    </cdr:from>
    <cdr:to>
      <cdr:x>0.3117</cdr:x>
      <cdr:y>0.06348</cdr:y>
    </cdr:to>
    <cdr:sp macro="" textlink="">
      <cdr:nvSpPr>
        <cdr:cNvPr id="2" name="TextBox 1"/>
        <cdr:cNvSpPr txBox="1"/>
      </cdr:nvSpPr>
      <cdr:spPr>
        <a:xfrm xmlns:a="http://schemas.openxmlformats.org/drawingml/2006/main">
          <a:off x="0" y="0"/>
          <a:ext cx="1852612" cy="185737"/>
        </a:xfrm>
        <a:prstGeom xmlns:a="http://schemas.openxmlformats.org/drawingml/2006/main" prst="rect">
          <a:avLst/>
        </a:prstGeom>
      </cdr:spPr>
      <cdr:txBody>
        <a:bodyPr xmlns:a="http://schemas.openxmlformats.org/drawingml/2006/main" vertOverflow="clip" vert="horz" wrap="square" lIns="18288" tIns="18288" rIns="18288" bIns="18288" rtlCol="0"/>
        <a:lstStyle xmlns:a="http://schemas.openxmlformats.org/drawingml/2006/main"/>
        <a:p xmlns:a="http://schemas.openxmlformats.org/drawingml/2006/main">
          <a:r>
            <a:rPr lang="en-US" sz="1000" b="0">
              <a:latin typeface="Arial" panose="020B0604020202020204" pitchFamily="34" charset="0"/>
              <a:cs typeface="Arial" panose="020B0604020202020204" pitchFamily="34" charset="0"/>
            </a:rPr>
            <a:t>Average LCOE (2022 $/MWh)</a:t>
          </a:r>
        </a:p>
      </cdr:txBody>
    </cdr:sp>
  </cdr:relSizeAnchor>
  <cdr:relSizeAnchor xmlns:cdr="http://schemas.openxmlformats.org/drawingml/2006/chartDrawing">
    <cdr:from>
      <cdr:x>0.57676</cdr:x>
      <cdr:y>0.10798</cdr:y>
    </cdr:from>
    <cdr:to>
      <cdr:x>0.99343</cdr:x>
      <cdr:y>0.17627</cdr:y>
    </cdr:to>
    <cdr:sp macro="" textlink="">
      <cdr:nvSpPr>
        <cdr:cNvPr id="3" name="TextBox 1">
          <a:extLst xmlns:a="http://schemas.openxmlformats.org/drawingml/2006/main">
            <a:ext uri="{FF2B5EF4-FFF2-40B4-BE49-F238E27FC236}">
              <a16:creationId xmlns:a16="http://schemas.microsoft.com/office/drawing/2014/main" id="{54874A73-9BA9-8D76-07EC-06A4F4116880}"/>
            </a:ext>
          </a:extLst>
        </cdr:cNvPr>
        <cdr:cNvSpPr txBox="1"/>
      </cdr:nvSpPr>
      <cdr:spPr>
        <a:xfrm xmlns:a="http://schemas.openxmlformats.org/drawingml/2006/main">
          <a:off x="3428046" y="345578"/>
          <a:ext cx="2476520" cy="218555"/>
        </a:xfrm>
        <a:prstGeom xmlns:a="http://schemas.openxmlformats.org/drawingml/2006/main" prst="rect">
          <a:avLst/>
        </a:prstGeom>
      </cdr:spPr>
      <cdr:txBody>
        <a:bodyPr xmlns:a="http://schemas.openxmlformats.org/drawingml/2006/main" vert="horz" wrap="square" lIns="18288" tIns="18288" rIns="18288" bIns="18288"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mn-lt"/>
              <a:ea typeface="+mn-ea"/>
              <a:cs typeface="+mn-cs"/>
            </a:rPr>
            <a:t>Orange shading</a:t>
          </a:r>
          <a:r>
            <a:rPr lang="en-US" sz="1100" baseline="0">
              <a:effectLst/>
              <a:latin typeface="+mn-lt"/>
              <a:ea typeface="+mn-ea"/>
              <a:cs typeface="+mn-cs"/>
            </a:rPr>
            <a:t> </a:t>
          </a:r>
          <a:r>
            <a:rPr lang="en-US" sz="1100">
              <a:effectLst/>
              <a:latin typeface="+mn-lt"/>
              <a:ea typeface="+mn-ea"/>
              <a:cs typeface="+mn-cs"/>
            </a:rPr>
            <a:t>means that LCOE can</a:t>
          </a:r>
          <a:r>
            <a:rPr lang="en-US" sz="1100" baseline="0">
              <a:effectLst/>
              <a:latin typeface="+mn-lt"/>
              <a:ea typeface="+mn-ea"/>
              <a:cs typeface="+mn-cs"/>
            </a:rPr>
            <a:t> be estimated for </a:t>
          </a:r>
          <a:r>
            <a:rPr lang="en-US" sz="1100">
              <a:effectLst/>
              <a:latin typeface="+mn-lt"/>
              <a:ea typeface="+mn-ea"/>
              <a:cs typeface="+mn-cs"/>
            </a:rPr>
            <a:t>&lt;50% of projects in year.</a:t>
          </a:r>
          <a:endParaRPr lang="en-US">
            <a:effectLst/>
          </a:endParaRPr>
        </a:p>
      </cdr:txBody>
    </cdr:sp>
  </cdr:relSizeAnchor>
</c:userShapes>
</file>

<file path=xl/drawings/drawing26.xml><?xml version="1.0" encoding="utf-8"?>
<c:userShapes xmlns:c="http://schemas.openxmlformats.org/drawingml/2006/chart">
  <cdr:relSizeAnchor xmlns:cdr="http://schemas.openxmlformats.org/drawingml/2006/chartDrawing">
    <cdr:from>
      <cdr:x>0.40301</cdr:x>
      <cdr:y>0.95101</cdr:y>
    </cdr:from>
    <cdr:to>
      <cdr:x>0.68897</cdr:x>
      <cdr:y>1</cdr:y>
    </cdr:to>
    <cdr:sp macro="" textlink="">
      <cdr:nvSpPr>
        <cdr:cNvPr id="5" name="Text Box 1036"/>
        <cdr:cNvSpPr txBox="1">
          <a:spLocks xmlns:a="http://schemas.openxmlformats.org/drawingml/2006/main" noChangeArrowheads="1"/>
        </cdr:cNvSpPr>
      </cdr:nvSpPr>
      <cdr:spPr bwMode="auto">
        <a:xfrm xmlns:a="http://schemas.openxmlformats.org/drawingml/2006/main">
          <a:off x="2547320" y="2884170"/>
          <a:ext cx="1807510" cy="1485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wrap="square" lIns="18288" tIns="0" rIns="18288"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US" sz="1000" b="0" i="0" u="none" strike="noStrike" baseline="0">
              <a:solidFill>
                <a:srgbClr val="000000"/>
              </a:solidFill>
              <a:latin typeface="Arial" panose="020B0604020202020204" pitchFamily="34" charset="0"/>
              <a:cs typeface="Arial" panose="020B0604020202020204" pitchFamily="34" charset="0"/>
            </a:rPr>
            <a:t>Commercial Operation Year</a:t>
          </a:r>
        </a:p>
      </cdr:txBody>
    </cdr:sp>
  </cdr:relSizeAnchor>
  <cdr:relSizeAnchor xmlns:cdr="http://schemas.openxmlformats.org/drawingml/2006/chartDrawing">
    <cdr:from>
      <cdr:x>0</cdr:x>
      <cdr:y>0</cdr:y>
    </cdr:from>
    <cdr:to>
      <cdr:x>0.3117</cdr:x>
      <cdr:y>0.06348</cdr:y>
    </cdr:to>
    <cdr:sp macro="" textlink="">
      <cdr:nvSpPr>
        <cdr:cNvPr id="2" name="TextBox 1"/>
        <cdr:cNvSpPr txBox="1"/>
      </cdr:nvSpPr>
      <cdr:spPr>
        <a:xfrm xmlns:a="http://schemas.openxmlformats.org/drawingml/2006/main">
          <a:off x="0" y="0"/>
          <a:ext cx="1852612" cy="185737"/>
        </a:xfrm>
        <a:prstGeom xmlns:a="http://schemas.openxmlformats.org/drawingml/2006/main" prst="rect">
          <a:avLst/>
        </a:prstGeom>
      </cdr:spPr>
      <cdr:txBody>
        <a:bodyPr xmlns:a="http://schemas.openxmlformats.org/drawingml/2006/main" vertOverflow="clip" vert="horz" wrap="square" lIns="18288" tIns="18288" rIns="18288" bIns="18288" rtlCol="0"/>
        <a:lstStyle xmlns:a="http://schemas.openxmlformats.org/drawingml/2006/main"/>
        <a:p xmlns:a="http://schemas.openxmlformats.org/drawingml/2006/main">
          <a:r>
            <a:rPr lang="en-US" sz="1000" b="0">
              <a:latin typeface="Arial" panose="020B0604020202020204" pitchFamily="34" charset="0"/>
              <a:cs typeface="Arial" panose="020B0604020202020204" pitchFamily="34" charset="0"/>
            </a:rPr>
            <a:t>Average LCOE (2022 $/MWh)</a:t>
          </a:r>
        </a:p>
      </cdr:txBody>
    </cdr:sp>
  </cdr:relSizeAnchor>
  <cdr:relSizeAnchor xmlns:cdr="http://schemas.openxmlformats.org/drawingml/2006/chartDrawing">
    <cdr:from>
      <cdr:x>0.4375</cdr:x>
      <cdr:y>0.72195</cdr:y>
    </cdr:from>
    <cdr:to>
      <cdr:x>0.88595</cdr:x>
      <cdr:y>0.78814</cdr:y>
    </cdr:to>
    <cdr:sp macro="" textlink="">
      <cdr:nvSpPr>
        <cdr:cNvPr id="3" name="TextBox 1">
          <a:extLst xmlns:a="http://schemas.openxmlformats.org/drawingml/2006/main">
            <a:ext uri="{FF2B5EF4-FFF2-40B4-BE49-F238E27FC236}">
              <a16:creationId xmlns:a16="http://schemas.microsoft.com/office/drawing/2014/main" id="{51839E64-9BA5-0394-7E7F-732818C444C4}"/>
            </a:ext>
          </a:extLst>
        </cdr:cNvPr>
        <cdr:cNvSpPr txBox="1"/>
      </cdr:nvSpPr>
      <cdr:spPr>
        <a:xfrm xmlns:a="http://schemas.openxmlformats.org/drawingml/2006/main">
          <a:off x="2600327" y="2114552"/>
          <a:ext cx="2665419" cy="193866"/>
        </a:xfrm>
        <a:prstGeom xmlns:a="http://schemas.openxmlformats.org/drawingml/2006/main" prst="rect">
          <a:avLst/>
        </a:prstGeom>
        <a:solidFill xmlns:a="http://schemas.openxmlformats.org/drawingml/2006/main">
          <a:schemeClr val="bg1">
            <a:alpha val="45000"/>
          </a:schemeClr>
        </a:solidFill>
      </cdr:spPr>
      <cdr:txBody>
        <a:bodyPr xmlns:a="http://schemas.openxmlformats.org/drawingml/2006/main" vert="horz" wrap="square" lIns="18288" tIns="18288" rIns="18288" bIns="18288"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solidFill>
                <a:schemeClr val="accent6">
                  <a:lumMod val="75000"/>
                </a:schemeClr>
              </a:solidFill>
              <a:latin typeface="Arial" panose="020B0604020202020204" pitchFamily="34" charset="0"/>
              <a:cs typeface="Arial" panose="020B0604020202020204" pitchFamily="34" charset="0"/>
            </a:rPr>
            <a:t>Orange shading means &lt;50% sample size.</a:t>
          </a:r>
          <a:r>
            <a:rPr lang="en-US" sz="1000" b="1" baseline="0">
              <a:solidFill>
                <a:schemeClr val="accent6">
                  <a:lumMod val="75000"/>
                </a:schemeClr>
              </a:solidFill>
              <a:latin typeface="Arial" panose="020B0604020202020204" pitchFamily="34" charset="0"/>
              <a:cs typeface="Arial" panose="020B0604020202020204" pitchFamily="34" charset="0"/>
            </a:rPr>
            <a:t> </a:t>
          </a:r>
          <a:endParaRPr lang="en-US" sz="1000" b="1">
            <a:solidFill>
              <a:schemeClr val="accent6">
                <a:lumMod val="75000"/>
              </a:schemeClr>
            </a:solidFill>
            <a:latin typeface="Arial" panose="020B0604020202020204" pitchFamily="34" charset="0"/>
            <a:cs typeface="Arial" panose="020B0604020202020204" pitchFamily="34" charset="0"/>
          </a:endParaRPr>
        </a:p>
      </cdr:txBody>
    </cdr:sp>
  </cdr:relSizeAnchor>
</c:userShapes>
</file>

<file path=xl/drawings/drawing27.xml><?xml version="1.0" encoding="utf-8"?>
<c:userShapes xmlns:c="http://schemas.openxmlformats.org/drawingml/2006/chart">
  <cdr:relSizeAnchor xmlns:cdr="http://schemas.openxmlformats.org/drawingml/2006/chartDrawing">
    <cdr:from>
      <cdr:x>0.40301</cdr:x>
      <cdr:y>0.95101</cdr:y>
    </cdr:from>
    <cdr:to>
      <cdr:x>0.68897</cdr:x>
      <cdr:y>1</cdr:y>
    </cdr:to>
    <cdr:sp macro="" textlink="">
      <cdr:nvSpPr>
        <cdr:cNvPr id="5" name="Text Box 1036"/>
        <cdr:cNvSpPr txBox="1">
          <a:spLocks xmlns:a="http://schemas.openxmlformats.org/drawingml/2006/main" noChangeArrowheads="1"/>
        </cdr:cNvSpPr>
      </cdr:nvSpPr>
      <cdr:spPr bwMode="auto">
        <a:xfrm xmlns:a="http://schemas.openxmlformats.org/drawingml/2006/main">
          <a:off x="2547320" y="2884170"/>
          <a:ext cx="1807510" cy="1485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wrap="square" lIns="18288" tIns="0" rIns="18288"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US" sz="1000" b="0" i="0" u="none" strike="noStrike" baseline="0">
              <a:solidFill>
                <a:srgbClr val="000000"/>
              </a:solidFill>
              <a:latin typeface="Arial" panose="020B0604020202020204" pitchFamily="34" charset="0"/>
              <a:cs typeface="Arial" panose="020B0604020202020204" pitchFamily="34" charset="0"/>
            </a:rPr>
            <a:t>Commercial Operation Year</a:t>
          </a:r>
        </a:p>
      </cdr:txBody>
    </cdr:sp>
  </cdr:relSizeAnchor>
  <cdr:relSizeAnchor xmlns:cdr="http://schemas.openxmlformats.org/drawingml/2006/chartDrawing">
    <cdr:from>
      <cdr:x>0</cdr:x>
      <cdr:y>0</cdr:y>
    </cdr:from>
    <cdr:to>
      <cdr:x>0.50017</cdr:x>
      <cdr:y>0.06265</cdr:y>
    </cdr:to>
    <cdr:sp macro="" textlink="">
      <cdr:nvSpPr>
        <cdr:cNvPr id="2" name="TextBox 1"/>
        <cdr:cNvSpPr txBox="1"/>
      </cdr:nvSpPr>
      <cdr:spPr>
        <a:xfrm xmlns:a="http://schemas.openxmlformats.org/drawingml/2006/main">
          <a:off x="0" y="0"/>
          <a:ext cx="2962395" cy="200025"/>
        </a:xfrm>
        <a:prstGeom xmlns:a="http://schemas.openxmlformats.org/drawingml/2006/main" prst="rect">
          <a:avLst/>
        </a:prstGeom>
      </cdr:spPr>
      <cdr:txBody>
        <a:bodyPr xmlns:a="http://schemas.openxmlformats.org/drawingml/2006/main" vertOverflow="clip" vert="horz" wrap="square" lIns="18288" tIns="18288" rIns="18288" bIns="18288" rtlCol="0"/>
        <a:lstStyle xmlns:a="http://schemas.openxmlformats.org/drawingml/2006/main"/>
        <a:p xmlns:a="http://schemas.openxmlformats.org/drawingml/2006/main">
          <a:r>
            <a:rPr lang="en-US" sz="1000" b="0">
              <a:latin typeface="Arial" panose="020B0604020202020204" pitchFamily="34" charset="0"/>
              <a:cs typeface="Arial" panose="020B0604020202020204" pitchFamily="34" charset="0"/>
            </a:rPr>
            <a:t>Average and Plant-Level</a:t>
          </a:r>
          <a:r>
            <a:rPr lang="en-US" sz="1000" b="0" baseline="0">
              <a:latin typeface="Arial" panose="020B0604020202020204" pitchFamily="34" charset="0"/>
              <a:cs typeface="Arial" panose="020B0604020202020204" pitchFamily="34" charset="0"/>
            </a:rPr>
            <a:t> </a:t>
          </a:r>
          <a:r>
            <a:rPr lang="en-US" sz="1000" b="0">
              <a:latin typeface="Arial" panose="020B0604020202020204" pitchFamily="34" charset="0"/>
              <a:cs typeface="Arial" panose="020B0604020202020204" pitchFamily="34" charset="0"/>
            </a:rPr>
            <a:t>LCOE (2022 $/MWh)</a:t>
          </a:r>
        </a:p>
      </cdr:txBody>
    </cdr:sp>
  </cdr:relSizeAnchor>
</c:userShapes>
</file>

<file path=xl/drawings/drawing28.xml><?xml version="1.0" encoding="utf-8"?>
<c:userShapes xmlns:c="http://schemas.openxmlformats.org/drawingml/2006/chart">
  <cdr:relSizeAnchor xmlns:cdr="http://schemas.openxmlformats.org/drawingml/2006/chartDrawing">
    <cdr:from>
      <cdr:x>0.58024</cdr:x>
      <cdr:y>0.0736</cdr:y>
    </cdr:from>
    <cdr:to>
      <cdr:x>0.99527</cdr:x>
      <cdr:y>0.25632</cdr:y>
    </cdr:to>
    <cdr:sp macro="" textlink="">
      <cdr:nvSpPr>
        <cdr:cNvPr id="2" name="TextBox 1">
          <a:extLst xmlns:a="http://schemas.openxmlformats.org/drawingml/2006/main">
            <a:ext uri="{FF2B5EF4-FFF2-40B4-BE49-F238E27FC236}">
              <a16:creationId xmlns:a16="http://schemas.microsoft.com/office/drawing/2014/main" id="{47A62BD7-CBE9-3C2E-E2C6-5CBACB1448E1}"/>
            </a:ext>
          </a:extLst>
        </cdr:cNvPr>
        <cdr:cNvSpPr txBox="1"/>
      </cdr:nvSpPr>
      <cdr:spPr>
        <a:xfrm xmlns:a="http://schemas.openxmlformats.org/drawingml/2006/main">
          <a:off x="3495675" y="185303"/>
          <a:ext cx="2500410" cy="459996"/>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100"/>
            <a:t>Orange shading</a:t>
          </a:r>
          <a:r>
            <a:rPr lang="en-US" sz="1100" baseline="0"/>
            <a:t> </a:t>
          </a:r>
          <a:r>
            <a:rPr lang="en-US" sz="1100"/>
            <a:t>means that LCOE can</a:t>
          </a:r>
          <a:r>
            <a:rPr lang="en-US" sz="1100" baseline="0"/>
            <a:t> be estimated for </a:t>
          </a:r>
          <a:r>
            <a:rPr lang="en-US" sz="1100"/>
            <a:t>&lt;50% of projects in year.</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F6AA09BB-4C71-E487-CA79-26193228BB8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A0B4927A-0C30-27B0-B102-84B247C1964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oneCellAnchor>
    <xdr:from>
      <xdr:col>7</xdr:col>
      <xdr:colOff>0</xdr:colOff>
      <xdr:row>11</xdr:row>
      <xdr:rowOff>0</xdr:rowOff>
    </xdr:from>
    <xdr:ext cx="6039693" cy="10850489"/>
    <xdr:pic>
      <xdr:nvPicPr>
        <xdr:cNvPr id="2" name="Picture 1">
          <a:extLst>
            <a:ext uri="{FF2B5EF4-FFF2-40B4-BE49-F238E27FC236}">
              <a16:creationId xmlns:a16="http://schemas.microsoft.com/office/drawing/2014/main" id="{26EA115D-5CE5-46C5-AC3F-3D36C2D38653}"/>
            </a:ext>
          </a:extLst>
        </xdr:cNvPr>
        <xdr:cNvPicPr>
          <a:picLocks noChangeAspect="1"/>
        </xdr:cNvPicPr>
      </xdr:nvPicPr>
      <xdr:blipFill>
        <a:blip xmlns:r="http://schemas.openxmlformats.org/officeDocument/2006/relationships" r:embed="rId1"/>
        <a:stretch>
          <a:fillRect/>
        </a:stretch>
      </xdr:blipFill>
      <xdr:spPr>
        <a:xfrm>
          <a:off x="4267200" y="2095500"/>
          <a:ext cx="6039693" cy="10850489"/>
        </a:xfrm>
        <a:prstGeom prst="rect">
          <a:avLst/>
        </a:prstGeom>
      </xdr:spPr>
    </xdr:pic>
    <xdr:clientData/>
  </xdr:oneCellAnchor>
  <xdr:oneCellAnchor>
    <xdr:from>
      <xdr:col>21</xdr:col>
      <xdr:colOff>0</xdr:colOff>
      <xdr:row>9</xdr:row>
      <xdr:rowOff>0</xdr:rowOff>
    </xdr:from>
    <xdr:ext cx="10526594" cy="11174384"/>
    <xdr:pic>
      <xdr:nvPicPr>
        <xdr:cNvPr id="3" name="Picture 2">
          <a:extLst>
            <a:ext uri="{FF2B5EF4-FFF2-40B4-BE49-F238E27FC236}">
              <a16:creationId xmlns:a16="http://schemas.microsoft.com/office/drawing/2014/main" id="{AA4EC7BB-D3A7-4862-9D0C-DFC0DDEB80C6}"/>
            </a:ext>
          </a:extLst>
        </xdr:cNvPr>
        <xdr:cNvPicPr>
          <a:picLocks noChangeAspect="1"/>
        </xdr:cNvPicPr>
      </xdr:nvPicPr>
      <xdr:blipFill>
        <a:blip xmlns:r="http://schemas.openxmlformats.org/officeDocument/2006/relationships" r:embed="rId2"/>
        <a:stretch>
          <a:fillRect/>
        </a:stretch>
      </xdr:blipFill>
      <xdr:spPr>
        <a:xfrm>
          <a:off x="12801600" y="1714500"/>
          <a:ext cx="10526594" cy="1117438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8</xdr:col>
      <xdr:colOff>0</xdr:colOff>
      <xdr:row>6</xdr:row>
      <xdr:rowOff>0</xdr:rowOff>
    </xdr:from>
    <xdr:ext cx="9897856" cy="11498280"/>
    <xdr:pic>
      <xdr:nvPicPr>
        <xdr:cNvPr id="2" name="Picture 1">
          <a:extLst>
            <a:ext uri="{FF2B5EF4-FFF2-40B4-BE49-F238E27FC236}">
              <a16:creationId xmlns:a16="http://schemas.microsoft.com/office/drawing/2014/main" id="{C2BAE563-2AFE-4773-BCC6-CC760BCF6B98}"/>
            </a:ext>
          </a:extLst>
        </xdr:cNvPr>
        <xdr:cNvPicPr>
          <a:picLocks noChangeAspect="1"/>
        </xdr:cNvPicPr>
      </xdr:nvPicPr>
      <xdr:blipFill>
        <a:blip xmlns:r="http://schemas.openxmlformats.org/officeDocument/2006/relationships" r:embed="rId1"/>
        <a:stretch>
          <a:fillRect/>
        </a:stretch>
      </xdr:blipFill>
      <xdr:spPr>
        <a:xfrm>
          <a:off x="4876800" y="1143000"/>
          <a:ext cx="9897856" cy="1149828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85725</xdr:colOff>
      <xdr:row>3</xdr:row>
      <xdr:rowOff>9525</xdr:rowOff>
    </xdr:from>
    <xdr:ext cx="5563376" cy="7297168"/>
    <xdr:pic>
      <xdr:nvPicPr>
        <xdr:cNvPr id="2" name="Picture 1">
          <a:extLst>
            <a:ext uri="{FF2B5EF4-FFF2-40B4-BE49-F238E27FC236}">
              <a16:creationId xmlns:a16="http://schemas.microsoft.com/office/drawing/2014/main" id="{7CFC11D2-66CB-4709-AFB3-595A0B4722C6}"/>
            </a:ext>
          </a:extLst>
        </xdr:cNvPr>
        <xdr:cNvPicPr>
          <a:picLocks noChangeAspect="1"/>
        </xdr:cNvPicPr>
      </xdr:nvPicPr>
      <xdr:blipFill>
        <a:blip xmlns:r="http://schemas.openxmlformats.org/officeDocument/2006/relationships" r:embed="rId1"/>
        <a:stretch>
          <a:fillRect/>
        </a:stretch>
      </xdr:blipFill>
      <xdr:spPr>
        <a:xfrm>
          <a:off x="85725" y="581025"/>
          <a:ext cx="5563376" cy="729716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28</xdr:row>
      <xdr:rowOff>38100</xdr:rowOff>
    </xdr:from>
    <xdr:to>
      <xdr:col>11</xdr:col>
      <xdr:colOff>257175</xdr:colOff>
      <xdr:row>47</xdr:row>
      <xdr:rowOff>142875</xdr:rowOff>
    </xdr:to>
    <xdr:sp macro="" textlink="">
      <xdr:nvSpPr>
        <xdr:cNvPr id="2" name="TextBox 1">
          <a:extLst>
            <a:ext uri="{FF2B5EF4-FFF2-40B4-BE49-F238E27FC236}">
              <a16:creationId xmlns:a16="http://schemas.microsoft.com/office/drawing/2014/main" id="{76E6753C-E58E-467E-A48C-5B9A4463F158}"/>
            </a:ext>
          </a:extLst>
        </xdr:cNvPr>
        <xdr:cNvSpPr txBox="1"/>
      </xdr:nvSpPr>
      <xdr:spPr>
        <a:xfrm>
          <a:off x="0" y="5372100"/>
          <a:ext cx="6962775" cy="3724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mn-cs"/>
            </a:rPr>
            <a:t>Data source: Sargent &amp; Lundy, Cost and Performance Estimates for New Utility-Scale Electric Power Generating Technologies, December 2019; Hydroelectric: Oak Ridge National Lab, An Assessment of Energy Potential at Non-Powered Dams in the United States, 2012, and Idaho National Engineering and Environmental Laboratory, Estimation of Economic Parameters of U.S. Hydropower Resources, 2003; Geothermal: National Renewable Energy Laboratory, Updated U.S. Geothermal Supply Curve, 2010. </a:t>
          </a:r>
        </a:p>
        <a:p>
          <a:r>
            <a:rPr lang="en-US" sz="1100" b="0" i="0" u="none" strike="noStrike" baseline="0">
              <a:solidFill>
                <a:schemeClr val="dk1"/>
              </a:solidFill>
              <a:latin typeface="+mn-lt"/>
              <a:ea typeface="+mn-ea"/>
              <a:cs typeface="+mn-cs"/>
            </a:rPr>
            <a:t>Note: MW=megawatt, kW=kilowatt, MWh=megawatthour, kWy=kilowattyear, kWh=kilowatthour; Btu=British thermal unit </a:t>
          </a:r>
        </a:p>
        <a:p>
          <a:r>
            <a:rPr lang="en-US" sz="1100" b="0" i="0" u="none" strike="noStrike" baseline="0">
              <a:solidFill>
                <a:schemeClr val="dk1"/>
              </a:solidFill>
              <a:latin typeface="+mn-lt"/>
              <a:ea typeface="+mn-ea"/>
              <a:cs typeface="+mn-cs"/>
            </a:rPr>
            <a:t>a The first year that a new unit could become operational. </a:t>
          </a:r>
        </a:p>
        <a:p>
          <a:r>
            <a:rPr lang="en-US" sz="1100" b="0" i="0" u="none" strike="noStrike" baseline="0">
              <a:solidFill>
                <a:schemeClr val="dk1"/>
              </a:solidFill>
              <a:latin typeface="+mn-lt"/>
              <a:ea typeface="+mn-ea"/>
              <a:cs typeface="+mn-cs"/>
            </a:rPr>
            <a:t>b Base cost includes project contingency costs. </a:t>
          </a:r>
        </a:p>
        <a:p>
          <a:r>
            <a:rPr lang="en-US" sz="1100" b="0" i="0" u="none" strike="noStrike" baseline="0">
              <a:solidFill>
                <a:schemeClr val="dk1"/>
              </a:solidFill>
              <a:latin typeface="+mn-lt"/>
              <a:ea typeface="+mn-ea"/>
              <a:cs typeface="+mn-cs"/>
            </a:rPr>
            <a:t>c We apply the technological optimism factor to the first four units of a new, unproven design; it reflects the demonstrated tendency to underestimate actual costs for a first-of-a-kind unit. </a:t>
          </a:r>
        </a:p>
        <a:p>
          <a:r>
            <a:rPr lang="en-US" sz="1100" b="0" i="0" u="none" strike="noStrike" baseline="0">
              <a:solidFill>
                <a:schemeClr val="dk1"/>
              </a:solidFill>
              <a:latin typeface="+mn-lt"/>
              <a:ea typeface="+mn-ea"/>
              <a:cs typeface="+mn-cs"/>
            </a:rPr>
            <a:t>d Overnight capital cost includes contingency factors and excludes regional multipliers (except as noted for wind and solar PV) and learning effects. Interest charges are also excluded. The capital costs represent current costs for plants that would come online in 2023. </a:t>
          </a:r>
        </a:p>
        <a:p>
          <a:r>
            <a:rPr lang="en-US" sz="1100" b="0" i="0" u="none" strike="noStrike" baseline="0">
              <a:solidFill>
                <a:schemeClr val="dk1"/>
              </a:solidFill>
              <a:latin typeface="+mn-lt"/>
              <a:ea typeface="+mn-ea"/>
              <a:cs typeface="+mn-cs"/>
            </a:rPr>
            <a:t>e Total overnight cost for wind and solar PV technologies in the table are the average input value across all 25 electricity market regions, as weighted by the respective capacity of that type installed during 2021 in each region to account for the substantial regional variation in wind and solar costs (</a:t>
          </a:r>
          <a:r>
            <a:rPr lang="en-US" sz="1100" b="1" i="0" u="none" strike="noStrike" baseline="0">
              <a:solidFill>
                <a:schemeClr val="dk1"/>
              </a:solidFill>
              <a:latin typeface="+mn-lt"/>
              <a:ea typeface="+mn-ea"/>
              <a:cs typeface="+mn-cs"/>
            </a:rPr>
            <a:t>Table 4</a:t>
          </a:r>
          <a:r>
            <a:rPr lang="en-US" sz="1100" b="0" i="0" u="none" strike="noStrike" baseline="0">
              <a:solidFill>
                <a:schemeClr val="dk1"/>
              </a:solidFill>
              <a:latin typeface="+mn-lt"/>
              <a:ea typeface="+mn-ea"/>
              <a:cs typeface="+mn-cs"/>
            </a:rPr>
            <a:t>). The input value used for onshore wind in AEO2023 is $1,566 per kilowatt (kW), and for solar PV with tracking, it is $1,443/kW, which represents the cost of building a plant excluding regional factors. Region-specific factors contributing to the substantial regional variation in cost include differences in 	</a:t>
          </a:r>
        </a:p>
        <a:p>
          <a:endParaRPr lang="en-US" sz="1100"/>
        </a:p>
      </xdr:txBody>
    </xdr:sp>
    <xdr:clientData/>
  </xdr:twoCellAnchor>
  <xdr:oneCellAnchor>
    <xdr:from>
      <xdr:col>12</xdr:col>
      <xdr:colOff>0</xdr:colOff>
      <xdr:row>3</xdr:row>
      <xdr:rowOff>0</xdr:rowOff>
    </xdr:from>
    <xdr:ext cx="7392432" cy="7744906"/>
    <xdr:pic>
      <xdr:nvPicPr>
        <xdr:cNvPr id="3" name="Picture 2">
          <a:extLst>
            <a:ext uri="{FF2B5EF4-FFF2-40B4-BE49-F238E27FC236}">
              <a16:creationId xmlns:a16="http://schemas.microsoft.com/office/drawing/2014/main" id="{792A31AB-B648-4C91-88BE-B4E5D0A75770}"/>
            </a:ext>
          </a:extLst>
        </xdr:cNvPr>
        <xdr:cNvPicPr>
          <a:picLocks noChangeAspect="1"/>
        </xdr:cNvPicPr>
      </xdr:nvPicPr>
      <xdr:blipFill>
        <a:blip xmlns:r="http://schemas.openxmlformats.org/officeDocument/2006/relationships" r:embed="rId1"/>
        <a:stretch>
          <a:fillRect/>
        </a:stretch>
      </xdr:blipFill>
      <xdr:spPr>
        <a:xfrm>
          <a:off x="7315200" y="571500"/>
          <a:ext cx="7392432" cy="774490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112059</xdr:colOff>
      <xdr:row>45</xdr:row>
      <xdr:rowOff>78440</xdr:rowOff>
    </xdr:from>
    <xdr:ext cx="5503731" cy="7444126"/>
    <xdr:pic>
      <xdr:nvPicPr>
        <xdr:cNvPr id="2" name="Picture 1">
          <a:extLst>
            <a:ext uri="{FF2B5EF4-FFF2-40B4-BE49-F238E27FC236}">
              <a16:creationId xmlns:a16="http://schemas.microsoft.com/office/drawing/2014/main" id="{708DA331-14C9-42E8-BF5A-13F8CBFB2676}"/>
            </a:ext>
          </a:extLst>
        </xdr:cNvPr>
        <xdr:cNvPicPr>
          <a:picLocks noChangeAspect="1"/>
        </xdr:cNvPicPr>
      </xdr:nvPicPr>
      <xdr:blipFill>
        <a:blip xmlns:r="http://schemas.openxmlformats.org/officeDocument/2006/relationships" r:embed="rId1"/>
        <a:stretch>
          <a:fillRect/>
        </a:stretch>
      </xdr:blipFill>
      <xdr:spPr>
        <a:xfrm>
          <a:off x="112059" y="8650940"/>
          <a:ext cx="5503731" cy="744412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Users\Robert%20Carlton\AppData\Local\Microsoft\Windows\Temporary%20Internet%20Files\Content.Outlook\VBE0TVOU\SC\Brattle%202x0%207FA.05%20Location%201%20Dual%20Fuel%20w%20SCR%207-28-2011%20Rev%20H.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Sheet"/>
      <sheetName val="Input"/>
      <sheetName val="General Information"/>
      <sheetName val="EQ_Input"/>
      <sheetName val="BASE WAGE"/>
      <sheetName val="PipeAssem"/>
      <sheetName val="Est Sum (2)"/>
      <sheetName val="Proj Ind Input"/>
      <sheetName val="Sum"/>
      <sheetName val="Parametrics"/>
      <sheetName val="Client"/>
      <sheetName val="Owner cost"/>
      <sheetName val="Escal2"/>
      <sheetName val="Staffing"/>
      <sheetName val="Indirects"/>
      <sheetName val="Conus"/>
      <sheetName val="Master_EQ_List"/>
      <sheetName val="Sub Crew - All Inclusive"/>
      <sheetName val="EquipTable"/>
      <sheetName val="MV MCC Layout"/>
      <sheetName val="Elect Bulks"/>
      <sheetName val="Motor List"/>
      <sheetName val="MIS"/>
      <sheetName val="calc GTG1&amp;2"/>
      <sheetName val="calc STG1"/>
      <sheetName val="Elec_EQ_Design"/>
      <sheetName val="Elec_EQ_List"/>
      <sheetName val="GTG"/>
      <sheetName val="HRSG"/>
      <sheetName val="STG"/>
      <sheetName val="BOP"/>
      <sheetName val="Water"/>
      <sheetName val="Tables"/>
      <sheetName val="Mech_EQ_Design"/>
      <sheetName val="Mech_EQ_List"/>
      <sheetName val="PipingModule"/>
      <sheetName val="PipeQty"/>
      <sheetName val="Pipe"/>
      <sheetName val="PipeTable"/>
      <sheetName val="Paint"/>
      <sheetName val="Conc"/>
      <sheetName val="Steel"/>
      <sheetName val="SteelTable"/>
      <sheetName val="Insul"/>
      <sheetName val="InsulTable"/>
      <sheetName val="Engineering"/>
      <sheetName val="RATE Summary"/>
      <sheetName val="Power Crews-40"/>
      <sheetName val="Power Crews-50"/>
      <sheetName val="Power Crews-60"/>
      <sheetName val="Bldg"/>
      <sheetName val="Pipe Lookup"/>
      <sheetName val="BulkConfig"/>
      <sheetName val="Est Sum"/>
      <sheetName val="Fixed Variable"/>
      <sheetName val="EstBasis"/>
      <sheetName val="SC Indirects Build Up"/>
      <sheetName val="Cash flow curves"/>
      <sheetName val="Brattle 2x0 7FA"/>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 sheetId="13" refreshError="1"/>
      <sheetData sheetId="14"/>
      <sheetData sheetId="15" refreshError="1"/>
      <sheetData sheetId="16" refreshError="1"/>
      <sheetData sheetId="17" refreshError="1"/>
      <sheetData sheetId="18">
        <row r="13">
          <cell r="GP13" t="str">
            <v>Centrifugal Compressor</v>
          </cell>
          <cell r="GQ13">
            <v>0</v>
          </cell>
          <cell r="GS13">
            <v>0</v>
          </cell>
          <cell r="GT13">
            <v>0</v>
          </cell>
          <cell r="GV13">
            <v>0</v>
          </cell>
          <cell r="GW13">
            <v>0</v>
          </cell>
          <cell r="GY13">
            <v>0</v>
          </cell>
          <cell r="GZ13">
            <v>0</v>
          </cell>
          <cell r="HB13">
            <v>0</v>
          </cell>
          <cell r="HC13">
            <v>0</v>
          </cell>
          <cell r="HE13">
            <v>0</v>
          </cell>
          <cell r="HF13">
            <v>0</v>
          </cell>
          <cell r="HH13">
            <v>0</v>
          </cell>
          <cell r="HI13">
            <v>0</v>
          </cell>
          <cell r="HK13">
            <v>0</v>
          </cell>
          <cell r="HL13">
            <v>0</v>
          </cell>
          <cell r="HN13">
            <v>0</v>
          </cell>
          <cell r="HO13">
            <v>0</v>
          </cell>
          <cell r="HQ13">
            <v>0</v>
          </cell>
          <cell r="HR13">
            <v>0</v>
          </cell>
          <cell r="HT13">
            <v>0</v>
          </cell>
          <cell r="HU13">
            <v>0</v>
          </cell>
          <cell r="HW13">
            <v>0</v>
          </cell>
          <cell r="HX13">
            <v>0</v>
          </cell>
          <cell r="HZ13">
            <v>0</v>
          </cell>
          <cell r="IA13">
            <v>0</v>
          </cell>
          <cell r="IC13">
            <v>0</v>
          </cell>
          <cell r="ID13">
            <v>0</v>
          </cell>
          <cell r="IF13">
            <v>0</v>
          </cell>
        </row>
        <row r="14">
          <cell r="GP14" t="str">
            <v>Reciprocating Compressor</v>
          </cell>
          <cell r="GQ14">
            <v>0</v>
          </cell>
          <cell r="GS14">
            <v>0</v>
          </cell>
          <cell r="GT14">
            <v>0</v>
          </cell>
          <cell r="GV14">
            <v>0</v>
          </cell>
          <cell r="GW14">
            <v>0</v>
          </cell>
          <cell r="GY14">
            <v>0</v>
          </cell>
          <cell r="GZ14">
            <v>0</v>
          </cell>
          <cell r="HB14">
            <v>0</v>
          </cell>
          <cell r="HC14">
            <v>0</v>
          </cell>
          <cell r="HE14">
            <v>0</v>
          </cell>
          <cell r="HF14">
            <v>0</v>
          </cell>
          <cell r="HH14">
            <v>0</v>
          </cell>
          <cell r="HI14">
            <v>0</v>
          </cell>
          <cell r="HK14">
            <v>0</v>
          </cell>
          <cell r="HL14">
            <v>0</v>
          </cell>
          <cell r="HN14">
            <v>0</v>
          </cell>
          <cell r="HO14">
            <v>0</v>
          </cell>
          <cell r="HQ14">
            <v>0</v>
          </cell>
          <cell r="HR14">
            <v>0</v>
          </cell>
          <cell r="HT14">
            <v>0</v>
          </cell>
          <cell r="HU14">
            <v>0</v>
          </cell>
          <cell r="HW14">
            <v>0</v>
          </cell>
          <cell r="HX14">
            <v>0</v>
          </cell>
          <cell r="HZ14">
            <v>0</v>
          </cell>
          <cell r="IA14">
            <v>0</v>
          </cell>
          <cell r="IC14">
            <v>0</v>
          </cell>
          <cell r="ID14">
            <v>0</v>
          </cell>
          <cell r="IF14">
            <v>0</v>
          </cell>
        </row>
        <row r="15">
          <cell r="GP15" t="str">
            <v>Fuel Gas Dew Point Heater, Electric</v>
          </cell>
          <cell r="GQ15">
            <v>200</v>
          </cell>
          <cell r="GS15">
            <v>200</v>
          </cell>
          <cell r="GT15">
            <v>200</v>
          </cell>
          <cell r="GV15">
            <v>200</v>
          </cell>
          <cell r="GW15">
            <v>200</v>
          </cell>
          <cell r="GY15">
            <v>200</v>
          </cell>
          <cell r="GZ15">
            <v>200</v>
          </cell>
          <cell r="HB15">
            <v>200</v>
          </cell>
          <cell r="HC15">
            <v>200</v>
          </cell>
          <cell r="HE15">
            <v>200</v>
          </cell>
          <cell r="HF15">
            <v>200</v>
          </cell>
          <cell r="HH15">
            <v>200</v>
          </cell>
          <cell r="HI15">
            <v>200</v>
          </cell>
          <cell r="HK15">
            <v>200</v>
          </cell>
          <cell r="HL15">
            <v>200</v>
          </cell>
          <cell r="HN15">
            <v>200</v>
          </cell>
          <cell r="HO15">
            <v>200</v>
          </cell>
          <cell r="HQ15">
            <v>200</v>
          </cell>
          <cell r="HR15">
            <v>200</v>
          </cell>
          <cell r="HT15">
            <v>200</v>
          </cell>
          <cell r="HU15">
            <v>200</v>
          </cell>
          <cell r="HW15">
            <v>200</v>
          </cell>
          <cell r="HX15">
            <v>200</v>
          </cell>
          <cell r="HZ15">
            <v>200</v>
          </cell>
          <cell r="IA15">
            <v>200</v>
          </cell>
          <cell r="IC15">
            <v>200</v>
          </cell>
          <cell r="ID15">
            <v>200</v>
          </cell>
          <cell r="IF15">
            <v>200</v>
          </cell>
        </row>
        <row r="16">
          <cell r="GP16" t="str">
            <v>Fuel Gas Dew Point Heater, gas-fired</v>
          </cell>
          <cell r="GQ16">
            <v>200</v>
          </cell>
          <cell r="GS16">
            <v>200</v>
          </cell>
          <cell r="GT16">
            <v>200</v>
          </cell>
          <cell r="GV16">
            <v>200</v>
          </cell>
          <cell r="GW16">
            <v>200</v>
          </cell>
          <cell r="GY16">
            <v>200</v>
          </cell>
          <cell r="GZ16">
            <v>200</v>
          </cell>
          <cell r="HB16">
            <v>200</v>
          </cell>
          <cell r="HC16">
            <v>200</v>
          </cell>
          <cell r="HE16">
            <v>200</v>
          </cell>
          <cell r="HF16">
            <v>200</v>
          </cell>
          <cell r="HH16">
            <v>200</v>
          </cell>
          <cell r="HI16">
            <v>200</v>
          </cell>
          <cell r="HK16">
            <v>200</v>
          </cell>
          <cell r="HL16">
            <v>200</v>
          </cell>
          <cell r="HN16">
            <v>200</v>
          </cell>
          <cell r="HO16">
            <v>200</v>
          </cell>
          <cell r="HQ16">
            <v>200</v>
          </cell>
          <cell r="HR16">
            <v>200</v>
          </cell>
          <cell r="HT16">
            <v>200</v>
          </cell>
          <cell r="HU16">
            <v>200</v>
          </cell>
          <cell r="HW16">
            <v>200</v>
          </cell>
          <cell r="HX16">
            <v>200</v>
          </cell>
          <cell r="HZ16">
            <v>200</v>
          </cell>
          <cell r="IA16">
            <v>200</v>
          </cell>
          <cell r="IC16">
            <v>200</v>
          </cell>
          <cell r="ID16">
            <v>200</v>
          </cell>
          <cell r="IF16">
            <v>200</v>
          </cell>
        </row>
        <row r="17">
          <cell r="GP17" t="str">
            <v>Performance Fuel Gas Heater, uses IP steam</v>
          </cell>
          <cell r="GQ17">
            <v>200</v>
          </cell>
          <cell r="GS17">
            <v>200</v>
          </cell>
          <cell r="GT17">
            <v>200</v>
          </cell>
          <cell r="GV17">
            <v>200</v>
          </cell>
          <cell r="GW17">
            <v>200</v>
          </cell>
          <cell r="GY17">
            <v>200</v>
          </cell>
          <cell r="GZ17">
            <v>200</v>
          </cell>
          <cell r="HB17">
            <v>200</v>
          </cell>
          <cell r="HC17">
            <v>200</v>
          </cell>
          <cell r="HE17">
            <v>200</v>
          </cell>
          <cell r="HF17">
            <v>200</v>
          </cell>
          <cell r="HH17">
            <v>200</v>
          </cell>
          <cell r="HI17">
            <v>200</v>
          </cell>
          <cell r="HK17">
            <v>200</v>
          </cell>
          <cell r="HL17">
            <v>200</v>
          </cell>
          <cell r="HN17">
            <v>200</v>
          </cell>
          <cell r="HO17">
            <v>200</v>
          </cell>
          <cell r="HQ17">
            <v>200</v>
          </cell>
          <cell r="HR17">
            <v>200</v>
          </cell>
          <cell r="HT17">
            <v>200</v>
          </cell>
          <cell r="HU17">
            <v>200</v>
          </cell>
          <cell r="HW17">
            <v>200</v>
          </cell>
          <cell r="HX17">
            <v>200</v>
          </cell>
          <cell r="HZ17">
            <v>200</v>
          </cell>
          <cell r="IA17">
            <v>200</v>
          </cell>
          <cell r="IC17">
            <v>200</v>
          </cell>
          <cell r="ID17">
            <v>200</v>
          </cell>
          <cell r="IF17">
            <v>200</v>
          </cell>
        </row>
        <row r="18">
          <cell r="GP18" t="str">
            <v>Performance Fuel Gas Heater, uses IP feedwater</v>
          </cell>
          <cell r="GQ18">
            <v>200</v>
          </cell>
          <cell r="GS18">
            <v>200</v>
          </cell>
          <cell r="GT18">
            <v>200</v>
          </cell>
          <cell r="GV18">
            <v>200</v>
          </cell>
          <cell r="GW18">
            <v>200</v>
          </cell>
          <cell r="GY18">
            <v>200</v>
          </cell>
          <cell r="GZ18">
            <v>200</v>
          </cell>
          <cell r="HB18">
            <v>200</v>
          </cell>
          <cell r="HC18">
            <v>200</v>
          </cell>
          <cell r="HE18">
            <v>200</v>
          </cell>
          <cell r="HF18">
            <v>200</v>
          </cell>
          <cell r="HH18">
            <v>200</v>
          </cell>
          <cell r="HI18">
            <v>200</v>
          </cell>
          <cell r="HK18">
            <v>200</v>
          </cell>
          <cell r="HL18">
            <v>200</v>
          </cell>
          <cell r="HN18">
            <v>200</v>
          </cell>
          <cell r="HO18">
            <v>200</v>
          </cell>
          <cell r="HQ18">
            <v>200</v>
          </cell>
          <cell r="HR18">
            <v>200</v>
          </cell>
          <cell r="HT18">
            <v>200</v>
          </cell>
          <cell r="HU18">
            <v>200</v>
          </cell>
          <cell r="HW18">
            <v>200</v>
          </cell>
          <cell r="HX18">
            <v>200</v>
          </cell>
          <cell r="HZ18">
            <v>200</v>
          </cell>
          <cell r="IA18">
            <v>200</v>
          </cell>
          <cell r="IC18">
            <v>200</v>
          </cell>
          <cell r="ID18">
            <v>200</v>
          </cell>
          <cell r="IF18">
            <v>200</v>
          </cell>
        </row>
        <row r="19">
          <cell r="GP19" t="str">
            <v>Fuel Gas Treatment Skid</v>
          </cell>
          <cell r="GQ19">
            <v>300</v>
          </cell>
          <cell r="GS19">
            <v>300</v>
          </cell>
          <cell r="GT19">
            <v>300</v>
          </cell>
          <cell r="GV19">
            <v>300</v>
          </cell>
          <cell r="GW19">
            <v>300</v>
          </cell>
          <cell r="GY19">
            <v>300</v>
          </cell>
          <cell r="GZ19">
            <v>300</v>
          </cell>
          <cell r="HB19">
            <v>300</v>
          </cell>
          <cell r="HC19">
            <v>300</v>
          </cell>
          <cell r="HE19">
            <v>300</v>
          </cell>
          <cell r="HF19">
            <v>300</v>
          </cell>
          <cell r="HH19">
            <v>300</v>
          </cell>
          <cell r="HI19">
            <v>300</v>
          </cell>
          <cell r="HK19">
            <v>300</v>
          </cell>
          <cell r="HL19">
            <v>300</v>
          </cell>
          <cell r="HN19">
            <v>300</v>
          </cell>
          <cell r="HO19">
            <v>300</v>
          </cell>
          <cell r="HQ19">
            <v>300</v>
          </cell>
          <cell r="HR19">
            <v>300</v>
          </cell>
          <cell r="HT19">
            <v>300</v>
          </cell>
          <cell r="HU19">
            <v>300</v>
          </cell>
          <cell r="HW19">
            <v>300</v>
          </cell>
          <cell r="HX19">
            <v>300</v>
          </cell>
          <cell r="HZ19">
            <v>300</v>
          </cell>
          <cell r="IA19">
            <v>300</v>
          </cell>
          <cell r="IC19">
            <v>300</v>
          </cell>
          <cell r="ID19">
            <v>300</v>
          </cell>
          <cell r="IF19">
            <v>300</v>
          </cell>
        </row>
        <row r="20">
          <cell r="GP20" t="str">
            <v>Fuel Gas Knockout Tank</v>
          </cell>
          <cell r="GQ20">
            <v>100</v>
          </cell>
          <cell r="GS20">
            <v>100</v>
          </cell>
          <cell r="GT20">
            <v>100</v>
          </cell>
          <cell r="GV20">
            <v>100</v>
          </cell>
          <cell r="GW20">
            <v>100</v>
          </cell>
          <cell r="GY20">
            <v>100</v>
          </cell>
          <cell r="GZ20">
            <v>100</v>
          </cell>
          <cell r="HB20">
            <v>100</v>
          </cell>
          <cell r="HC20">
            <v>100</v>
          </cell>
          <cell r="HE20">
            <v>100</v>
          </cell>
          <cell r="HF20">
            <v>100</v>
          </cell>
          <cell r="HH20">
            <v>100</v>
          </cell>
          <cell r="HI20">
            <v>100</v>
          </cell>
          <cell r="HK20">
            <v>100</v>
          </cell>
          <cell r="HL20">
            <v>100</v>
          </cell>
          <cell r="HN20">
            <v>100</v>
          </cell>
          <cell r="HO20">
            <v>100</v>
          </cell>
          <cell r="HQ20">
            <v>100</v>
          </cell>
          <cell r="HR20">
            <v>100</v>
          </cell>
          <cell r="HT20">
            <v>100</v>
          </cell>
          <cell r="HU20">
            <v>100</v>
          </cell>
          <cell r="HW20">
            <v>100</v>
          </cell>
          <cell r="HX20">
            <v>100</v>
          </cell>
          <cell r="HZ20">
            <v>100</v>
          </cell>
          <cell r="IA20">
            <v>100</v>
          </cell>
          <cell r="IC20">
            <v>100</v>
          </cell>
          <cell r="ID20">
            <v>100</v>
          </cell>
          <cell r="IF20">
            <v>100</v>
          </cell>
        </row>
        <row r="21">
          <cell r="GP21" t="str">
            <v>Fuel Oil Truck Unloading Arm</v>
          </cell>
          <cell r="GQ21">
            <v>100</v>
          </cell>
          <cell r="GS21">
            <v>100</v>
          </cell>
          <cell r="GT21">
            <v>100</v>
          </cell>
          <cell r="GV21">
            <v>100</v>
          </cell>
          <cell r="GW21">
            <v>100</v>
          </cell>
          <cell r="GY21">
            <v>100</v>
          </cell>
          <cell r="GZ21">
            <v>100</v>
          </cell>
          <cell r="HB21">
            <v>100</v>
          </cell>
          <cell r="HC21">
            <v>100</v>
          </cell>
          <cell r="HE21">
            <v>100</v>
          </cell>
          <cell r="HF21">
            <v>100</v>
          </cell>
          <cell r="HH21">
            <v>100</v>
          </cell>
          <cell r="HI21">
            <v>100</v>
          </cell>
          <cell r="HK21">
            <v>100</v>
          </cell>
          <cell r="HL21">
            <v>100</v>
          </cell>
          <cell r="HN21">
            <v>100</v>
          </cell>
          <cell r="HO21">
            <v>100</v>
          </cell>
          <cell r="HQ21">
            <v>100</v>
          </cell>
          <cell r="HR21">
            <v>100</v>
          </cell>
          <cell r="HT21">
            <v>100</v>
          </cell>
          <cell r="HU21">
            <v>100</v>
          </cell>
          <cell r="HW21">
            <v>100</v>
          </cell>
          <cell r="HX21">
            <v>100</v>
          </cell>
          <cell r="HZ21">
            <v>100</v>
          </cell>
          <cell r="IA21">
            <v>100</v>
          </cell>
          <cell r="IC21">
            <v>100</v>
          </cell>
          <cell r="ID21">
            <v>100</v>
          </cell>
          <cell r="IF21">
            <v>100</v>
          </cell>
        </row>
        <row r="22">
          <cell r="GP22" t="str">
            <v>Fuel Oil Filters</v>
          </cell>
          <cell r="GQ22">
            <v>100</v>
          </cell>
          <cell r="GS22">
            <v>100</v>
          </cell>
          <cell r="GT22">
            <v>100</v>
          </cell>
          <cell r="GV22">
            <v>100</v>
          </cell>
          <cell r="GW22">
            <v>100</v>
          </cell>
          <cell r="GY22">
            <v>100</v>
          </cell>
          <cell r="GZ22">
            <v>100</v>
          </cell>
          <cell r="HB22">
            <v>100</v>
          </cell>
          <cell r="HC22">
            <v>100</v>
          </cell>
          <cell r="HE22">
            <v>100</v>
          </cell>
          <cell r="HF22">
            <v>100</v>
          </cell>
          <cell r="HH22">
            <v>100</v>
          </cell>
          <cell r="HI22">
            <v>100</v>
          </cell>
          <cell r="HK22">
            <v>100</v>
          </cell>
          <cell r="HL22">
            <v>100</v>
          </cell>
          <cell r="HN22">
            <v>100</v>
          </cell>
          <cell r="HO22">
            <v>100</v>
          </cell>
          <cell r="HQ22">
            <v>100</v>
          </cell>
          <cell r="HR22">
            <v>100</v>
          </cell>
          <cell r="HT22">
            <v>100</v>
          </cell>
          <cell r="HU22">
            <v>100</v>
          </cell>
          <cell r="HW22">
            <v>100</v>
          </cell>
          <cell r="HX22">
            <v>100</v>
          </cell>
          <cell r="HZ22">
            <v>100</v>
          </cell>
          <cell r="IA22">
            <v>100</v>
          </cell>
          <cell r="IC22">
            <v>100</v>
          </cell>
          <cell r="ID22">
            <v>100</v>
          </cell>
          <cell r="IF22">
            <v>100</v>
          </cell>
        </row>
        <row r="23">
          <cell r="GP23" t="str">
            <v>Fuel Oil Meters</v>
          </cell>
          <cell r="GQ23">
            <v>100</v>
          </cell>
          <cell r="GS23">
            <v>100</v>
          </cell>
          <cell r="GT23">
            <v>100</v>
          </cell>
          <cell r="GV23">
            <v>100</v>
          </cell>
          <cell r="GW23">
            <v>100</v>
          </cell>
          <cell r="GY23">
            <v>100</v>
          </cell>
          <cell r="GZ23">
            <v>100</v>
          </cell>
          <cell r="HB23">
            <v>100</v>
          </cell>
          <cell r="HC23">
            <v>100</v>
          </cell>
          <cell r="HE23">
            <v>100</v>
          </cell>
          <cell r="HF23">
            <v>100</v>
          </cell>
          <cell r="HH23">
            <v>100</v>
          </cell>
          <cell r="HI23">
            <v>100</v>
          </cell>
          <cell r="HK23">
            <v>100</v>
          </cell>
          <cell r="HL23">
            <v>100</v>
          </cell>
          <cell r="HN23">
            <v>100</v>
          </cell>
          <cell r="HO23">
            <v>100</v>
          </cell>
          <cell r="HQ23">
            <v>100</v>
          </cell>
          <cell r="HR23">
            <v>100</v>
          </cell>
          <cell r="HT23">
            <v>100</v>
          </cell>
          <cell r="HU23">
            <v>100</v>
          </cell>
          <cell r="HW23">
            <v>100</v>
          </cell>
          <cell r="HX23">
            <v>100</v>
          </cell>
          <cell r="HZ23">
            <v>100</v>
          </cell>
          <cell r="IA23">
            <v>100</v>
          </cell>
          <cell r="IC23">
            <v>100</v>
          </cell>
          <cell r="ID23">
            <v>100</v>
          </cell>
          <cell r="IF23">
            <v>100</v>
          </cell>
        </row>
        <row r="24">
          <cell r="GP24" t="str">
            <v>Fuel Oil Heaters</v>
          </cell>
          <cell r="GQ24">
            <v>100</v>
          </cell>
          <cell r="GS24">
            <v>100</v>
          </cell>
          <cell r="GT24">
            <v>100</v>
          </cell>
          <cell r="GV24">
            <v>100</v>
          </cell>
          <cell r="GW24">
            <v>100</v>
          </cell>
          <cell r="GY24">
            <v>100</v>
          </cell>
          <cell r="GZ24">
            <v>100</v>
          </cell>
          <cell r="HB24">
            <v>100</v>
          </cell>
          <cell r="HC24">
            <v>100</v>
          </cell>
          <cell r="HE24">
            <v>100</v>
          </cell>
          <cell r="HF24">
            <v>100</v>
          </cell>
          <cell r="HH24">
            <v>100</v>
          </cell>
          <cell r="HI24">
            <v>100</v>
          </cell>
          <cell r="HK24">
            <v>100</v>
          </cell>
          <cell r="HL24">
            <v>100</v>
          </cell>
          <cell r="HN24">
            <v>100</v>
          </cell>
          <cell r="HO24">
            <v>100</v>
          </cell>
          <cell r="HQ24">
            <v>100</v>
          </cell>
          <cell r="HR24">
            <v>100</v>
          </cell>
          <cell r="HT24">
            <v>100</v>
          </cell>
          <cell r="HU24">
            <v>100</v>
          </cell>
          <cell r="HW24">
            <v>100</v>
          </cell>
          <cell r="HX24">
            <v>100</v>
          </cell>
          <cell r="HZ24">
            <v>100</v>
          </cell>
          <cell r="IA24">
            <v>100</v>
          </cell>
          <cell r="IC24">
            <v>100</v>
          </cell>
          <cell r="ID24">
            <v>100</v>
          </cell>
          <cell r="IF24">
            <v>100</v>
          </cell>
        </row>
        <row r="25">
          <cell r="GP25" t="str">
            <v>GE 7241FA.05</v>
          </cell>
          <cell r="GQ25">
            <v>200000</v>
          </cell>
          <cell r="GS25">
            <v>200000</v>
          </cell>
          <cell r="GT25">
            <v>200000</v>
          </cell>
          <cell r="GV25">
            <v>200000</v>
          </cell>
          <cell r="GW25">
            <v>100000</v>
          </cell>
          <cell r="GY25">
            <v>100000</v>
          </cell>
          <cell r="GZ25">
            <v>62500</v>
          </cell>
          <cell r="HB25">
            <v>62500</v>
          </cell>
          <cell r="HC25">
            <v>422500</v>
          </cell>
          <cell r="HE25">
            <v>422500</v>
          </cell>
          <cell r="HH25">
            <v>0</v>
          </cell>
          <cell r="HK25">
            <v>0</v>
          </cell>
          <cell r="HN25">
            <v>0</v>
          </cell>
          <cell r="HQ25">
            <v>0</v>
          </cell>
          <cell r="HR25">
            <v>200000</v>
          </cell>
          <cell r="HT25">
            <v>200000</v>
          </cell>
          <cell r="HW25">
            <v>0</v>
          </cell>
          <cell r="HZ25">
            <v>0</v>
          </cell>
          <cell r="IC25">
            <v>0</v>
          </cell>
          <cell r="ID25">
            <v>100000</v>
          </cell>
          <cell r="IF25">
            <v>100000</v>
          </cell>
        </row>
        <row r="26">
          <cell r="GP26" t="str">
            <v>Once-thru Steam Generator</v>
          </cell>
          <cell r="GQ26">
            <v>25000</v>
          </cell>
          <cell r="GS26">
            <v>25000</v>
          </cell>
          <cell r="GT26">
            <v>25000</v>
          </cell>
          <cell r="GV26">
            <v>25000</v>
          </cell>
          <cell r="GW26">
            <v>25000</v>
          </cell>
          <cell r="GY26">
            <v>25000</v>
          </cell>
          <cell r="GZ26">
            <v>25000</v>
          </cell>
          <cell r="HB26">
            <v>25000</v>
          </cell>
          <cell r="HC26">
            <v>25000</v>
          </cell>
          <cell r="HE26">
            <v>25000</v>
          </cell>
          <cell r="HF26">
            <v>25000</v>
          </cell>
          <cell r="HH26">
            <v>25000</v>
          </cell>
          <cell r="HI26">
            <v>25000</v>
          </cell>
          <cell r="HK26">
            <v>25000</v>
          </cell>
          <cell r="HL26">
            <v>25000</v>
          </cell>
          <cell r="HN26">
            <v>25000</v>
          </cell>
          <cell r="HO26">
            <v>25000</v>
          </cell>
          <cell r="HQ26">
            <v>25000</v>
          </cell>
          <cell r="HR26">
            <v>25000</v>
          </cell>
          <cell r="HT26">
            <v>25000</v>
          </cell>
          <cell r="HU26">
            <v>25000</v>
          </cell>
          <cell r="HW26">
            <v>25000</v>
          </cell>
          <cell r="HX26">
            <v>25000</v>
          </cell>
          <cell r="HZ26">
            <v>25000</v>
          </cell>
          <cell r="IA26">
            <v>25000</v>
          </cell>
          <cell r="IC26">
            <v>25000</v>
          </cell>
          <cell r="ID26">
            <v>25000</v>
          </cell>
          <cell r="IF26">
            <v>25000</v>
          </cell>
        </row>
        <row r="27">
          <cell r="GP27" t="str">
            <v>1 Pressure HRSG</v>
          </cell>
          <cell r="GQ27">
            <v>25000</v>
          </cell>
          <cell r="GS27">
            <v>25000</v>
          </cell>
          <cell r="GT27">
            <v>25000</v>
          </cell>
          <cell r="GV27">
            <v>25000</v>
          </cell>
          <cell r="GW27">
            <v>25000</v>
          </cell>
          <cell r="GY27">
            <v>25000</v>
          </cell>
          <cell r="GZ27">
            <v>25000</v>
          </cell>
          <cell r="HB27">
            <v>25000</v>
          </cell>
          <cell r="HC27">
            <v>25000</v>
          </cell>
          <cell r="HE27">
            <v>25000</v>
          </cell>
          <cell r="HF27">
            <v>25000</v>
          </cell>
          <cell r="HH27">
            <v>25000</v>
          </cell>
          <cell r="HI27">
            <v>25000</v>
          </cell>
          <cell r="HK27">
            <v>25000</v>
          </cell>
          <cell r="HL27">
            <v>25000</v>
          </cell>
          <cell r="HN27">
            <v>25000</v>
          </cell>
          <cell r="HO27">
            <v>25000</v>
          </cell>
          <cell r="HQ27">
            <v>25000</v>
          </cell>
          <cell r="HR27">
            <v>25000</v>
          </cell>
          <cell r="HT27">
            <v>25000</v>
          </cell>
          <cell r="HU27">
            <v>25000</v>
          </cell>
          <cell r="HW27">
            <v>25000</v>
          </cell>
          <cell r="HX27">
            <v>25000</v>
          </cell>
          <cell r="HZ27">
            <v>25000</v>
          </cell>
          <cell r="IA27">
            <v>25000</v>
          </cell>
          <cell r="IC27">
            <v>25000</v>
          </cell>
          <cell r="ID27">
            <v>25000</v>
          </cell>
          <cell r="IF27">
            <v>25000</v>
          </cell>
        </row>
        <row r="28">
          <cell r="GP28" t="str">
            <v>2 Pressure HRSG</v>
          </cell>
          <cell r="GQ28">
            <v>25000</v>
          </cell>
          <cell r="GS28">
            <v>25000</v>
          </cell>
          <cell r="GT28">
            <v>25000</v>
          </cell>
          <cell r="GV28">
            <v>25000</v>
          </cell>
          <cell r="GW28">
            <v>25000</v>
          </cell>
          <cell r="GY28">
            <v>25000</v>
          </cell>
          <cell r="GZ28">
            <v>25000</v>
          </cell>
          <cell r="HB28">
            <v>25000</v>
          </cell>
          <cell r="HC28">
            <v>25000</v>
          </cell>
          <cell r="HE28">
            <v>25000</v>
          </cell>
          <cell r="HF28">
            <v>25000</v>
          </cell>
          <cell r="HH28">
            <v>25000</v>
          </cell>
          <cell r="HI28">
            <v>25000</v>
          </cell>
          <cell r="HK28">
            <v>25000</v>
          </cell>
          <cell r="HL28">
            <v>25000</v>
          </cell>
          <cell r="HN28">
            <v>25000</v>
          </cell>
          <cell r="HO28">
            <v>25000</v>
          </cell>
          <cell r="HQ28">
            <v>25000</v>
          </cell>
          <cell r="HR28">
            <v>25000</v>
          </cell>
          <cell r="HT28">
            <v>25000</v>
          </cell>
          <cell r="HU28">
            <v>25000</v>
          </cell>
          <cell r="HW28">
            <v>25000</v>
          </cell>
          <cell r="HX28">
            <v>25000</v>
          </cell>
          <cell r="HZ28">
            <v>25000</v>
          </cell>
          <cell r="IA28">
            <v>25000</v>
          </cell>
          <cell r="IC28">
            <v>25000</v>
          </cell>
          <cell r="ID28">
            <v>25000</v>
          </cell>
          <cell r="IF28">
            <v>25000</v>
          </cell>
        </row>
        <row r="29">
          <cell r="GP29" t="str">
            <v>3 Pressure HRSG</v>
          </cell>
          <cell r="GQ29">
            <v>25000</v>
          </cell>
          <cell r="GS29">
            <v>25000</v>
          </cell>
          <cell r="GT29">
            <v>25000</v>
          </cell>
          <cell r="GV29">
            <v>25000</v>
          </cell>
          <cell r="GW29">
            <v>25000</v>
          </cell>
          <cell r="GY29">
            <v>25000</v>
          </cell>
          <cell r="GZ29">
            <v>25000</v>
          </cell>
          <cell r="HB29">
            <v>25000</v>
          </cell>
          <cell r="HC29">
            <v>25000</v>
          </cell>
          <cell r="HE29">
            <v>25000</v>
          </cell>
          <cell r="HF29">
            <v>25000</v>
          </cell>
          <cell r="HH29">
            <v>25000</v>
          </cell>
          <cell r="HI29">
            <v>25000</v>
          </cell>
          <cell r="HK29">
            <v>25000</v>
          </cell>
          <cell r="HL29">
            <v>25000</v>
          </cell>
          <cell r="HN29">
            <v>25000</v>
          </cell>
          <cell r="HO29">
            <v>25000</v>
          </cell>
          <cell r="HQ29">
            <v>25000</v>
          </cell>
          <cell r="HR29">
            <v>25000</v>
          </cell>
          <cell r="HT29">
            <v>25000</v>
          </cell>
          <cell r="HU29">
            <v>25000</v>
          </cell>
          <cell r="HW29">
            <v>25000</v>
          </cell>
          <cell r="HX29">
            <v>25000</v>
          </cell>
          <cell r="HZ29">
            <v>25000</v>
          </cell>
          <cell r="IA29">
            <v>25000</v>
          </cell>
          <cell r="IC29">
            <v>25000</v>
          </cell>
          <cell r="ID29">
            <v>25000</v>
          </cell>
          <cell r="IF29">
            <v>25000</v>
          </cell>
        </row>
        <row r="30">
          <cell r="GP30" t="str">
            <v>3 Pressure, with Reheat HRSG</v>
          </cell>
          <cell r="GQ30">
            <v>25000</v>
          </cell>
          <cell r="GS30">
            <v>25000</v>
          </cell>
          <cell r="GT30">
            <v>25000</v>
          </cell>
          <cell r="GV30">
            <v>25000</v>
          </cell>
          <cell r="GW30">
            <v>25000</v>
          </cell>
          <cell r="GY30">
            <v>25000</v>
          </cell>
          <cell r="GZ30">
            <v>25000</v>
          </cell>
          <cell r="HB30">
            <v>25000</v>
          </cell>
          <cell r="HC30">
            <v>25000</v>
          </cell>
          <cell r="HE30">
            <v>25000</v>
          </cell>
          <cell r="HF30">
            <v>25000</v>
          </cell>
          <cell r="HH30">
            <v>25000</v>
          </cell>
          <cell r="HI30">
            <v>25000</v>
          </cell>
          <cell r="HK30">
            <v>25000</v>
          </cell>
          <cell r="HL30">
            <v>25000</v>
          </cell>
          <cell r="HN30">
            <v>25000</v>
          </cell>
          <cell r="HO30">
            <v>25000</v>
          </cell>
          <cell r="HQ30">
            <v>25000</v>
          </cell>
          <cell r="HR30">
            <v>25000</v>
          </cell>
          <cell r="HT30">
            <v>25000</v>
          </cell>
          <cell r="HU30">
            <v>25000</v>
          </cell>
          <cell r="HW30">
            <v>25000</v>
          </cell>
          <cell r="HX30">
            <v>25000</v>
          </cell>
          <cell r="HZ30">
            <v>25000</v>
          </cell>
          <cell r="IA30">
            <v>25000</v>
          </cell>
          <cell r="IC30">
            <v>25000</v>
          </cell>
          <cell r="ID30">
            <v>25000</v>
          </cell>
          <cell r="IF30">
            <v>25000</v>
          </cell>
        </row>
        <row r="31">
          <cell r="GP31" t="str">
            <v>Duct Burners</v>
          </cell>
          <cell r="GS31">
            <v>0</v>
          </cell>
          <cell r="GV31">
            <v>0</v>
          </cell>
          <cell r="GY31">
            <v>0</v>
          </cell>
          <cell r="HB31">
            <v>0</v>
          </cell>
          <cell r="HE31">
            <v>0</v>
          </cell>
          <cell r="HH31">
            <v>0</v>
          </cell>
          <cell r="HK31">
            <v>0</v>
          </cell>
          <cell r="HN31">
            <v>0</v>
          </cell>
          <cell r="HQ31">
            <v>0</v>
          </cell>
          <cell r="HT31">
            <v>0</v>
          </cell>
          <cell r="HW31">
            <v>0</v>
          </cell>
          <cell r="HZ31">
            <v>0</v>
          </cell>
          <cell r="IC31">
            <v>0</v>
          </cell>
          <cell r="IF31">
            <v>0</v>
          </cell>
        </row>
        <row r="32">
          <cell r="GP32" t="str">
            <v>SCR's</v>
          </cell>
          <cell r="GS32">
            <v>0</v>
          </cell>
          <cell r="GV32">
            <v>0</v>
          </cell>
          <cell r="GY32">
            <v>0</v>
          </cell>
          <cell r="HB32">
            <v>0</v>
          </cell>
          <cell r="HE32">
            <v>0</v>
          </cell>
          <cell r="HH32">
            <v>0</v>
          </cell>
          <cell r="HK32">
            <v>0</v>
          </cell>
          <cell r="HN32">
            <v>0</v>
          </cell>
          <cell r="HQ32">
            <v>0</v>
          </cell>
          <cell r="HT32">
            <v>0</v>
          </cell>
          <cell r="HW32">
            <v>0</v>
          </cell>
          <cell r="HZ32">
            <v>0</v>
          </cell>
          <cell r="IC32">
            <v>0</v>
          </cell>
          <cell r="IF32">
            <v>0</v>
          </cell>
        </row>
        <row r="33">
          <cell r="GP33" t="str">
            <v>CO Reactors</v>
          </cell>
          <cell r="GS33">
            <v>0</v>
          </cell>
          <cell r="GV33">
            <v>0</v>
          </cell>
          <cell r="GY33">
            <v>0</v>
          </cell>
          <cell r="HB33">
            <v>0</v>
          </cell>
          <cell r="HE33">
            <v>0</v>
          </cell>
          <cell r="HH33">
            <v>0</v>
          </cell>
          <cell r="HK33">
            <v>0</v>
          </cell>
          <cell r="HN33">
            <v>0</v>
          </cell>
          <cell r="HQ33">
            <v>0</v>
          </cell>
          <cell r="HT33">
            <v>0</v>
          </cell>
          <cell r="HW33">
            <v>0</v>
          </cell>
          <cell r="HZ33">
            <v>0</v>
          </cell>
          <cell r="IC33">
            <v>0</v>
          </cell>
          <cell r="IF33">
            <v>0</v>
          </cell>
        </row>
        <row r="34">
          <cell r="GP34" t="str">
            <v>Bypass Stacks</v>
          </cell>
          <cell r="GS34">
            <v>0</v>
          </cell>
          <cell r="GV34">
            <v>0</v>
          </cell>
          <cell r="GY34">
            <v>0</v>
          </cell>
          <cell r="HB34">
            <v>0</v>
          </cell>
          <cell r="HE34">
            <v>0</v>
          </cell>
          <cell r="HH34">
            <v>0</v>
          </cell>
          <cell r="HK34">
            <v>0</v>
          </cell>
          <cell r="HN34">
            <v>0</v>
          </cell>
          <cell r="HQ34">
            <v>0</v>
          </cell>
          <cell r="HT34">
            <v>0</v>
          </cell>
          <cell r="HW34">
            <v>0</v>
          </cell>
          <cell r="HZ34">
            <v>0</v>
          </cell>
          <cell r="IC34">
            <v>0</v>
          </cell>
          <cell r="IF34">
            <v>0</v>
          </cell>
        </row>
        <row r="35">
          <cell r="GP35" t="str">
            <v>Stack Dampers</v>
          </cell>
          <cell r="GS35">
            <v>0</v>
          </cell>
          <cell r="GV35">
            <v>0</v>
          </cell>
          <cell r="GY35">
            <v>0</v>
          </cell>
          <cell r="HB35">
            <v>0</v>
          </cell>
          <cell r="HE35">
            <v>0</v>
          </cell>
          <cell r="HH35">
            <v>0</v>
          </cell>
          <cell r="HK35">
            <v>0</v>
          </cell>
          <cell r="HN35">
            <v>0</v>
          </cell>
          <cell r="HQ35">
            <v>0</v>
          </cell>
          <cell r="HT35">
            <v>0</v>
          </cell>
          <cell r="HW35">
            <v>0</v>
          </cell>
          <cell r="HZ35">
            <v>0</v>
          </cell>
          <cell r="IC35">
            <v>0</v>
          </cell>
          <cell r="IF35">
            <v>0</v>
          </cell>
        </row>
        <row r="36">
          <cell r="GP36" t="str">
            <v>Simple Cycle Stacks</v>
          </cell>
          <cell r="GQ36">
            <v>10000</v>
          </cell>
          <cell r="GR36">
            <v>20000</v>
          </cell>
          <cell r="GS36">
            <v>20000</v>
          </cell>
          <cell r="GT36">
            <v>10000</v>
          </cell>
          <cell r="GV36">
            <v>10000</v>
          </cell>
          <cell r="GW36">
            <v>10000</v>
          </cell>
          <cell r="GX36">
            <v>8000</v>
          </cell>
          <cell r="GY36">
            <v>8000</v>
          </cell>
          <cell r="GZ36">
            <v>10000</v>
          </cell>
          <cell r="HB36">
            <v>10000</v>
          </cell>
          <cell r="HC36">
            <v>10000</v>
          </cell>
          <cell r="HD36">
            <v>20000</v>
          </cell>
          <cell r="HE36">
            <v>20000</v>
          </cell>
          <cell r="HF36">
            <v>10000</v>
          </cell>
          <cell r="HH36">
            <v>10000</v>
          </cell>
          <cell r="HI36">
            <v>10000</v>
          </cell>
          <cell r="HK36">
            <v>10000</v>
          </cell>
          <cell r="HL36">
            <v>10000</v>
          </cell>
          <cell r="HN36">
            <v>10000</v>
          </cell>
          <cell r="HO36">
            <v>10000</v>
          </cell>
          <cell r="HQ36">
            <v>10000</v>
          </cell>
          <cell r="HR36">
            <v>10000</v>
          </cell>
          <cell r="HS36">
            <v>20000</v>
          </cell>
          <cell r="HT36">
            <v>20000</v>
          </cell>
          <cell r="HU36">
            <v>10000</v>
          </cell>
          <cell r="HW36">
            <v>10000</v>
          </cell>
          <cell r="HX36">
            <v>10000</v>
          </cell>
          <cell r="HZ36">
            <v>10000</v>
          </cell>
          <cell r="IA36">
            <v>10000</v>
          </cell>
          <cell r="IC36">
            <v>10000</v>
          </cell>
          <cell r="ID36">
            <v>10000</v>
          </cell>
          <cell r="IE36">
            <v>8000</v>
          </cell>
          <cell r="IF36">
            <v>8000</v>
          </cell>
        </row>
        <row r="37">
          <cell r="GP37" t="str">
            <v>Hot SCRs</v>
          </cell>
          <cell r="GQ37">
            <v>15000</v>
          </cell>
          <cell r="GS37">
            <v>15000</v>
          </cell>
          <cell r="GT37">
            <v>15000</v>
          </cell>
          <cell r="GV37">
            <v>15000</v>
          </cell>
          <cell r="GW37">
            <v>15000</v>
          </cell>
          <cell r="GX37">
            <v>8000</v>
          </cell>
          <cell r="GY37">
            <v>8000</v>
          </cell>
          <cell r="GZ37">
            <v>15000</v>
          </cell>
          <cell r="HB37">
            <v>15000</v>
          </cell>
          <cell r="HC37">
            <v>15000</v>
          </cell>
          <cell r="HE37">
            <v>15000</v>
          </cell>
          <cell r="HF37">
            <v>15000</v>
          </cell>
          <cell r="HH37">
            <v>15000</v>
          </cell>
          <cell r="HI37">
            <v>15000</v>
          </cell>
          <cell r="HK37">
            <v>15000</v>
          </cell>
          <cell r="HL37">
            <v>15000</v>
          </cell>
          <cell r="HM37">
            <v>35000</v>
          </cell>
          <cell r="HN37">
            <v>35000</v>
          </cell>
          <cell r="HO37">
            <v>15000</v>
          </cell>
          <cell r="HP37">
            <v>40000</v>
          </cell>
          <cell r="HQ37">
            <v>40000</v>
          </cell>
          <cell r="HR37">
            <v>15000</v>
          </cell>
          <cell r="HT37">
            <v>15000</v>
          </cell>
          <cell r="HU37">
            <v>15000</v>
          </cell>
          <cell r="HV37">
            <v>35000</v>
          </cell>
          <cell r="HW37">
            <v>35000</v>
          </cell>
          <cell r="HX37">
            <v>15000</v>
          </cell>
          <cell r="HZ37">
            <v>15000</v>
          </cell>
          <cell r="IA37">
            <v>15000</v>
          </cell>
          <cell r="IB37">
            <v>35000</v>
          </cell>
          <cell r="IC37">
            <v>35000</v>
          </cell>
          <cell r="ID37">
            <v>15000</v>
          </cell>
          <cell r="IE37">
            <v>8000</v>
          </cell>
          <cell r="IF37">
            <v>8000</v>
          </cell>
        </row>
        <row r="38">
          <cell r="GP38" t="str">
            <v>Four Case, Four Flow</v>
          </cell>
          <cell r="GS38">
            <v>0</v>
          </cell>
          <cell r="GV38">
            <v>0</v>
          </cell>
          <cell r="GY38">
            <v>0</v>
          </cell>
          <cell r="HB38">
            <v>0</v>
          </cell>
          <cell r="HE38">
            <v>0</v>
          </cell>
          <cell r="HH38">
            <v>0</v>
          </cell>
          <cell r="HK38">
            <v>0</v>
          </cell>
          <cell r="HN38">
            <v>0</v>
          </cell>
          <cell r="HQ38">
            <v>0</v>
          </cell>
          <cell r="HT38">
            <v>0</v>
          </cell>
          <cell r="HW38">
            <v>0</v>
          </cell>
          <cell r="HZ38">
            <v>0</v>
          </cell>
          <cell r="IC38">
            <v>0</v>
          </cell>
          <cell r="IF38">
            <v>0</v>
          </cell>
        </row>
        <row r="39">
          <cell r="GP39" t="str">
            <v>GE - A Series</v>
          </cell>
          <cell r="GR39">
            <v>170000</v>
          </cell>
          <cell r="GS39">
            <v>170000</v>
          </cell>
          <cell r="GU39">
            <v>170000</v>
          </cell>
          <cell r="GV39">
            <v>170000</v>
          </cell>
          <cell r="GX39">
            <v>170000</v>
          </cell>
          <cell r="GY39">
            <v>170000</v>
          </cell>
          <cell r="HA39">
            <v>170000</v>
          </cell>
          <cell r="HB39">
            <v>170000</v>
          </cell>
          <cell r="HD39">
            <v>170000</v>
          </cell>
          <cell r="HE39">
            <v>170000</v>
          </cell>
          <cell r="HG39">
            <v>170000</v>
          </cell>
          <cell r="HH39">
            <v>170000</v>
          </cell>
          <cell r="HJ39">
            <v>170000</v>
          </cell>
          <cell r="HK39">
            <v>170000</v>
          </cell>
          <cell r="HM39">
            <v>170000</v>
          </cell>
          <cell r="HN39">
            <v>170000</v>
          </cell>
          <cell r="HP39">
            <v>170000</v>
          </cell>
          <cell r="HQ39">
            <v>170000</v>
          </cell>
          <cell r="HS39">
            <v>170000</v>
          </cell>
          <cell r="HT39">
            <v>170000</v>
          </cell>
          <cell r="HV39">
            <v>170000</v>
          </cell>
          <cell r="HW39">
            <v>170000</v>
          </cell>
          <cell r="HY39">
            <v>170000</v>
          </cell>
          <cell r="HZ39">
            <v>170000</v>
          </cell>
          <cell r="IB39">
            <v>170000</v>
          </cell>
          <cell r="IC39">
            <v>170000</v>
          </cell>
          <cell r="IE39">
            <v>170000</v>
          </cell>
          <cell r="IF39">
            <v>170000</v>
          </cell>
        </row>
        <row r="40">
          <cell r="GP40" t="str">
            <v>GE - D Series</v>
          </cell>
          <cell r="GR40">
            <v>285000</v>
          </cell>
          <cell r="GS40">
            <v>285000</v>
          </cell>
          <cell r="GU40">
            <v>285000</v>
          </cell>
          <cell r="GV40">
            <v>285000</v>
          </cell>
          <cell r="GX40">
            <v>285000</v>
          </cell>
          <cell r="GY40">
            <v>285000</v>
          </cell>
          <cell r="HA40">
            <v>285000</v>
          </cell>
          <cell r="HB40">
            <v>285000</v>
          </cell>
          <cell r="HD40">
            <v>285000</v>
          </cell>
          <cell r="HE40">
            <v>285000</v>
          </cell>
          <cell r="HG40">
            <v>285000</v>
          </cell>
          <cell r="HH40">
            <v>285000</v>
          </cell>
          <cell r="HJ40">
            <v>285000</v>
          </cell>
          <cell r="HK40">
            <v>285000</v>
          </cell>
          <cell r="HM40">
            <v>285000</v>
          </cell>
          <cell r="HN40">
            <v>285000</v>
          </cell>
          <cell r="HP40">
            <v>285000</v>
          </cell>
          <cell r="HQ40">
            <v>285000</v>
          </cell>
          <cell r="HS40">
            <v>285000</v>
          </cell>
          <cell r="HT40">
            <v>285000</v>
          </cell>
          <cell r="HV40">
            <v>285000</v>
          </cell>
          <cell r="HW40">
            <v>285000</v>
          </cell>
          <cell r="HY40">
            <v>285000</v>
          </cell>
          <cell r="HZ40">
            <v>285000</v>
          </cell>
          <cell r="IB40">
            <v>285000</v>
          </cell>
          <cell r="IC40">
            <v>285000</v>
          </cell>
          <cell r="IE40">
            <v>285000</v>
          </cell>
          <cell r="IF40">
            <v>285000</v>
          </cell>
        </row>
        <row r="41">
          <cell r="GP41" t="str">
            <v>GE - G Series</v>
          </cell>
          <cell r="GR41">
            <v>325000</v>
          </cell>
          <cell r="GS41">
            <v>325000</v>
          </cell>
          <cell r="GU41">
            <v>325000</v>
          </cell>
          <cell r="GV41">
            <v>325000</v>
          </cell>
          <cell r="GX41">
            <v>325000</v>
          </cell>
          <cell r="GY41">
            <v>325000</v>
          </cell>
          <cell r="HA41">
            <v>325000</v>
          </cell>
          <cell r="HB41">
            <v>325000</v>
          </cell>
          <cell r="HD41">
            <v>325000</v>
          </cell>
          <cell r="HE41">
            <v>325000</v>
          </cell>
          <cell r="HG41">
            <v>325000</v>
          </cell>
          <cell r="HH41">
            <v>325000</v>
          </cell>
          <cell r="HJ41">
            <v>325000</v>
          </cell>
          <cell r="HK41">
            <v>325000</v>
          </cell>
          <cell r="HM41">
            <v>325000</v>
          </cell>
          <cell r="HN41">
            <v>325000</v>
          </cell>
          <cell r="HP41">
            <v>325000</v>
          </cell>
          <cell r="HQ41">
            <v>325000</v>
          </cell>
          <cell r="HS41">
            <v>325000</v>
          </cell>
          <cell r="HT41">
            <v>325000</v>
          </cell>
          <cell r="HV41">
            <v>325000</v>
          </cell>
          <cell r="HW41">
            <v>325000</v>
          </cell>
          <cell r="HY41">
            <v>325000</v>
          </cell>
          <cell r="HZ41">
            <v>325000</v>
          </cell>
          <cell r="IB41">
            <v>325000</v>
          </cell>
          <cell r="IC41">
            <v>325000</v>
          </cell>
          <cell r="IE41">
            <v>325000</v>
          </cell>
          <cell r="IF41">
            <v>325000</v>
          </cell>
        </row>
        <row r="42">
          <cell r="GP42" t="str">
            <v>Siemens SST-3000</v>
          </cell>
          <cell r="GS42">
            <v>0</v>
          </cell>
          <cell r="GV42">
            <v>0</v>
          </cell>
          <cell r="GY42">
            <v>0</v>
          </cell>
          <cell r="HB42">
            <v>0</v>
          </cell>
          <cell r="HE42">
            <v>0</v>
          </cell>
          <cell r="HH42">
            <v>0</v>
          </cell>
          <cell r="HK42">
            <v>0</v>
          </cell>
          <cell r="HN42">
            <v>0</v>
          </cell>
          <cell r="HQ42">
            <v>0</v>
          </cell>
          <cell r="HT42">
            <v>0</v>
          </cell>
          <cell r="HW42">
            <v>0</v>
          </cell>
          <cell r="HZ42">
            <v>0</v>
          </cell>
          <cell r="IC42">
            <v>0</v>
          </cell>
          <cell r="IF42">
            <v>0</v>
          </cell>
        </row>
        <row r="43">
          <cell r="GP43" t="str">
            <v>Siemens SST-5000</v>
          </cell>
          <cell r="GS43">
            <v>0</v>
          </cell>
          <cell r="GV43">
            <v>0</v>
          </cell>
          <cell r="GY43">
            <v>0</v>
          </cell>
          <cell r="HB43">
            <v>0</v>
          </cell>
          <cell r="HE43">
            <v>0</v>
          </cell>
          <cell r="HH43">
            <v>0</v>
          </cell>
          <cell r="HK43">
            <v>0</v>
          </cell>
          <cell r="HN43">
            <v>0</v>
          </cell>
          <cell r="HQ43">
            <v>0</v>
          </cell>
          <cell r="HT43">
            <v>0</v>
          </cell>
          <cell r="HW43">
            <v>0</v>
          </cell>
          <cell r="HZ43">
            <v>0</v>
          </cell>
          <cell r="IC43">
            <v>0</v>
          </cell>
          <cell r="IF43">
            <v>0</v>
          </cell>
        </row>
        <row r="44">
          <cell r="GP44" t="str">
            <v>Siemens SST-6000</v>
          </cell>
          <cell r="GS44">
            <v>0</v>
          </cell>
          <cell r="GV44">
            <v>0</v>
          </cell>
          <cell r="GY44">
            <v>0</v>
          </cell>
          <cell r="HB44">
            <v>0</v>
          </cell>
          <cell r="HE44">
            <v>0</v>
          </cell>
          <cell r="HH44">
            <v>0</v>
          </cell>
          <cell r="HK44">
            <v>0</v>
          </cell>
          <cell r="HN44">
            <v>0</v>
          </cell>
          <cell r="HQ44">
            <v>0</v>
          </cell>
          <cell r="HT44">
            <v>0</v>
          </cell>
          <cell r="HW44">
            <v>0</v>
          </cell>
          <cell r="HZ44">
            <v>0</v>
          </cell>
          <cell r="IC44">
            <v>0</v>
          </cell>
          <cell r="IF44">
            <v>0</v>
          </cell>
        </row>
        <row r="45">
          <cell r="GP45" t="str">
            <v>Siemens SST-900</v>
          </cell>
          <cell r="GS45">
            <v>0</v>
          </cell>
          <cell r="GV45">
            <v>0</v>
          </cell>
          <cell r="GY45">
            <v>0</v>
          </cell>
          <cell r="HB45">
            <v>0</v>
          </cell>
          <cell r="HE45">
            <v>0</v>
          </cell>
          <cell r="HH45">
            <v>0</v>
          </cell>
          <cell r="HK45">
            <v>0</v>
          </cell>
          <cell r="HN45">
            <v>0</v>
          </cell>
          <cell r="HQ45">
            <v>0</v>
          </cell>
          <cell r="HT45">
            <v>0</v>
          </cell>
          <cell r="HW45">
            <v>0</v>
          </cell>
          <cell r="HZ45">
            <v>0</v>
          </cell>
          <cell r="IC45">
            <v>0</v>
          </cell>
          <cell r="IF45">
            <v>0</v>
          </cell>
        </row>
        <row r="46">
          <cell r="GP46" t="str">
            <v>Two Case, Double Flow</v>
          </cell>
          <cell r="GS46">
            <v>0</v>
          </cell>
          <cell r="GV46">
            <v>0</v>
          </cell>
          <cell r="GY46">
            <v>0</v>
          </cell>
          <cell r="HB46">
            <v>0</v>
          </cell>
          <cell r="HE46">
            <v>0</v>
          </cell>
          <cell r="HH46">
            <v>0</v>
          </cell>
          <cell r="HK46">
            <v>0</v>
          </cell>
          <cell r="HN46">
            <v>0</v>
          </cell>
          <cell r="HQ46">
            <v>0</v>
          </cell>
          <cell r="HT46">
            <v>0</v>
          </cell>
          <cell r="HW46">
            <v>0</v>
          </cell>
          <cell r="HZ46">
            <v>0</v>
          </cell>
          <cell r="IC46">
            <v>0</v>
          </cell>
          <cell r="IF46">
            <v>0</v>
          </cell>
        </row>
        <row r="47">
          <cell r="GP47" t="str">
            <v>Two Case, Single Flow</v>
          </cell>
          <cell r="GS47">
            <v>0</v>
          </cell>
          <cell r="GV47">
            <v>0</v>
          </cell>
          <cell r="GY47">
            <v>0</v>
          </cell>
          <cell r="HB47">
            <v>0</v>
          </cell>
          <cell r="HE47">
            <v>0</v>
          </cell>
          <cell r="HH47">
            <v>0</v>
          </cell>
          <cell r="HK47">
            <v>0</v>
          </cell>
          <cell r="HN47">
            <v>0</v>
          </cell>
          <cell r="HQ47">
            <v>0</v>
          </cell>
          <cell r="HT47">
            <v>0</v>
          </cell>
          <cell r="HW47">
            <v>0</v>
          </cell>
          <cell r="HZ47">
            <v>0</v>
          </cell>
          <cell r="IC47">
            <v>0</v>
          </cell>
          <cell r="IF47">
            <v>0</v>
          </cell>
        </row>
        <row r="48">
          <cell r="GP48">
            <v>0</v>
          </cell>
          <cell r="GS48">
            <v>0</v>
          </cell>
          <cell r="GV48">
            <v>0</v>
          </cell>
          <cell r="GY48">
            <v>0</v>
          </cell>
          <cell r="HB48">
            <v>0</v>
          </cell>
          <cell r="HE48">
            <v>0</v>
          </cell>
          <cell r="HH48">
            <v>0</v>
          </cell>
          <cell r="HK48">
            <v>0</v>
          </cell>
          <cell r="HN48">
            <v>0</v>
          </cell>
          <cell r="HQ48">
            <v>0</v>
          </cell>
          <cell r="HT48">
            <v>0</v>
          </cell>
          <cell r="HW48">
            <v>0</v>
          </cell>
          <cell r="HZ48">
            <v>0</v>
          </cell>
          <cell r="IC48">
            <v>0</v>
          </cell>
          <cell r="IF48">
            <v>0</v>
          </cell>
        </row>
        <row r="49">
          <cell r="GP49">
            <v>0</v>
          </cell>
          <cell r="GS49">
            <v>0</v>
          </cell>
          <cell r="GV49">
            <v>0</v>
          </cell>
          <cell r="GY49">
            <v>0</v>
          </cell>
          <cell r="HB49">
            <v>0</v>
          </cell>
          <cell r="HE49">
            <v>0</v>
          </cell>
          <cell r="HH49">
            <v>0</v>
          </cell>
          <cell r="HK49">
            <v>0</v>
          </cell>
          <cell r="HN49">
            <v>0</v>
          </cell>
          <cell r="HQ49">
            <v>0</v>
          </cell>
          <cell r="HT49">
            <v>0</v>
          </cell>
          <cell r="HW49">
            <v>0</v>
          </cell>
          <cell r="HZ49">
            <v>0</v>
          </cell>
          <cell r="IC49">
            <v>0</v>
          </cell>
          <cell r="IF49">
            <v>0</v>
          </cell>
        </row>
        <row r="50">
          <cell r="GP50">
            <v>0</v>
          </cell>
          <cell r="GS50">
            <v>0</v>
          </cell>
          <cell r="GV50">
            <v>0</v>
          </cell>
          <cell r="GY50">
            <v>0</v>
          </cell>
          <cell r="HB50">
            <v>0</v>
          </cell>
          <cell r="HE50">
            <v>0</v>
          </cell>
          <cell r="HH50">
            <v>0</v>
          </cell>
          <cell r="HK50">
            <v>0</v>
          </cell>
          <cell r="HN50">
            <v>0</v>
          </cell>
          <cell r="HQ50">
            <v>0</v>
          </cell>
          <cell r="HT50">
            <v>0</v>
          </cell>
          <cell r="HW50">
            <v>0</v>
          </cell>
          <cell r="HZ50">
            <v>0</v>
          </cell>
          <cell r="IC50">
            <v>0</v>
          </cell>
          <cell r="IF50">
            <v>0</v>
          </cell>
        </row>
        <row r="51">
          <cell r="GP51">
            <v>0</v>
          </cell>
          <cell r="GS51">
            <v>0</v>
          </cell>
          <cell r="GV51">
            <v>0</v>
          </cell>
          <cell r="GY51">
            <v>0</v>
          </cell>
          <cell r="HB51">
            <v>0</v>
          </cell>
          <cell r="HE51">
            <v>0</v>
          </cell>
          <cell r="HH51">
            <v>0</v>
          </cell>
          <cell r="HK51">
            <v>0</v>
          </cell>
          <cell r="HN51">
            <v>0</v>
          </cell>
          <cell r="HQ51">
            <v>0</v>
          </cell>
          <cell r="HT51">
            <v>0</v>
          </cell>
          <cell r="HW51">
            <v>0</v>
          </cell>
          <cell r="HZ51">
            <v>0</v>
          </cell>
          <cell r="IC51">
            <v>0</v>
          </cell>
          <cell r="IF51">
            <v>0</v>
          </cell>
        </row>
        <row r="52">
          <cell r="GP52">
            <v>0</v>
          </cell>
          <cell r="GS52">
            <v>0</v>
          </cell>
          <cell r="GV52">
            <v>0</v>
          </cell>
          <cell r="GY52">
            <v>0</v>
          </cell>
          <cell r="HB52">
            <v>0</v>
          </cell>
          <cell r="HE52">
            <v>0</v>
          </cell>
          <cell r="HH52">
            <v>0</v>
          </cell>
          <cell r="HK52">
            <v>0</v>
          </cell>
          <cell r="HN52">
            <v>0</v>
          </cell>
          <cell r="HQ52">
            <v>0</v>
          </cell>
          <cell r="HT52">
            <v>0</v>
          </cell>
          <cell r="HW52">
            <v>0</v>
          </cell>
          <cell r="HZ52">
            <v>0</v>
          </cell>
          <cell r="IC52">
            <v>0</v>
          </cell>
          <cell r="IF52">
            <v>0</v>
          </cell>
        </row>
        <row r="53">
          <cell r="GP53">
            <v>0</v>
          </cell>
          <cell r="GS53">
            <v>0</v>
          </cell>
          <cell r="GV53">
            <v>0</v>
          </cell>
          <cell r="GY53">
            <v>0</v>
          </cell>
          <cell r="HB53">
            <v>0</v>
          </cell>
          <cell r="HE53">
            <v>0</v>
          </cell>
          <cell r="HH53">
            <v>0</v>
          </cell>
          <cell r="HK53">
            <v>0</v>
          </cell>
          <cell r="HN53">
            <v>0</v>
          </cell>
          <cell r="HQ53">
            <v>0</v>
          </cell>
          <cell r="HT53">
            <v>0</v>
          </cell>
          <cell r="HW53">
            <v>0</v>
          </cell>
          <cell r="HZ53">
            <v>0</v>
          </cell>
          <cell r="IC53">
            <v>0</v>
          </cell>
          <cell r="IF53">
            <v>0</v>
          </cell>
        </row>
        <row r="54">
          <cell r="GP54">
            <v>0</v>
          </cell>
          <cell r="GS54">
            <v>0</v>
          </cell>
          <cell r="GV54">
            <v>0</v>
          </cell>
          <cell r="GY54">
            <v>0</v>
          </cell>
          <cell r="HB54">
            <v>0</v>
          </cell>
          <cell r="HE54">
            <v>0</v>
          </cell>
          <cell r="HH54">
            <v>0</v>
          </cell>
          <cell r="HK54">
            <v>0</v>
          </cell>
          <cell r="HN54">
            <v>0</v>
          </cell>
          <cell r="HQ54">
            <v>0</v>
          </cell>
          <cell r="HT54">
            <v>0</v>
          </cell>
          <cell r="HW54">
            <v>0</v>
          </cell>
          <cell r="HZ54">
            <v>0</v>
          </cell>
          <cell r="IC54">
            <v>0</v>
          </cell>
          <cell r="IF54">
            <v>0</v>
          </cell>
        </row>
        <row r="55">
          <cell r="GP55">
            <v>0</v>
          </cell>
          <cell r="GS55">
            <v>0</v>
          </cell>
          <cell r="GV55">
            <v>0</v>
          </cell>
          <cell r="GY55">
            <v>0</v>
          </cell>
          <cell r="HB55">
            <v>0</v>
          </cell>
          <cell r="HE55">
            <v>0</v>
          </cell>
          <cell r="HH55">
            <v>0</v>
          </cell>
          <cell r="HK55">
            <v>0</v>
          </cell>
          <cell r="HN55">
            <v>0</v>
          </cell>
          <cell r="HQ55">
            <v>0</v>
          </cell>
          <cell r="HT55">
            <v>0</v>
          </cell>
          <cell r="HW55">
            <v>0</v>
          </cell>
          <cell r="HZ55">
            <v>0</v>
          </cell>
          <cell r="IC55">
            <v>0</v>
          </cell>
          <cell r="IF55">
            <v>0</v>
          </cell>
        </row>
        <row r="56">
          <cell r="GP56">
            <v>0</v>
          </cell>
          <cell r="GS56">
            <v>0</v>
          </cell>
          <cell r="GV56">
            <v>0</v>
          </cell>
          <cell r="GY56">
            <v>0</v>
          </cell>
          <cell r="HB56">
            <v>0</v>
          </cell>
          <cell r="HE56">
            <v>0</v>
          </cell>
          <cell r="HH56">
            <v>0</v>
          </cell>
          <cell r="HK56">
            <v>0</v>
          </cell>
          <cell r="HN56">
            <v>0</v>
          </cell>
          <cell r="HQ56">
            <v>0</v>
          </cell>
          <cell r="HT56">
            <v>0</v>
          </cell>
          <cell r="HW56">
            <v>0</v>
          </cell>
          <cell r="HZ56">
            <v>0</v>
          </cell>
          <cell r="IC56">
            <v>0</v>
          </cell>
          <cell r="IF56">
            <v>0</v>
          </cell>
        </row>
        <row r="57">
          <cell r="GP57">
            <v>0</v>
          </cell>
          <cell r="GS57">
            <v>0</v>
          </cell>
          <cell r="GV57">
            <v>0</v>
          </cell>
          <cell r="GY57">
            <v>0</v>
          </cell>
          <cell r="HB57">
            <v>0</v>
          </cell>
          <cell r="HE57">
            <v>0</v>
          </cell>
          <cell r="HH57">
            <v>0</v>
          </cell>
          <cell r="HK57">
            <v>0</v>
          </cell>
          <cell r="HN57">
            <v>0</v>
          </cell>
          <cell r="HQ57">
            <v>0</v>
          </cell>
          <cell r="HT57">
            <v>0</v>
          </cell>
          <cell r="HW57">
            <v>0</v>
          </cell>
          <cell r="HZ57">
            <v>0</v>
          </cell>
          <cell r="IC57">
            <v>0</v>
          </cell>
          <cell r="IF57">
            <v>0</v>
          </cell>
        </row>
        <row r="58">
          <cell r="GP58">
            <v>0</v>
          </cell>
          <cell r="GS58">
            <v>0</v>
          </cell>
          <cell r="GV58">
            <v>0</v>
          </cell>
          <cell r="GY58">
            <v>0</v>
          </cell>
          <cell r="HB58">
            <v>0</v>
          </cell>
          <cell r="HE58">
            <v>0</v>
          </cell>
          <cell r="HH58">
            <v>0</v>
          </cell>
          <cell r="HK58">
            <v>0</v>
          </cell>
          <cell r="HN58">
            <v>0</v>
          </cell>
          <cell r="HQ58">
            <v>0</v>
          </cell>
          <cell r="HT58">
            <v>0</v>
          </cell>
          <cell r="HW58">
            <v>0</v>
          </cell>
          <cell r="HZ58">
            <v>0</v>
          </cell>
          <cell r="IC58">
            <v>0</v>
          </cell>
          <cell r="IF58">
            <v>0</v>
          </cell>
        </row>
        <row r="59">
          <cell r="GP59">
            <v>0</v>
          </cell>
          <cell r="GS59">
            <v>0</v>
          </cell>
          <cell r="GV59">
            <v>0</v>
          </cell>
          <cell r="GY59">
            <v>0</v>
          </cell>
          <cell r="HB59">
            <v>0</v>
          </cell>
          <cell r="HE59">
            <v>0</v>
          </cell>
          <cell r="HH59">
            <v>0</v>
          </cell>
          <cell r="HK59">
            <v>0</v>
          </cell>
          <cell r="HN59">
            <v>0</v>
          </cell>
          <cell r="HQ59">
            <v>0</v>
          </cell>
          <cell r="HT59">
            <v>0</v>
          </cell>
          <cell r="HW59">
            <v>0</v>
          </cell>
          <cell r="HZ59">
            <v>0</v>
          </cell>
          <cell r="IC59">
            <v>0</v>
          </cell>
          <cell r="IF59">
            <v>0</v>
          </cell>
        </row>
        <row r="60">
          <cell r="GP60" t="str">
            <v>Auxiliary Boilers</v>
          </cell>
          <cell r="GQ60">
            <v>3000</v>
          </cell>
          <cell r="GR60">
            <v>5000</v>
          </cell>
          <cell r="GS60">
            <v>5000</v>
          </cell>
          <cell r="GT60">
            <v>3000</v>
          </cell>
          <cell r="GV60">
            <v>3000</v>
          </cell>
          <cell r="GW60">
            <v>3000</v>
          </cell>
          <cell r="GY60">
            <v>3000</v>
          </cell>
          <cell r="GZ60">
            <v>3000</v>
          </cell>
          <cell r="HB60">
            <v>3000</v>
          </cell>
          <cell r="HC60">
            <v>3000</v>
          </cell>
          <cell r="HE60">
            <v>3000</v>
          </cell>
          <cell r="HF60">
            <v>3000</v>
          </cell>
          <cell r="HH60">
            <v>3000</v>
          </cell>
          <cell r="HI60">
            <v>3000</v>
          </cell>
          <cell r="HK60">
            <v>3000</v>
          </cell>
          <cell r="HL60">
            <v>3000</v>
          </cell>
          <cell r="HN60">
            <v>3000</v>
          </cell>
          <cell r="HO60">
            <v>3000</v>
          </cell>
          <cell r="HQ60">
            <v>3000</v>
          </cell>
          <cell r="HR60">
            <v>3000</v>
          </cell>
          <cell r="HS60">
            <v>5000</v>
          </cell>
          <cell r="HT60">
            <v>5000</v>
          </cell>
          <cell r="HU60">
            <v>3000</v>
          </cell>
          <cell r="HW60">
            <v>3000</v>
          </cell>
          <cell r="HX60">
            <v>3000</v>
          </cell>
          <cell r="HZ60">
            <v>3000</v>
          </cell>
          <cell r="IA60">
            <v>3000</v>
          </cell>
          <cell r="IC60">
            <v>3000</v>
          </cell>
          <cell r="ID60">
            <v>3000</v>
          </cell>
          <cell r="IF60">
            <v>3000</v>
          </cell>
        </row>
        <row r="61">
          <cell r="GP61" t="str">
            <v>Auxiliary Boiler SCR</v>
          </cell>
          <cell r="GS61">
            <v>0</v>
          </cell>
          <cell r="GV61">
            <v>0</v>
          </cell>
          <cell r="GY61">
            <v>0</v>
          </cell>
          <cell r="HB61">
            <v>0</v>
          </cell>
          <cell r="HE61">
            <v>0</v>
          </cell>
          <cell r="HH61">
            <v>0</v>
          </cell>
          <cell r="HK61">
            <v>0</v>
          </cell>
          <cell r="HN61">
            <v>0</v>
          </cell>
          <cell r="HQ61">
            <v>0</v>
          </cell>
          <cell r="HT61">
            <v>0</v>
          </cell>
          <cell r="HW61">
            <v>0</v>
          </cell>
          <cell r="HZ61">
            <v>0</v>
          </cell>
          <cell r="IC61">
            <v>0</v>
          </cell>
          <cell r="IF61">
            <v>0</v>
          </cell>
        </row>
        <row r="62">
          <cell r="GP62" t="str">
            <v>Auxiliary Boiler Feed Pump</v>
          </cell>
          <cell r="GQ62">
            <v>500</v>
          </cell>
          <cell r="GS62">
            <v>500</v>
          </cell>
          <cell r="GT62">
            <v>500</v>
          </cell>
          <cell r="GV62">
            <v>500</v>
          </cell>
          <cell r="GW62">
            <v>500</v>
          </cell>
          <cell r="GY62">
            <v>500</v>
          </cell>
          <cell r="GZ62">
            <v>500</v>
          </cell>
          <cell r="HB62">
            <v>500</v>
          </cell>
          <cell r="HC62">
            <v>500</v>
          </cell>
          <cell r="HE62">
            <v>500</v>
          </cell>
          <cell r="HF62">
            <v>500</v>
          </cell>
          <cell r="HH62">
            <v>500</v>
          </cell>
          <cell r="HI62">
            <v>500</v>
          </cell>
          <cell r="HK62">
            <v>500</v>
          </cell>
          <cell r="HL62">
            <v>500</v>
          </cell>
          <cell r="HN62">
            <v>500</v>
          </cell>
          <cell r="HO62">
            <v>500</v>
          </cell>
          <cell r="HQ62">
            <v>500</v>
          </cell>
          <cell r="HR62">
            <v>500</v>
          </cell>
          <cell r="HT62">
            <v>500</v>
          </cell>
          <cell r="HU62">
            <v>500</v>
          </cell>
          <cell r="HW62">
            <v>500</v>
          </cell>
          <cell r="HX62">
            <v>500</v>
          </cell>
          <cell r="HZ62">
            <v>500</v>
          </cell>
          <cell r="IA62">
            <v>500</v>
          </cell>
          <cell r="IC62">
            <v>500</v>
          </cell>
          <cell r="ID62">
            <v>500</v>
          </cell>
          <cell r="IF62">
            <v>500</v>
          </cell>
        </row>
        <row r="63">
          <cell r="GP63" t="str">
            <v>Auxiliary Boiler Deaerator</v>
          </cell>
          <cell r="GS63">
            <v>0</v>
          </cell>
          <cell r="GV63">
            <v>0</v>
          </cell>
          <cell r="GY63">
            <v>0</v>
          </cell>
          <cell r="HB63">
            <v>0</v>
          </cell>
          <cell r="HE63">
            <v>0</v>
          </cell>
          <cell r="HH63">
            <v>0</v>
          </cell>
          <cell r="HK63">
            <v>0</v>
          </cell>
          <cell r="HN63">
            <v>0</v>
          </cell>
          <cell r="HQ63">
            <v>0</v>
          </cell>
          <cell r="HT63">
            <v>0</v>
          </cell>
          <cell r="HW63">
            <v>0</v>
          </cell>
          <cell r="HZ63">
            <v>0</v>
          </cell>
          <cell r="IC63">
            <v>0</v>
          </cell>
          <cell r="IF63">
            <v>0</v>
          </cell>
        </row>
        <row r="64">
          <cell r="GP64" t="str">
            <v>Deaerators</v>
          </cell>
          <cell r="GQ64">
            <v>100</v>
          </cell>
          <cell r="GS64">
            <v>100</v>
          </cell>
          <cell r="GT64">
            <v>100</v>
          </cell>
          <cell r="GV64">
            <v>100</v>
          </cell>
          <cell r="GW64">
            <v>100</v>
          </cell>
          <cell r="GY64">
            <v>100</v>
          </cell>
          <cell r="GZ64">
            <v>100</v>
          </cell>
          <cell r="HB64">
            <v>100</v>
          </cell>
          <cell r="HC64">
            <v>100</v>
          </cell>
          <cell r="HE64">
            <v>100</v>
          </cell>
          <cell r="HF64">
            <v>100</v>
          </cell>
          <cell r="HH64">
            <v>100</v>
          </cell>
          <cell r="HI64">
            <v>100</v>
          </cell>
          <cell r="HK64">
            <v>100</v>
          </cell>
          <cell r="HL64">
            <v>100</v>
          </cell>
          <cell r="HN64">
            <v>100</v>
          </cell>
          <cell r="HO64">
            <v>100</v>
          </cell>
          <cell r="HQ64">
            <v>100</v>
          </cell>
          <cell r="HR64">
            <v>100</v>
          </cell>
          <cell r="HT64">
            <v>100</v>
          </cell>
          <cell r="HU64">
            <v>100</v>
          </cell>
          <cell r="HW64">
            <v>100</v>
          </cell>
          <cell r="HX64">
            <v>100</v>
          </cell>
          <cell r="HZ64">
            <v>100</v>
          </cell>
          <cell r="IA64">
            <v>100</v>
          </cell>
          <cell r="IC64">
            <v>100</v>
          </cell>
          <cell r="ID64">
            <v>100</v>
          </cell>
          <cell r="IF64">
            <v>100</v>
          </cell>
        </row>
        <row r="65">
          <cell r="GP65" t="str">
            <v>ST Surface Condensers</v>
          </cell>
          <cell r="GQ65">
            <v>4000</v>
          </cell>
          <cell r="GR65">
            <v>100</v>
          </cell>
          <cell r="GS65">
            <v>100</v>
          </cell>
          <cell r="GT65">
            <v>4000</v>
          </cell>
          <cell r="GV65">
            <v>4000</v>
          </cell>
          <cell r="GW65">
            <v>4000</v>
          </cell>
          <cell r="GY65">
            <v>4000</v>
          </cell>
          <cell r="GZ65">
            <v>4000</v>
          </cell>
          <cell r="HB65">
            <v>4000</v>
          </cell>
          <cell r="HC65">
            <v>4000</v>
          </cell>
          <cell r="HE65">
            <v>4000</v>
          </cell>
          <cell r="HF65">
            <v>4000</v>
          </cell>
          <cell r="HH65">
            <v>4000</v>
          </cell>
          <cell r="HI65">
            <v>4000</v>
          </cell>
          <cell r="HK65">
            <v>4000</v>
          </cell>
          <cell r="HL65">
            <v>4000</v>
          </cell>
          <cell r="HN65">
            <v>4000</v>
          </cell>
          <cell r="HO65">
            <v>4000</v>
          </cell>
          <cell r="HQ65">
            <v>4000</v>
          </cell>
          <cell r="HR65">
            <v>4000</v>
          </cell>
          <cell r="HS65">
            <v>100</v>
          </cell>
          <cell r="HT65">
            <v>100</v>
          </cell>
          <cell r="HU65">
            <v>4000</v>
          </cell>
          <cell r="HW65">
            <v>4000</v>
          </cell>
          <cell r="HX65">
            <v>4000</v>
          </cell>
          <cell r="HZ65">
            <v>4000</v>
          </cell>
          <cell r="IA65">
            <v>4000</v>
          </cell>
          <cell r="IC65">
            <v>4000</v>
          </cell>
          <cell r="ID65">
            <v>4000</v>
          </cell>
          <cell r="IF65">
            <v>4000</v>
          </cell>
        </row>
        <row r="66">
          <cell r="GP66" t="str">
            <v>Titanium Tubes Option</v>
          </cell>
          <cell r="GS66">
            <v>0</v>
          </cell>
          <cell r="GV66">
            <v>0</v>
          </cell>
          <cell r="GY66">
            <v>0</v>
          </cell>
          <cell r="HB66">
            <v>0</v>
          </cell>
          <cell r="HE66">
            <v>0</v>
          </cell>
          <cell r="HH66">
            <v>0</v>
          </cell>
          <cell r="HK66">
            <v>0</v>
          </cell>
          <cell r="HN66">
            <v>0</v>
          </cell>
          <cell r="HQ66">
            <v>0</v>
          </cell>
          <cell r="HT66">
            <v>0</v>
          </cell>
          <cell r="HW66">
            <v>0</v>
          </cell>
          <cell r="HZ66">
            <v>0</v>
          </cell>
          <cell r="IC66">
            <v>0</v>
          </cell>
          <cell r="IF66">
            <v>0</v>
          </cell>
        </row>
        <row r="67">
          <cell r="GP67" t="str">
            <v>Air Removal Skid - Hogger only (Vac. Pumps Incl.w/Condr.)</v>
          </cell>
          <cell r="GQ67">
            <v>100</v>
          </cell>
          <cell r="GS67">
            <v>100</v>
          </cell>
          <cell r="GT67">
            <v>100</v>
          </cell>
          <cell r="GV67">
            <v>100</v>
          </cell>
          <cell r="GW67">
            <v>100</v>
          </cell>
          <cell r="GY67">
            <v>100</v>
          </cell>
          <cell r="GZ67">
            <v>100</v>
          </cell>
          <cell r="HB67">
            <v>100</v>
          </cell>
          <cell r="HC67">
            <v>100</v>
          </cell>
          <cell r="HE67">
            <v>100</v>
          </cell>
          <cell r="HF67">
            <v>100</v>
          </cell>
          <cell r="HH67">
            <v>100</v>
          </cell>
          <cell r="HI67">
            <v>100</v>
          </cell>
          <cell r="HK67">
            <v>100</v>
          </cell>
          <cell r="HL67">
            <v>100</v>
          </cell>
          <cell r="HN67">
            <v>100</v>
          </cell>
          <cell r="HO67">
            <v>100</v>
          </cell>
          <cell r="HQ67">
            <v>100</v>
          </cell>
          <cell r="HR67">
            <v>100</v>
          </cell>
          <cell r="HT67">
            <v>100</v>
          </cell>
          <cell r="HU67">
            <v>100</v>
          </cell>
          <cell r="HW67">
            <v>100</v>
          </cell>
          <cell r="HX67">
            <v>100</v>
          </cell>
          <cell r="HZ67">
            <v>100</v>
          </cell>
          <cell r="IA67">
            <v>100</v>
          </cell>
          <cell r="IC67">
            <v>100</v>
          </cell>
          <cell r="ID67">
            <v>100</v>
          </cell>
          <cell r="IF67">
            <v>100</v>
          </cell>
        </row>
        <row r="68">
          <cell r="GP68" t="str">
            <v>Air Removal Skid - Complete</v>
          </cell>
          <cell r="GQ68">
            <v>100</v>
          </cell>
          <cell r="GS68">
            <v>100</v>
          </cell>
          <cell r="GT68">
            <v>100</v>
          </cell>
          <cell r="GV68">
            <v>100</v>
          </cell>
          <cell r="GW68">
            <v>100</v>
          </cell>
          <cell r="GY68">
            <v>100</v>
          </cell>
          <cell r="GZ68">
            <v>100</v>
          </cell>
          <cell r="HB68">
            <v>100</v>
          </cell>
          <cell r="HC68">
            <v>100</v>
          </cell>
          <cell r="HE68">
            <v>100</v>
          </cell>
          <cell r="HF68">
            <v>100</v>
          </cell>
          <cell r="HH68">
            <v>100</v>
          </cell>
          <cell r="HI68">
            <v>100</v>
          </cell>
          <cell r="HK68">
            <v>100</v>
          </cell>
          <cell r="HL68">
            <v>100</v>
          </cell>
          <cell r="HN68">
            <v>100</v>
          </cell>
          <cell r="HO68">
            <v>100</v>
          </cell>
          <cell r="HQ68">
            <v>100</v>
          </cell>
          <cell r="HR68">
            <v>100</v>
          </cell>
          <cell r="HT68">
            <v>100</v>
          </cell>
          <cell r="HU68">
            <v>100</v>
          </cell>
          <cell r="HW68">
            <v>100</v>
          </cell>
          <cell r="HX68">
            <v>100</v>
          </cell>
          <cell r="HZ68">
            <v>100</v>
          </cell>
          <cell r="IA68">
            <v>100</v>
          </cell>
          <cell r="IC68">
            <v>100</v>
          </cell>
          <cell r="ID68">
            <v>100</v>
          </cell>
          <cell r="IF68">
            <v>100</v>
          </cell>
        </row>
        <row r="69">
          <cell r="GP69" t="str">
            <v>Air Cooled Condenser</v>
          </cell>
          <cell r="GQ69">
            <v>150000</v>
          </cell>
          <cell r="GS69">
            <v>150000</v>
          </cell>
          <cell r="GT69">
            <v>150000</v>
          </cell>
          <cell r="GV69">
            <v>150000</v>
          </cell>
          <cell r="GW69">
            <v>150000</v>
          </cell>
          <cell r="GY69">
            <v>150000</v>
          </cell>
          <cell r="GZ69">
            <v>150000</v>
          </cell>
          <cell r="HB69">
            <v>150000</v>
          </cell>
          <cell r="HC69">
            <v>150000</v>
          </cell>
          <cell r="HE69">
            <v>150000</v>
          </cell>
          <cell r="HF69">
            <v>150000</v>
          </cell>
          <cell r="HH69">
            <v>150000</v>
          </cell>
          <cell r="HI69">
            <v>150000</v>
          </cell>
          <cell r="HK69">
            <v>150000</v>
          </cell>
          <cell r="HL69">
            <v>150000</v>
          </cell>
          <cell r="HN69">
            <v>150000</v>
          </cell>
          <cell r="HO69">
            <v>150000</v>
          </cell>
          <cell r="HQ69">
            <v>150000</v>
          </cell>
          <cell r="HR69">
            <v>150000</v>
          </cell>
          <cell r="HT69">
            <v>150000</v>
          </cell>
          <cell r="HU69">
            <v>150000</v>
          </cell>
          <cell r="HW69">
            <v>150000</v>
          </cell>
          <cell r="HX69">
            <v>150000</v>
          </cell>
          <cell r="HZ69">
            <v>150000</v>
          </cell>
          <cell r="IA69">
            <v>150000</v>
          </cell>
          <cell r="IC69">
            <v>150000</v>
          </cell>
          <cell r="ID69">
            <v>150000</v>
          </cell>
          <cell r="IF69">
            <v>150000</v>
          </cell>
        </row>
        <row r="70">
          <cell r="GP70" t="str">
            <v>Cooling Tower</v>
          </cell>
          <cell r="GS70">
            <v>0</v>
          </cell>
          <cell r="GV70">
            <v>0</v>
          </cell>
          <cell r="GY70">
            <v>0</v>
          </cell>
          <cell r="HB70">
            <v>0</v>
          </cell>
          <cell r="HE70">
            <v>0</v>
          </cell>
          <cell r="HH70">
            <v>0</v>
          </cell>
          <cell r="HK70">
            <v>0</v>
          </cell>
          <cell r="HN70">
            <v>0</v>
          </cell>
          <cell r="HQ70">
            <v>0</v>
          </cell>
          <cell r="HT70">
            <v>0</v>
          </cell>
          <cell r="HW70">
            <v>0</v>
          </cell>
          <cell r="HZ70">
            <v>0</v>
          </cell>
          <cell r="IC70">
            <v>0</v>
          </cell>
          <cell r="IF70">
            <v>0</v>
          </cell>
        </row>
        <row r="71">
          <cell r="GP71" t="str">
            <v>Noise Attenuation Option</v>
          </cell>
          <cell r="GS71">
            <v>0</v>
          </cell>
          <cell r="GV71">
            <v>0</v>
          </cell>
          <cell r="GY71">
            <v>0</v>
          </cell>
          <cell r="HB71">
            <v>0</v>
          </cell>
          <cell r="HE71">
            <v>0</v>
          </cell>
          <cell r="HH71">
            <v>0</v>
          </cell>
          <cell r="HK71">
            <v>0</v>
          </cell>
          <cell r="HN71">
            <v>0</v>
          </cell>
          <cell r="HQ71">
            <v>0</v>
          </cell>
          <cell r="HT71">
            <v>0</v>
          </cell>
          <cell r="HW71">
            <v>0</v>
          </cell>
          <cell r="HZ71">
            <v>0</v>
          </cell>
          <cell r="IC71">
            <v>0</v>
          </cell>
          <cell r="IF71">
            <v>0</v>
          </cell>
        </row>
        <row r="72">
          <cell r="GP72" t="str">
            <v>Plume Abatement Option</v>
          </cell>
          <cell r="GS72">
            <v>0</v>
          </cell>
          <cell r="GV72">
            <v>0</v>
          </cell>
          <cell r="GY72">
            <v>0</v>
          </cell>
          <cell r="HB72">
            <v>0</v>
          </cell>
          <cell r="HE72">
            <v>0</v>
          </cell>
          <cell r="HH72">
            <v>0</v>
          </cell>
          <cell r="HK72">
            <v>0</v>
          </cell>
          <cell r="HN72">
            <v>0</v>
          </cell>
          <cell r="HQ72">
            <v>0</v>
          </cell>
          <cell r="HT72">
            <v>0</v>
          </cell>
          <cell r="HW72">
            <v>0</v>
          </cell>
          <cell r="HZ72">
            <v>0</v>
          </cell>
          <cell r="IC72">
            <v>0</v>
          </cell>
          <cell r="IF72">
            <v>0</v>
          </cell>
        </row>
        <row r="73">
          <cell r="GP73" t="str">
            <v>SS Pump Intake Screens</v>
          </cell>
          <cell r="GQ73">
            <v>200</v>
          </cell>
          <cell r="GS73">
            <v>200</v>
          </cell>
          <cell r="GV73">
            <v>0</v>
          </cell>
          <cell r="GY73">
            <v>0</v>
          </cell>
          <cell r="HB73">
            <v>0</v>
          </cell>
          <cell r="HE73">
            <v>0</v>
          </cell>
          <cell r="HH73">
            <v>0</v>
          </cell>
          <cell r="HK73">
            <v>0</v>
          </cell>
          <cell r="HN73">
            <v>0</v>
          </cell>
          <cell r="HQ73">
            <v>0</v>
          </cell>
          <cell r="HR73">
            <v>200</v>
          </cell>
          <cell r="HT73">
            <v>200</v>
          </cell>
          <cell r="HW73">
            <v>0</v>
          </cell>
          <cell r="HZ73">
            <v>0</v>
          </cell>
          <cell r="IC73">
            <v>0</v>
          </cell>
          <cell r="IF73">
            <v>0</v>
          </cell>
        </row>
        <row r="74">
          <cell r="GP74" t="str">
            <v>Travelling Screens</v>
          </cell>
          <cell r="GS74">
            <v>0</v>
          </cell>
          <cell r="GV74">
            <v>0</v>
          </cell>
          <cell r="GY74">
            <v>0</v>
          </cell>
          <cell r="HB74">
            <v>0</v>
          </cell>
          <cell r="HE74">
            <v>0</v>
          </cell>
          <cell r="HH74">
            <v>0</v>
          </cell>
          <cell r="HK74">
            <v>0</v>
          </cell>
          <cell r="HN74">
            <v>0</v>
          </cell>
          <cell r="HQ74">
            <v>0</v>
          </cell>
          <cell r="HT74">
            <v>0</v>
          </cell>
          <cell r="HW74">
            <v>0</v>
          </cell>
          <cell r="HZ74">
            <v>0</v>
          </cell>
          <cell r="IC74">
            <v>0</v>
          </cell>
          <cell r="IF74">
            <v>0</v>
          </cell>
        </row>
        <row r="75">
          <cell r="GP75" t="str">
            <v>Screen Wash Pump</v>
          </cell>
          <cell r="GS75">
            <v>0</v>
          </cell>
          <cell r="GV75">
            <v>0</v>
          </cell>
          <cell r="GY75">
            <v>0</v>
          </cell>
          <cell r="HB75">
            <v>0</v>
          </cell>
          <cell r="HE75">
            <v>0</v>
          </cell>
          <cell r="HH75">
            <v>0</v>
          </cell>
          <cell r="HK75">
            <v>0</v>
          </cell>
          <cell r="HN75">
            <v>0</v>
          </cell>
          <cell r="HQ75">
            <v>0</v>
          </cell>
          <cell r="HT75">
            <v>0</v>
          </cell>
          <cell r="HW75">
            <v>0</v>
          </cell>
          <cell r="HZ75">
            <v>0</v>
          </cell>
          <cell r="IC75">
            <v>0</v>
          </cell>
          <cell r="IF75">
            <v>0</v>
          </cell>
        </row>
        <row r="76">
          <cell r="GP76" t="str">
            <v>Plant Aux Cooling WSAC</v>
          </cell>
          <cell r="GQ76">
            <v>3600</v>
          </cell>
          <cell r="GS76">
            <v>3600</v>
          </cell>
          <cell r="GV76">
            <v>0</v>
          </cell>
          <cell r="GY76">
            <v>0</v>
          </cell>
          <cell r="HB76">
            <v>0</v>
          </cell>
          <cell r="HE76">
            <v>0</v>
          </cell>
          <cell r="HH76">
            <v>0</v>
          </cell>
          <cell r="HK76">
            <v>0</v>
          </cell>
          <cell r="HN76">
            <v>0</v>
          </cell>
          <cell r="HQ76">
            <v>0</v>
          </cell>
          <cell r="HR76">
            <v>3600</v>
          </cell>
          <cell r="HT76">
            <v>3600</v>
          </cell>
          <cell r="HW76">
            <v>0</v>
          </cell>
          <cell r="HZ76">
            <v>0</v>
          </cell>
          <cell r="IC76">
            <v>0</v>
          </cell>
          <cell r="IF76">
            <v>0</v>
          </cell>
        </row>
        <row r="77">
          <cell r="GP77" t="str">
            <v>GTG Aux Cooling WSAC</v>
          </cell>
          <cell r="GQ77">
            <v>3600</v>
          </cell>
          <cell r="GS77">
            <v>3600</v>
          </cell>
          <cell r="GV77">
            <v>0</v>
          </cell>
          <cell r="GY77">
            <v>0</v>
          </cell>
          <cell r="HB77">
            <v>0</v>
          </cell>
          <cell r="HE77">
            <v>0</v>
          </cell>
          <cell r="HH77">
            <v>0</v>
          </cell>
          <cell r="HK77">
            <v>0</v>
          </cell>
          <cell r="HN77">
            <v>0</v>
          </cell>
          <cell r="HQ77">
            <v>0</v>
          </cell>
          <cell r="HR77">
            <v>3600</v>
          </cell>
          <cell r="HT77">
            <v>3600</v>
          </cell>
          <cell r="HW77">
            <v>0</v>
          </cell>
          <cell r="HZ77">
            <v>0</v>
          </cell>
          <cell r="IC77">
            <v>0</v>
          </cell>
          <cell r="IF77">
            <v>0</v>
          </cell>
        </row>
        <row r="78">
          <cell r="GP78" t="str">
            <v>BOP Aux Fin Fan Coolers</v>
          </cell>
          <cell r="GQ78">
            <v>5200</v>
          </cell>
          <cell r="GS78">
            <v>5200</v>
          </cell>
          <cell r="GV78">
            <v>0</v>
          </cell>
          <cell r="GY78">
            <v>0</v>
          </cell>
          <cell r="HB78">
            <v>0</v>
          </cell>
          <cell r="HE78">
            <v>0</v>
          </cell>
          <cell r="HH78">
            <v>0</v>
          </cell>
          <cell r="HK78">
            <v>0</v>
          </cell>
          <cell r="HN78">
            <v>0</v>
          </cell>
          <cell r="HQ78">
            <v>0</v>
          </cell>
          <cell r="HR78">
            <v>5200</v>
          </cell>
          <cell r="HT78">
            <v>5200</v>
          </cell>
          <cell r="HW78">
            <v>0</v>
          </cell>
          <cell r="HZ78">
            <v>0</v>
          </cell>
          <cell r="IC78">
            <v>0</v>
          </cell>
          <cell r="IF78">
            <v>0</v>
          </cell>
        </row>
        <row r="79">
          <cell r="GP79" t="str">
            <v>GTG Aux Fin Fan Coolers</v>
          </cell>
          <cell r="GQ79">
            <v>5200</v>
          </cell>
          <cell r="GS79">
            <v>5200</v>
          </cell>
          <cell r="GV79">
            <v>0</v>
          </cell>
          <cell r="GY79">
            <v>0</v>
          </cell>
          <cell r="HB79">
            <v>0</v>
          </cell>
          <cell r="HE79">
            <v>0</v>
          </cell>
          <cell r="HH79">
            <v>0</v>
          </cell>
          <cell r="HK79">
            <v>0</v>
          </cell>
          <cell r="HN79">
            <v>0</v>
          </cell>
          <cell r="HQ79">
            <v>0</v>
          </cell>
          <cell r="HR79">
            <v>5200</v>
          </cell>
          <cell r="HT79">
            <v>5200</v>
          </cell>
          <cell r="HW79">
            <v>0</v>
          </cell>
          <cell r="HZ79">
            <v>0</v>
          </cell>
          <cell r="IC79">
            <v>0</v>
          </cell>
          <cell r="IF79">
            <v>0</v>
          </cell>
        </row>
        <row r="80">
          <cell r="GP80" t="str">
            <v>Fin-Tube to Air (LMS100)</v>
          </cell>
          <cell r="GS80">
            <v>0</v>
          </cell>
          <cell r="GV80">
            <v>0</v>
          </cell>
          <cell r="GY80">
            <v>0</v>
          </cell>
          <cell r="HB80">
            <v>0</v>
          </cell>
          <cell r="HE80">
            <v>0</v>
          </cell>
          <cell r="HH80">
            <v>0</v>
          </cell>
          <cell r="HK80">
            <v>0</v>
          </cell>
          <cell r="HN80">
            <v>0</v>
          </cell>
          <cell r="HQ80">
            <v>0</v>
          </cell>
          <cell r="HT80">
            <v>0</v>
          </cell>
          <cell r="HW80">
            <v>0</v>
          </cell>
          <cell r="HZ80">
            <v>0</v>
          </cell>
          <cell r="IC80">
            <v>0</v>
          </cell>
          <cell r="IF80">
            <v>0</v>
          </cell>
        </row>
        <row r="81">
          <cell r="GP81" t="str">
            <v>CCW Plate and Frame HX</v>
          </cell>
          <cell r="GQ81">
            <v>0</v>
          </cell>
          <cell r="GS81">
            <v>0</v>
          </cell>
          <cell r="GT81">
            <v>0</v>
          </cell>
          <cell r="GV81">
            <v>0</v>
          </cell>
          <cell r="GW81">
            <v>0</v>
          </cell>
          <cell r="GY81">
            <v>0</v>
          </cell>
          <cell r="GZ81">
            <v>0</v>
          </cell>
          <cell r="HB81">
            <v>0</v>
          </cell>
          <cell r="HC81">
            <v>0</v>
          </cell>
          <cell r="HE81">
            <v>0</v>
          </cell>
          <cell r="HF81">
            <v>0</v>
          </cell>
          <cell r="HH81">
            <v>0</v>
          </cell>
          <cell r="HI81">
            <v>0</v>
          </cell>
          <cell r="HK81">
            <v>0</v>
          </cell>
          <cell r="HL81">
            <v>0</v>
          </cell>
          <cell r="HN81">
            <v>0</v>
          </cell>
          <cell r="HO81">
            <v>0</v>
          </cell>
          <cell r="HQ81">
            <v>0</v>
          </cell>
          <cell r="HR81">
            <v>0</v>
          </cell>
          <cell r="HT81">
            <v>0</v>
          </cell>
          <cell r="HU81">
            <v>0</v>
          </cell>
          <cell r="HW81">
            <v>0</v>
          </cell>
          <cell r="HX81">
            <v>0</v>
          </cell>
          <cell r="HZ81">
            <v>0</v>
          </cell>
          <cell r="IA81">
            <v>0</v>
          </cell>
          <cell r="IC81">
            <v>0</v>
          </cell>
          <cell r="ID81">
            <v>0</v>
          </cell>
          <cell r="IF81">
            <v>0</v>
          </cell>
        </row>
        <row r="82">
          <cell r="GP82" t="str">
            <v>CCW Shell and Tube HX</v>
          </cell>
          <cell r="GQ82">
            <v>300</v>
          </cell>
          <cell r="GS82">
            <v>300</v>
          </cell>
          <cell r="GV82">
            <v>0</v>
          </cell>
          <cell r="GY82">
            <v>0</v>
          </cell>
          <cell r="HB82">
            <v>0</v>
          </cell>
          <cell r="HE82">
            <v>0</v>
          </cell>
          <cell r="HH82">
            <v>0</v>
          </cell>
          <cell r="HK82">
            <v>0</v>
          </cell>
          <cell r="HN82">
            <v>0</v>
          </cell>
          <cell r="HQ82">
            <v>0</v>
          </cell>
          <cell r="HR82">
            <v>300</v>
          </cell>
          <cell r="HT82">
            <v>300</v>
          </cell>
          <cell r="HW82">
            <v>0</v>
          </cell>
          <cell r="HZ82">
            <v>0</v>
          </cell>
          <cell r="IC82">
            <v>0</v>
          </cell>
          <cell r="IF82">
            <v>0</v>
          </cell>
        </row>
        <row r="83">
          <cell r="GP83" t="str">
            <v>HP/IP HRSG Boiler Feed Pump (Ring-Section)</v>
          </cell>
          <cell r="GQ83">
            <v>0</v>
          </cell>
          <cell r="GS83">
            <v>0</v>
          </cell>
          <cell r="GT83">
            <v>0</v>
          </cell>
          <cell r="GV83">
            <v>0</v>
          </cell>
          <cell r="GW83">
            <v>0</v>
          </cell>
          <cell r="GY83">
            <v>0</v>
          </cell>
          <cell r="GZ83">
            <v>0</v>
          </cell>
          <cell r="HB83">
            <v>0</v>
          </cell>
          <cell r="HC83">
            <v>0</v>
          </cell>
          <cell r="HE83">
            <v>0</v>
          </cell>
          <cell r="HF83">
            <v>0</v>
          </cell>
          <cell r="HH83">
            <v>0</v>
          </cell>
          <cell r="HI83">
            <v>0</v>
          </cell>
          <cell r="HK83">
            <v>0</v>
          </cell>
          <cell r="HL83">
            <v>0</v>
          </cell>
          <cell r="HN83">
            <v>0</v>
          </cell>
          <cell r="HO83">
            <v>0</v>
          </cell>
          <cell r="HQ83">
            <v>0</v>
          </cell>
          <cell r="HR83">
            <v>0</v>
          </cell>
          <cell r="HT83">
            <v>0</v>
          </cell>
          <cell r="HU83">
            <v>0</v>
          </cell>
          <cell r="HW83">
            <v>0</v>
          </cell>
          <cell r="HX83">
            <v>0</v>
          </cell>
          <cell r="HZ83">
            <v>0</v>
          </cell>
          <cell r="IA83">
            <v>0</v>
          </cell>
          <cell r="IC83">
            <v>0</v>
          </cell>
          <cell r="ID83">
            <v>0</v>
          </cell>
          <cell r="IF83">
            <v>0</v>
          </cell>
        </row>
        <row r="84">
          <cell r="GP84" t="str">
            <v>HP/IP HRSG Boiler Feed Pump (Horizontally Split)</v>
          </cell>
          <cell r="GQ84">
            <v>0</v>
          </cell>
          <cell r="GS84">
            <v>0</v>
          </cell>
          <cell r="GT84">
            <v>0</v>
          </cell>
          <cell r="GV84">
            <v>0</v>
          </cell>
          <cell r="GW84">
            <v>0</v>
          </cell>
          <cell r="GY84">
            <v>0</v>
          </cell>
          <cell r="GZ84">
            <v>0</v>
          </cell>
          <cell r="HB84">
            <v>0</v>
          </cell>
          <cell r="HC84">
            <v>0</v>
          </cell>
          <cell r="HE84">
            <v>0</v>
          </cell>
          <cell r="HF84">
            <v>0</v>
          </cell>
          <cell r="HH84">
            <v>0</v>
          </cell>
          <cell r="HI84">
            <v>0</v>
          </cell>
          <cell r="HK84">
            <v>0</v>
          </cell>
          <cell r="HL84">
            <v>0</v>
          </cell>
          <cell r="HN84">
            <v>0</v>
          </cell>
          <cell r="HO84">
            <v>0</v>
          </cell>
          <cell r="HQ84">
            <v>0</v>
          </cell>
          <cell r="HR84">
            <v>0</v>
          </cell>
          <cell r="HT84">
            <v>0</v>
          </cell>
          <cell r="HU84">
            <v>0</v>
          </cell>
          <cell r="HW84">
            <v>0</v>
          </cell>
          <cell r="HX84">
            <v>0</v>
          </cell>
          <cell r="HZ84">
            <v>0</v>
          </cell>
          <cell r="IA84">
            <v>0</v>
          </cell>
          <cell r="IC84">
            <v>0</v>
          </cell>
          <cell r="ID84">
            <v>0</v>
          </cell>
          <cell r="IF84">
            <v>0</v>
          </cell>
        </row>
        <row r="85">
          <cell r="GP85" t="str">
            <v>Circulating/Cooling Water Pump</v>
          </cell>
          <cell r="GQ85">
            <v>0</v>
          </cell>
          <cell r="GS85">
            <v>0</v>
          </cell>
          <cell r="GT85">
            <v>0</v>
          </cell>
          <cell r="GV85">
            <v>0</v>
          </cell>
          <cell r="GW85">
            <v>0</v>
          </cell>
          <cell r="GY85">
            <v>0</v>
          </cell>
          <cell r="GZ85">
            <v>0</v>
          </cell>
          <cell r="HB85">
            <v>0</v>
          </cell>
          <cell r="HC85">
            <v>0</v>
          </cell>
          <cell r="HE85">
            <v>0</v>
          </cell>
          <cell r="HF85">
            <v>0</v>
          </cell>
          <cell r="HH85">
            <v>0</v>
          </cell>
          <cell r="HI85">
            <v>0</v>
          </cell>
          <cell r="HK85">
            <v>0</v>
          </cell>
          <cell r="HL85">
            <v>0</v>
          </cell>
          <cell r="HN85">
            <v>0</v>
          </cell>
          <cell r="HO85">
            <v>0</v>
          </cell>
          <cell r="HQ85">
            <v>0</v>
          </cell>
          <cell r="HR85">
            <v>0</v>
          </cell>
          <cell r="HT85">
            <v>0</v>
          </cell>
          <cell r="HU85">
            <v>0</v>
          </cell>
          <cell r="HW85">
            <v>0</v>
          </cell>
          <cell r="HX85">
            <v>0</v>
          </cell>
          <cell r="HZ85">
            <v>0</v>
          </cell>
          <cell r="IA85">
            <v>0</v>
          </cell>
          <cell r="IC85">
            <v>0</v>
          </cell>
          <cell r="ID85">
            <v>0</v>
          </cell>
          <cell r="IF85">
            <v>0</v>
          </cell>
        </row>
        <row r="86">
          <cell r="GP86" t="str">
            <v>Auxiliary Cooling Water Pump</v>
          </cell>
          <cell r="GQ86">
            <v>0</v>
          </cell>
          <cell r="GS86">
            <v>0</v>
          </cell>
          <cell r="GT86">
            <v>0</v>
          </cell>
          <cell r="GV86">
            <v>0</v>
          </cell>
          <cell r="GW86">
            <v>0</v>
          </cell>
          <cell r="GY86">
            <v>0</v>
          </cell>
          <cell r="GZ86">
            <v>0</v>
          </cell>
          <cell r="HB86">
            <v>0</v>
          </cell>
          <cell r="HC86">
            <v>0</v>
          </cell>
          <cell r="HE86">
            <v>0</v>
          </cell>
          <cell r="HF86">
            <v>0</v>
          </cell>
          <cell r="HH86">
            <v>0</v>
          </cell>
          <cell r="HI86">
            <v>0</v>
          </cell>
          <cell r="HK86">
            <v>0</v>
          </cell>
          <cell r="HL86">
            <v>0</v>
          </cell>
          <cell r="HN86">
            <v>0</v>
          </cell>
          <cell r="HO86">
            <v>0</v>
          </cell>
          <cell r="HQ86">
            <v>0</v>
          </cell>
          <cell r="HR86">
            <v>0</v>
          </cell>
          <cell r="HT86">
            <v>0</v>
          </cell>
          <cell r="HU86">
            <v>0</v>
          </cell>
          <cell r="HW86">
            <v>0</v>
          </cell>
          <cell r="HX86">
            <v>0</v>
          </cell>
          <cell r="HZ86">
            <v>0</v>
          </cell>
          <cell r="IA86">
            <v>0</v>
          </cell>
          <cell r="IC86">
            <v>0</v>
          </cell>
          <cell r="ID86">
            <v>0</v>
          </cell>
          <cell r="IF86">
            <v>0</v>
          </cell>
        </row>
        <row r="87">
          <cell r="GP87" t="str">
            <v>Condensate Hotwell Pump</v>
          </cell>
          <cell r="GQ87">
            <v>0</v>
          </cell>
          <cell r="GS87">
            <v>0</v>
          </cell>
          <cell r="GT87">
            <v>0</v>
          </cell>
          <cell r="GV87">
            <v>0</v>
          </cell>
          <cell r="GW87">
            <v>0</v>
          </cell>
          <cell r="GY87">
            <v>0</v>
          </cell>
          <cell r="GZ87">
            <v>0</v>
          </cell>
          <cell r="HB87">
            <v>0</v>
          </cell>
          <cell r="HC87">
            <v>0</v>
          </cell>
          <cell r="HE87">
            <v>0</v>
          </cell>
          <cell r="HF87">
            <v>0</v>
          </cell>
          <cell r="HH87">
            <v>0</v>
          </cell>
          <cell r="HI87">
            <v>0</v>
          </cell>
          <cell r="HK87">
            <v>0</v>
          </cell>
          <cell r="HL87">
            <v>0</v>
          </cell>
          <cell r="HN87">
            <v>0</v>
          </cell>
          <cell r="HO87">
            <v>0</v>
          </cell>
          <cell r="HQ87">
            <v>0</v>
          </cell>
          <cell r="HR87">
            <v>0</v>
          </cell>
          <cell r="HT87">
            <v>0</v>
          </cell>
          <cell r="HU87">
            <v>0</v>
          </cell>
          <cell r="HW87">
            <v>0</v>
          </cell>
          <cell r="HX87">
            <v>0</v>
          </cell>
          <cell r="HZ87">
            <v>0</v>
          </cell>
          <cell r="IA87">
            <v>0</v>
          </cell>
          <cell r="IC87">
            <v>0</v>
          </cell>
          <cell r="ID87">
            <v>0</v>
          </cell>
          <cell r="IF87">
            <v>0</v>
          </cell>
        </row>
        <row r="88">
          <cell r="GP88" t="str">
            <v>Demin Water Forwarding Pump</v>
          </cell>
          <cell r="GQ88">
            <v>0</v>
          </cell>
          <cell r="GS88">
            <v>0</v>
          </cell>
          <cell r="GT88">
            <v>0</v>
          </cell>
          <cell r="GV88">
            <v>0</v>
          </cell>
          <cell r="GW88">
            <v>0</v>
          </cell>
          <cell r="GY88">
            <v>0</v>
          </cell>
          <cell r="GZ88">
            <v>0</v>
          </cell>
          <cell r="HB88">
            <v>0</v>
          </cell>
          <cell r="HC88">
            <v>0</v>
          </cell>
          <cell r="HE88">
            <v>0</v>
          </cell>
          <cell r="HF88">
            <v>0</v>
          </cell>
          <cell r="HH88">
            <v>0</v>
          </cell>
          <cell r="HI88">
            <v>0</v>
          </cell>
          <cell r="HK88">
            <v>0</v>
          </cell>
          <cell r="HL88">
            <v>0</v>
          </cell>
          <cell r="HN88">
            <v>0</v>
          </cell>
          <cell r="HO88">
            <v>0</v>
          </cell>
          <cell r="HQ88">
            <v>0</v>
          </cell>
          <cell r="HR88">
            <v>0</v>
          </cell>
          <cell r="HT88">
            <v>0</v>
          </cell>
          <cell r="HU88">
            <v>0</v>
          </cell>
          <cell r="HW88">
            <v>0</v>
          </cell>
          <cell r="HX88">
            <v>0</v>
          </cell>
          <cell r="HZ88">
            <v>0</v>
          </cell>
          <cell r="IA88">
            <v>0</v>
          </cell>
          <cell r="IC88">
            <v>0</v>
          </cell>
          <cell r="ID88">
            <v>0</v>
          </cell>
          <cell r="IF88">
            <v>0</v>
          </cell>
        </row>
        <row r="89">
          <cell r="GP89" t="str">
            <v>NOx Injection Pumps</v>
          </cell>
          <cell r="GQ89">
            <v>100</v>
          </cell>
          <cell r="GS89">
            <v>100</v>
          </cell>
          <cell r="GT89">
            <v>100</v>
          </cell>
          <cell r="GV89">
            <v>100</v>
          </cell>
          <cell r="GW89">
            <v>100</v>
          </cell>
          <cell r="GY89">
            <v>100</v>
          </cell>
          <cell r="GZ89">
            <v>100</v>
          </cell>
          <cell r="HB89">
            <v>100</v>
          </cell>
          <cell r="HC89">
            <v>100</v>
          </cell>
          <cell r="HE89">
            <v>100</v>
          </cell>
          <cell r="HF89">
            <v>100</v>
          </cell>
          <cell r="HH89">
            <v>100</v>
          </cell>
          <cell r="HI89">
            <v>100</v>
          </cell>
          <cell r="HK89">
            <v>100</v>
          </cell>
          <cell r="HL89">
            <v>100</v>
          </cell>
          <cell r="HN89">
            <v>100</v>
          </cell>
          <cell r="HO89">
            <v>100</v>
          </cell>
          <cell r="HQ89">
            <v>100</v>
          </cell>
          <cell r="HR89">
            <v>100</v>
          </cell>
          <cell r="HT89">
            <v>100</v>
          </cell>
          <cell r="HU89">
            <v>100</v>
          </cell>
          <cell r="HW89">
            <v>100</v>
          </cell>
          <cell r="HX89">
            <v>100</v>
          </cell>
          <cell r="HZ89">
            <v>100</v>
          </cell>
          <cell r="IA89">
            <v>100</v>
          </cell>
          <cell r="IC89">
            <v>100</v>
          </cell>
          <cell r="ID89">
            <v>100</v>
          </cell>
          <cell r="IF89">
            <v>100</v>
          </cell>
        </row>
        <row r="90">
          <cell r="GP90" t="str">
            <v>LP Economizer Recirc Pump</v>
          </cell>
          <cell r="GS90">
            <v>0</v>
          </cell>
          <cell r="GV90">
            <v>0</v>
          </cell>
          <cell r="GY90">
            <v>0</v>
          </cell>
          <cell r="HB90">
            <v>0</v>
          </cell>
          <cell r="HE90">
            <v>0</v>
          </cell>
          <cell r="HH90">
            <v>0</v>
          </cell>
          <cell r="HK90">
            <v>0</v>
          </cell>
          <cell r="HN90">
            <v>0</v>
          </cell>
          <cell r="HQ90">
            <v>0</v>
          </cell>
          <cell r="HT90">
            <v>0</v>
          </cell>
          <cell r="HW90">
            <v>0</v>
          </cell>
          <cell r="HZ90">
            <v>0</v>
          </cell>
          <cell r="IC90">
            <v>0</v>
          </cell>
          <cell r="IF90">
            <v>0</v>
          </cell>
        </row>
        <row r="91">
          <cell r="GP91" t="str">
            <v>Misc. Alloy Pump 1</v>
          </cell>
          <cell r="GQ91">
            <v>0</v>
          </cell>
          <cell r="GS91">
            <v>0</v>
          </cell>
          <cell r="GT91">
            <v>0</v>
          </cell>
          <cell r="GV91">
            <v>0</v>
          </cell>
          <cell r="GW91">
            <v>0</v>
          </cell>
          <cell r="GY91">
            <v>0</v>
          </cell>
          <cell r="GZ91">
            <v>0</v>
          </cell>
          <cell r="HB91">
            <v>0</v>
          </cell>
          <cell r="HC91">
            <v>0</v>
          </cell>
          <cell r="HE91">
            <v>0</v>
          </cell>
          <cell r="HF91">
            <v>0</v>
          </cell>
          <cell r="HH91">
            <v>0</v>
          </cell>
          <cell r="HI91">
            <v>0</v>
          </cell>
          <cell r="HK91">
            <v>0</v>
          </cell>
          <cell r="HL91">
            <v>0</v>
          </cell>
          <cell r="HN91">
            <v>0</v>
          </cell>
          <cell r="HO91">
            <v>0</v>
          </cell>
          <cell r="HQ91">
            <v>0</v>
          </cell>
          <cell r="HR91">
            <v>0</v>
          </cell>
          <cell r="HT91">
            <v>0</v>
          </cell>
          <cell r="HU91">
            <v>0</v>
          </cell>
          <cell r="HW91">
            <v>0</v>
          </cell>
          <cell r="HX91">
            <v>0</v>
          </cell>
          <cell r="HZ91">
            <v>0</v>
          </cell>
          <cell r="IA91">
            <v>0</v>
          </cell>
          <cell r="IC91">
            <v>0</v>
          </cell>
          <cell r="ID91">
            <v>0</v>
          </cell>
          <cell r="IF91">
            <v>0</v>
          </cell>
        </row>
        <row r="92">
          <cell r="GP92" t="str">
            <v>Misc. Alloy Pump 2</v>
          </cell>
          <cell r="GQ92">
            <v>0</v>
          </cell>
          <cell r="GS92">
            <v>0</v>
          </cell>
          <cell r="GT92">
            <v>0</v>
          </cell>
          <cell r="GV92">
            <v>0</v>
          </cell>
          <cell r="GW92">
            <v>0</v>
          </cell>
          <cell r="GY92">
            <v>0</v>
          </cell>
          <cell r="GZ92">
            <v>0</v>
          </cell>
          <cell r="HB92">
            <v>0</v>
          </cell>
          <cell r="HC92">
            <v>0</v>
          </cell>
          <cell r="HE92">
            <v>0</v>
          </cell>
          <cell r="HF92">
            <v>0</v>
          </cell>
          <cell r="HH92">
            <v>0</v>
          </cell>
          <cell r="HI92">
            <v>0</v>
          </cell>
          <cell r="HK92">
            <v>0</v>
          </cell>
          <cell r="HL92">
            <v>0</v>
          </cell>
          <cell r="HN92">
            <v>0</v>
          </cell>
          <cell r="HO92">
            <v>0</v>
          </cell>
          <cell r="HQ92">
            <v>0</v>
          </cell>
          <cell r="HR92">
            <v>0</v>
          </cell>
          <cell r="HT92">
            <v>0</v>
          </cell>
          <cell r="HU92">
            <v>0</v>
          </cell>
          <cell r="HW92">
            <v>0</v>
          </cell>
          <cell r="HX92">
            <v>0</v>
          </cell>
          <cell r="HZ92">
            <v>0</v>
          </cell>
          <cell r="IA92">
            <v>0</v>
          </cell>
          <cell r="IC92">
            <v>0</v>
          </cell>
          <cell r="ID92">
            <v>0</v>
          </cell>
          <cell r="IF92">
            <v>0</v>
          </cell>
        </row>
        <row r="93">
          <cell r="GP93" t="str">
            <v>Misc. Alloy Pump 3</v>
          </cell>
          <cell r="GQ93">
            <v>0</v>
          </cell>
          <cell r="GS93">
            <v>0</v>
          </cell>
          <cell r="GT93">
            <v>0</v>
          </cell>
          <cell r="GV93">
            <v>0</v>
          </cell>
          <cell r="GW93">
            <v>0</v>
          </cell>
          <cell r="GY93">
            <v>0</v>
          </cell>
          <cell r="GZ93">
            <v>0</v>
          </cell>
          <cell r="HB93">
            <v>0</v>
          </cell>
          <cell r="HC93">
            <v>0</v>
          </cell>
          <cell r="HE93">
            <v>0</v>
          </cell>
          <cell r="HF93">
            <v>0</v>
          </cell>
          <cell r="HH93">
            <v>0</v>
          </cell>
          <cell r="HI93">
            <v>0</v>
          </cell>
          <cell r="HK93">
            <v>0</v>
          </cell>
          <cell r="HL93">
            <v>0</v>
          </cell>
          <cell r="HN93">
            <v>0</v>
          </cell>
          <cell r="HO93">
            <v>0</v>
          </cell>
          <cell r="HQ93">
            <v>0</v>
          </cell>
          <cell r="HR93">
            <v>0</v>
          </cell>
          <cell r="HT93">
            <v>0</v>
          </cell>
          <cell r="HU93">
            <v>0</v>
          </cell>
          <cell r="HW93">
            <v>0</v>
          </cell>
          <cell r="HX93">
            <v>0</v>
          </cell>
          <cell r="HZ93">
            <v>0</v>
          </cell>
          <cell r="IA93">
            <v>0</v>
          </cell>
          <cell r="IC93">
            <v>0</v>
          </cell>
          <cell r="ID93">
            <v>0</v>
          </cell>
          <cell r="IF93">
            <v>0</v>
          </cell>
        </row>
        <row r="94">
          <cell r="GP94" t="str">
            <v>BOP Closed Cooling Water Pump</v>
          </cell>
          <cell r="GQ94">
            <v>0</v>
          </cell>
          <cell r="GS94">
            <v>0</v>
          </cell>
          <cell r="GT94">
            <v>0</v>
          </cell>
          <cell r="GV94">
            <v>0</v>
          </cell>
          <cell r="GW94">
            <v>0</v>
          </cell>
          <cell r="GY94">
            <v>0</v>
          </cell>
          <cell r="GZ94">
            <v>0</v>
          </cell>
          <cell r="HB94">
            <v>0</v>
          </cell>
          <cell r="HC94">
            <v>0</v>
          </cell>
          <cell r="HE94">
            <v>0</v>
          </cell>
          <cell r="HF94">
            <v>0</v>
          </cell>
          <cell r="HH94">
            <v>0</v>
          </cell>
          <cell r="HI94">
            <v>0</v>
          </cell>
          <cell r="HK94">
            <v>0</v>
          </cell>
          <cell r="HL94">
            <v>0</v>
          </cell>
          <cell r="HN94">
            <v>0</v>
          </cell>
          <cell r="HO94">
            <v>0</v>
          </cell>
          <cell r="HQ94">
            <v>0</v>
          </cell>
          <cell r="HR94">
            <v>0</v>
          </cell>
          <cell r="HT94">
            <v>0</v>
          </cell>
          <cell r="HU94">
            <v>0</v>
          </cell>
          <cell r="HW94">
            <v>0</v>
          </cell>
          <cell r="HX94">
            <v>0</v>
          </cell>
          <cell r="HZ94">
            <v>0</v>
          </cell>
          <cell r="IA94">
            <v>0</v>
          </cell>
          <cell r="IC94">
            <v>0</v>
          </cell>
          <cell r="ID94">
            <v>0</v>
          </cell>
          <cell r="IF94">
            <v>0</v>
          </cell>
        </row>
        <row r="95">
          <cell r="GP95" t="str">
            <v>Service Water Pump</v>
          </cell>
          <cell r="GQ95">
            <v>100</v>
          </cell>
          <cell r="GS95">
            <v>100</v>
          </cell>
          <cell r="GT95">
            <v>100</v>
          </cell>
          <cell r="GV95">
            <v>100</v>
          </cell>
          <cell r="GW95">
            <v>100</v>
          </cell>
          <cell r="GY95">
            <v>100</v>
          </cell>
          <cell r="GZ95">
            <v>100</v>
          </cell>
          <cell r="HB95">
            <v>100</v>
          </cell>
          <cell r="HC95">
            <v>100</v>
          </cell>
          <cell r="HE95">
            <v>100</v>
          </cell>
          <cell r="HF95">
            <v>100</v>
          </cell>
          <cell r="HH95">
            <v>100</v>
          </cell>
          <cell r="HI95">
            <v>100</v>
          </cell>
          <cell r="HK95">
            <v>100</v>
          </cell>
          <cell r="HL95">
            <v>100</v>
          </cell>
          <cell r="HN95">
            <v>100</v>
          </cell>
          <cell r="HO95">
            <v>100</v>
          </cell>
          <cell r="HQ95">
            <v>100</v>
          </cell>
          <cell r="HR95">
            <v>100</v>
          </cell>
          <cell r="HT95">
            <v>100</v>
          </cell>
          <cell r="HU95">
            <v>100</v>
          </cell>
          <cell r="HW95">
            <v>100</v>
          </cell>
          <cell r="HX95">
            <v>100</v>
          </cell>
          <cell r="HZ95">
            <v>100</v>
          </cell>
          <cell r="IA95">
            <v>100</v>
          </cell>
          <cell r="IC95">
            <v>100</v>
          </cell>
          <cell r="ID95">
            <v>100</v>
          </cell>
          <cell r="IF95">
            <v>100</v>
          </cell>
        </row>
        <row r="96">
          <cell r="GP96" t="str">
            <v>Evap Cooler Makeup Pump</v>
          </cell>
          <cell r="GQ96">
            <v>100</v>
          </cell>
          <cell r="GS96">
            <v>100</v>
          </cell>
          <cell r="GT96">
            <v>100</v>
          </cell>
          <cell r="GV96">
            <v>100</v>
          </cell>
          <cell r="GW96">
            <v>100</v>
          </cell>
          <cell r="GY96">
            <v>100</v>
          </cell>
          <cell r="GZ96">
            <v>100</v>
          </cell>
          <cell r="HB96">
            <v>100</v>
          </cell>
          <cell r="HC96">
            <v>100</v>
          </cell>
          <cell r="HE96">
            <v>100</v>
          </cell>
          <cell r="HF96">
            <v>100</v>
          </cell>
          <cell r="HH96">
            <v>100</v>
          </cell>
          <cell r="HI96">
            <v>100</v>
          </cell>
          <cell r="HK96">
            <v>100</v>
          </cell>
          <cell r="HL96">
            <v>100</v>
          </cell>
          <cell r="HN96">
            <v>100</v>
          </cell>
          <cell r="HO96">
            <v>100</v>
          </cell>
          <cell r="HQ96">
            <v>100</v>
          </cell>
          <cell r="HR96">
            <v>100</v>
          </cell>
          <cell r="HT96">
            <v>100</v>
          </cell>
          <cell r="HU96">
            <v>100</v>
          </cell>
          <cell r="HW96">
            <v>100</v>
          </cell>
          <cell r="HX96">
            <v>100</v>
          </cell>
          <cell r="HZ96">
            <v>100</v>
          </cell>
          <cell r="IA96">
            <v>100</v>
          </cell>
          <cell r="IC96">
            <v>100</v>
          </cell>
          <cell r="ID96">
            <v>100</v>
          </cell>
          <cell r="IF96">
            <v>100</v>
          </cell>
        </row>
        <row r="97">
          <cell r="GP97" t="str">
            <v>Evap Cooler Circ Pump</v>
          </cell>
          <cell r="GQ97">
            <v>0</v>
          </cell>
          <cell r="GS97">
            <v>0</v>
          </cell>
          <cell r="GT97">
            <v>0</v>
          </cell>
          <cell r="GV97">
            <v>0</v>
          </cell>
          <cell r="GW97">
            <v>0</v>
          </cell>
          <cell r="GY97">
            <v>0</v>
          </cell>
          <cell r="GZ97">
            <v>0</v>
          </cell>
          <cell r="HB97">
            <v>0</v>
          </cell>
          <cell r="HC97">
            <v>0</v>
          </cell>
          <cell r="HE97">
            <v>0</v>
          </cell>
          <cell r="HF97">
            <v>0</v>
          </cell>
          <cell r="HH97">
            <v>0</v>
          </cell>
          <cell r="HI97">
            <v>0</v>
          </cell>
          <cell r="HK97">
            <v>0</v>
          </cell>
          <cell r="HL97">
            <v>0</v>
          </cell>
          <cell r="HN97">
            <v>0</v>
          </cell>
          <cell r="HO97">
            <v>0</v>
          </cell>
          <cell r="HQ97">
            <v>0</v>
          </cell>
          <cell r="HR97">
            <v>0</v>
          </cell>
          <cell r="HT97">
            <v>0</v>
          </cell>
          <cell r="HU97">
            <v>0</v>
          </cell>
          <cell r="HW97">
            <v>0</v>
          </cell>
          <cell r="HX97">
            <v>0</v>
          </cell>
          <cell r="HZ97">
            <v>0</v>
          </cell>
          <cell r="IA97">
            <v>0</v>
          </cell>
          <cell r="IC97">
            <v>0</v>
          </cell>
          <cell r="ID97">
            <v>0</v>
          </cell>
          <cell r="IF97">
            <v>0</v>
          </cell>
        </row>
        <row r="98">
          <cell r="GP98" t="str">
            <v>Cooling Tower Makeup Pump</v>
          </cell>
          <cell r="GQ98">
            <v>0</v>
          </cell>
          <cell r="GS98">
            <v>0</v>
          </cell>
          <cell r="GT98">
            <v>0</v>
          </cell>
          <cell r="GV98">
            <v>0</v>
          </cell>
          <cell r="GW98">
            <v>0</v>
          </cell>
          <cell r="GY98">
            <v>0</v>
          </cell>
          <cell r="GZ98">
            <v>0</v>
          </cell>
          <cell r="HB98">
            <v>0</v>
          </cell>
          <cell r="HC98">
            <v>0</v>
          </cell>
          <cell r="HE98">
            <v>0</v>
          </cell>
          <cell r="HF98">
            <v>0</v>
          </cell>
          <cell r="HH98">
            <v>0</v>
          </cell>
          <cell r="HI98">
            <v>0</v>
          </cell>
          <cell r="HK98">
            <v>0</v>
          </cell>
          <cell r="HL98">
            <v>0</v>
          </cell>
          <cell r="HN98">
            <v>0</v>
          </cell>
          <cell r="HO98">
            <v>0</v>
          </cell>
          <cell r="HQ98">
            <v>0</v>
          </cell>
          <cell r="HR98">
            <v>0</v>
          </cell>
          <cell r="HT98">
            <v>0</v>
          </cell>
          <cell r="HU98">
            <v>0</v>
          </cell>
          <cell r="HW98">
            <v>0</v>
          </cell>
          <cell r="HX98">
            <v>0</v>
          </cell>
          <cell r="HZ98">
            <v>0</v>
          </cell>
          <cell r="IA98">
            <v>0</v>
          </cell>
          <cell r="IC98">
            <v>0</v>
          </cell>
          <cell r="ID98">
            <v>0</v>
          </cell>
          <cell r="IF98">
            <v>0</v>
          </cell>
        </row>
        <row r="99">
          <cell r="GP99" t="str">
            <v>Raw Water Pump</v>
          </cell>
          <cell r="GQ99">
            <v>0</v>
          </cell>
          <cell r="GS99">
            <v>0</v>
          </cell>
          <cell r="GT99">
            <v>0</v>
          </cell>
          <cell r="GV99">
            <v>0</v>
          </cell>
          <cell r="GW99">
            <v>0</v>
          </cell>
          <cell r="GY99">
            <v>0</v>
          </cell>
          <cell r="GZ99">
            <v>0</v>
          </cell>
          <cell r="HB99">
            <v>0</v>
          </cell>
          <cell r="HC99">
            <v>0</v>
          </cell>
          <cell r="HE99">
            <v>0</v>
          </cell>
          <cell r="HF99">
            <v>0</v>
          </cell>
          <cell r="HH99">
            <v>0</v>
          </cell>
          <cell r="HI99">
            <v>0</v>
          </cell>
          <cell r="HK99">
            <v>0</v>
          </cell>
          <cell r="HL99">
            <v>0</v>
          </cell>
          <cell r="HN99">
            <v>0</v>
          </cell>
          <cell r="HO99">
            <v>0</v>
          </cell>
          <cell r="HQ99">
            <v>0</v>
          </cell>
          <cell r="HR99">
            <v>0</v>
          </cell>
          <cell r="HT99">
            <v>0</v>
          </cell>
          <cell r="HU99">
            <v>0</v>
          </cell>
          <cell r="HW99">
            <v>0</v>
          </cell>
          <cell r="HX99">
            <v>0</v>
          </cell>
          <cell r="HZ99">
            <v>0</v>
          </cell>
          <cell r="IA99">
            <v>0</v>
          </cell>
          <cell r="IC99">
            <v>0</v>
          </cell>
          <cell r="ID99">
            <v>0</v>
          </cell>
          <cell r="IF99">
            <v>0</v>
          </cell>
        </row>
        <row r="100">
          <cell r="GP100" t="str">
            <v>Fuel Oil Unloading Pump</v>
          </cell>
          <cell r="GQ100">
            <v>100</v>
          </cell>
          <cell r="GS100">
            <v>100</v>
          </cell>
          <cell r="GT100">
            <v>100</v>
          </cell>
          <cell r="GV100">
            <v>100</v>
          </cell>
          <cell r="GW100">
            <v>100</v>
          </cell>
          <cell r="GY100">
            <v>100</v>
          </cell>
          <cell r="GZ100">
            <v>100</v>
          </cell>
          <cell r="HB100">
            <v>100</v>
          </cell>
          <cell r="HC100">
            <v>100</v>
          </cell>
          <cell r="HE100">
            <v>100</v>
          </cell>
          <cell r="HF100">
            <v>100</v>
          </cell>
          <cell r="HH100">
            <v>100</v>
          </cell>
          <cell r="HI100">
            <v>100</v>
          </cell>
          <cell r="HK100">
            <v>100</v>
          </cell>
          <cell r="HL100">
            <v>100</v>
          </cell>
          <cell r="HN100">
            <v>100</v>
          </cell>
          <cell r="HO100">
            <v>100</v>
          </cell>
          <cell r="HQ100">
            <v>100</v>
          </cell>
          <cell r="HR100">
            <v>100</v>
          </cell>
          <cell r="HT100">
            <v>100</v>
          </cell>
          <cell r="HU100">
            <v>100</v>
          </cell>
          <cell r="HW100">
            <v>100</v>
          </cell>
          <cell r="HX100">
            <v>100</v>
          </cell>
          <cell r="HZ100">
            <v>100</v>
          </cell>
          <cell r="IA100">
            <v>100</v>
          </cell>
          <cell r="IC100">
            <v>100</v>
          </cell>
          <cell r="ID100">
            <v>100</v>
          </cell>
          <cell r="IF100">
            <v>100</v>
          </cell>
        </row>
        <row r="101">
          <cell r="GP101" t="str">
            <v>Fuel Oil Forwarding Pump</v>
          </cell>
          <cell r="GQ101">
            <v>0</v>
          </cell>
          <cell r="GS101">
            <v>0</v>
          </cell>
          <cell r="GT101">
            <v>0</v>
          </cell>
          <cell r="GV101">
            <v>0</v>
          </cell>
          <cell r="GW101">
            <v>0</v>
          </cell>
          <cell r="GY101">
            <v>0</v>
          </cell>
          <cell r="GZ101">
            <v>0</v>
          </cell>
          <cell r="HB101">
            <v>0</v>
          </cell>
          <cell r="HC101">
            <v>0</v>
          </cell>
          <cell r="HE101">
            <v>0</v>
          </cell>
          <cell r="HF101">
            <v>0</v>
          </cell>
          <cell r="HH101">
            <v>0</v>
          </cell>
          <cell r="HI101">
            <v>0</v>
          </cell>
          <cell r="HK101">
            <v>0</v>
          </cell>
          <cell r="HL101">
            <v>0</v>
          </cell>
          <cell r="HN101">
            <v>0</v>
          </cell>
          <cell r="HO101">
            <v>0</v>
          </cell>
          <cell r="HQ101">
            <v>0</v>
          </cell>
          <cell r="HR101">
            <v>0</v>
          </cell>
          <cell r="HT101">
            <v>0</v>
          </cell>
          <cell r="HU101">
            <v>0</v>
          </cell>
          <cell r="HW101">
            <v>0</v>
          </cell>
          <cell r="HX101">
            <v>0</v>
          </cell>
          <cell r="HZ101">
            <v>0</v>
          </cell>
          <cell r="IA101">
            <v>0</v>
          </cell>
          <cell r="IC101">
            <v>0</v>
          </cell>
          <cell r="ID101">
            <v>0</v>
          </cell>
          <cell r="IF101">
            <v>0</v>
          </cell>
        </row>
        <row r="102">
          <cell r="GP102" t="str">
            <v>Waste Water Pump</v>
          </cell>
          <cell r="GQ102">
            <v>100</v>
          </cell>
          <cell r="GS102">
            <v>100</v>
          </cell>
          <cell r="GT102">
            <v>100</v>
          </cell>
          <cell r="GV102">
            <v>100</v>
          </cell>
          <cell r="GW102">
            <v>100</v>
          </cell>
          <cell r="GY102">
            <v>100</v>
          </cell>
          <cell r="GZ102">
            <v>100</v>
          </cell>
          <cell r="HB102">
            <v>100</v>
          </cell>
          <cell r="HC102">
            <v>100</v>
          </cell>
          <cell r="HE102">
            <v>100</v>
          </cell>
          <cell r="HF102">
            <v>100</v>
          </cell>
          <cell r="HH102">
            <v>100</v>
          </cell>
          <cell r="HI102">
            <v>100</v>
          </cell>
          <cell r="HK102">
            <v>100</v>
          </cell>
          <cell r="HL102">
            <v>100</v>
          </cell>
          <cell r="HN102">
            <v>100</v>
          </cell>
          <cell r="HO102">
            <v>100</v>
          </cell>
          <cell r="HQ102">
            <v>100</v>
          </cell>
          <cell r="HR102">
            <v>100</v>
          </cell>
          <cell r="HT102">
            <v>100</v>
          </cell>
          <cell r="HU102">
            <v>100</v>
          </cell>
          <cell r="HW102">
            <v>100</v>
          </cell>
          <cell r="HX102">
            <v>100</v>
          </cell>
          <cell r="HZ102">
            <v>100</v>
          </cell>
          <cell r="IA102">
            <v>100</v>
          </cell>
          <cell r="IC102">
            <v>100</v>
          </cell>
          <cell r="ID102">
            <v>100</v>
          </cell>
          <cell r="IF102">
            <v>100</v>
          </cell>
        </row>
        <row r="103">
          <cell r="GP103" t="str">
            <v>RO Feed Pump</v>
          </cell>
          <cell r="GQ103">
            <v>0</v>
          </cell>
          <cell r="GS103">
            <v>0</v>
          </cell>
          <cell r="GT103">
            <v>0</v>
          </cell>
          <cell r="GV103">
            <v>0</v>
          </cell>
          <cell r="GW103">
            <v>0</v>
          </cell>
          <cell r="GY103">
            <v>0</v>
          </cell>
          <cell r="GZ103">
            <v>0</v>
          </cell>
          <cell r="HB103">
            <v>0</v>
          </cell>
          <cell r="HC103">
            <v>0</v>
          </cell>
          <cell r="HE103">
            <v>0</v>
          </cell>
          <cell r="HF103">
            <v>0</v>
          </cell>
          <cell r="HH103">
            <v>0</v>
          </cell>
          <cell r="HI103">
            <v>0</v>
          </cell>
          <cell r="HK103">
            <v>0</v>
          </cell>
          <cell r="HL103">
            <v>0</v>
          </cell>
          <cell r="HN103">
            <v>0</v>
          </cell>
          <cell r="HO103">
            <v>0</v>
          </cell>
          <cell r="HQ103">
            <v>0</v>
          </cell>
          <cell r="HR103">
            <v>0</v>
          </cell>
          <cell r="HT103">
            <v>0</v>
          </cell>
          <cell r="HU103">
            <v>0</v>
          </cell>
          <cell r="HW103">
            <v>0</v>
          </cell>
          <cell r="HX103">
            <v>0</v>
          </cell>
          <cell r="HZ103">
            <v>0</v>
          </cell>
          <cell r="IA103">
            <v>0</v>
          </cell>
          <cell r="IC103">
            <v>0</v>
          </cell>
          <cell r="ID103">
            <v>0</v>
          </cell>
          <cell r="IF103">
            <v>0</v>
          </cell>
        </row>
        <row r="104">
          <cell r="GP104" t="str">
            <v>Demin Feed Pump</v>
          </cell>
          <cell r="GQ104">
            <v>0</v>
          </cell>
          <cell r="GS104">
            <v>0</v>
          </cell>
          <cell r="GT104">
            <v>0</v>
          </cell>
          <cell r="GV104">
            <v>0</v>
          </cell>
          <cell r="GW104">
            <v>0</v>
          </cell>
          <cell r="GY104">
            <v>0</v>
          </cell>
          <cell r="GZ104">
            <v>0</v>
          </cell>
          <cell r="HB104">
            <v>0</v>
          </cell>
          <cell r="HC104">
            <v>0</v>
          </cell>
          <cell r="HE104">
            <v>0</v>
          </cell>
          <cell r="HF104">
            <v>0</v>
          </cell>
          <cell r="HH104">
            <v>0</v>
          </cell>
          <cell r="HI104">
            <v>0</v>
          </cell>
          <cell r="HK104">
            <v>0</v>
          </cell>
          <cell r="HL104">
            <v>0</v>
          </cell>
          <cell r="HN104">
            <v>0</v>
          </cell>
          <cell r="HO104">
            <v>0</v>
          </cell>
          <cell r="HQ104">
            <v>0</v>
          </cell>
          <cell r="HR104">
            <v>0</v>
          </cell>
          <cell r="HT104">
            <v>0</v>
          </cell>
          <cell r="HU104">
            <v>0</v>
          </cell>
          <cell r="HW104">
            <v>0</v>
          </cell>
          <cell r="HX104">
            <v>0</v>
          </cell>
          <cell r="HZ104">
            <v>0</v>
          </cell>
          <cell r="IA104">
            <v>0</v>
          </cell>
          <cell r="IC104">
            <v>0</v>
          </cell>
          <cell r="ID104">
            <v>0</v>
          </cell>
          <cell r="IF104">
            <v>0</v>
          </cell>
        </row>
        <row r="105">
          <cell r="GP105" t="str">
            <v>Plant Aux CCW Pump</v>
          </cell>
          <cell r="GQ105">
            <v>0</v>
          </cell>
          <cell r="GS105">
            <v>0</v>
          </cell>
          <cell r="GT105">
            <v>0</v>
          </cell>
          <cell r="GV105">
            <v>0</v>
          </cell>
          <cell r="GW105">
            <v>0</v>
          </cell>
          <cell r="GY105">
            <v>0</v>
          </cell>
          <cell r="GZ105">
            <v>0</v>
          </cell>
          <cell r="HB105">
            <v>0</v>
          </cell>
          <cell r="HC105">
            <v>0</v>
          </cell>
          <cell r="HE105">
            <v>0</v>
          </cell>
          <cell r="HF105">
            <v>0</v>
          </cell>
          <cell r="HH105">
            <v>0</v>
          </cell>
          <cell r="HI105">
            <v>0</v>
          </cell>
          <cell r="HK105">
            <v>0</v>
          </cell>
          <cell r="HL105">
            <v>0</v>
          </cell>
          <cell r="HN105">
            <v>0</v>
          </cell>
          <cell r="HO105">
            <v>0</v>
          </cell>
          <cell r="HQ105">
            <v>0</v>
          </cell>
          <cell r="HR105">
            <v>0</v>
          </cell>
          <cell r="HT105">
            <v>0</v>
          </cell>
          <cell r="HU105">
            <v>0</v>
          </cell>
          <cell r="HW105">
            <v>0</v>
          </cell>
          <cell r="HX105">
            <v>0</v>
          </cell>
          <cell r="HZ105">
            <v>0</v>
          </cell>
          <cell r="IA105">
            <v>0</v>
          </cell>
          <cell r="IC105">
            <v>0</v>
          </cell>
          <cell r="ID105">
            <v>0</v>
          </cell>
          <cell r="IF105">
            <v>0</v>
          </cell>
        </row>
        <row r="106">
          <cell r="GP106" t="str">
            <v>GTG Aux CCW Pump</v>
          </cell>
          <cell r="GQ106">
            <v>200</v>
          </cell>
          <cell r="GS106">
            <v>200</v>
          </cell>
          <cell r="GT106">
            <v>200</v>
          </cell>
          <cell r="GV106">
            <v>200</v>
          </cell>
          <cell r="GW106">
            <v>200</v>
          </cell>
          <cell r="GY106">
            <v>200</v>
          </cell>
          <cell r="GZ106">
            <v>200</v>
          </cell>
          <cell r="HB106">
            <v>200</v>
          </cell>
          <cell r="HC106">
            <v>200</v>
          </cell>
          <cell r="HE106">
            <v>200</v>
          </cell>
          <cell r="HF106">
            <v>200</v>
          </cell>
          <cell r="HH106">
            <v>200</v>
          </cell>
          <cell r="HI106">
            <v>200</v>
          </cell>
          <cell r="HK106">
            <v>200</v>
          </cell>
          <cell r="HL106">
            <v>200</v>
          </cell>
          <cell r="HN106">
            <v>200</v>
          </cell>
          <cell r="HO106">
            <v>200</v>
          </cell>
          <cell r="HQ106">
            <v>200</v>
          </cell>
          <cell r="HR106">
            <v>200</v>
          </cell>
          <cell r="HT106">
            <v>200</v>
          </cell>
          <cell r="HU106">
            <v>200</v>
          </cell>
          <cell r="HW106">
            <v>200</v>
          </cell>
          <cell r="HX106">
            <v>200</v>
          </cell>
          <cell r="HZ106">
            <v>200</v>
          </cell>
          <cell r="IA106">
            <v>200</v>
          </cell>
          <cell r="IC106">
            <v>200</v>
          </cell>
          <cell r="ID106">
            <v>200</v>
          </cell>
          <cell r="IF106">
            <v>200</v>
          </cell>
        </row>
        <row r="107">
          <cell r="GP107" t="str">
            <v>User Defined</v>
          </cell>
          <cell r="GQ107">
            <v>0</v>
          </cell>
          <cell r="GS107">
            <v>0</v>
          </cell>
          <cell r="GT107">
            <v>0</v>
          </cell>
          <cell r="GV107">
            <v>0</v>
          </cell>
          <cell r="GW107">
            <v>0</v>
          </cell>
          <cell r="GY107">
            <v>0</v>
          </cell>
          <cell r="GZ107">
            <v>0</v>
          </cell>
          <cell r="HB107">
            <v>0</v>
          </cell>
          <cell r="HC107">
            <v>0</v>
          </cell>
          <cell r="HE107">
            <v>0</v>
          </cell>
          <cell r="HF107">
            <v>0</v>
          </cell>
          <cell r="HH107">
            <v>0</v>
          </cell>
          <cell r="HI107">
            <v>0</v>
          </cell>
          <cell r="HK107">
            <v>0</v>
          </cell>
          <cell r="HL107">
            <v>0</v>
          </cell>
          <cell r="HN107">
            <v>0</v>
          </cell>
          <cell r="HO107">
            <v>0</v>
          </cell>
          <cell r="HQ107">
            <v>0</v>
          </cell>
          <cell r="HR107">
            <v>0</v>
          </cell>
          <cell r="HT107">
            <v>0</v>
          </cell>
          <cell r="HU107">
            <v>0</v>
          </cell>
          <cell r="HW107">
            <v>0</v>
          </cell>
          <cell r="HX107">
            <v>0</v>
          </cell>
          <cell r="HZ107">
            <v>0</v>
          </cell>
          <cell r="IA107">
            <v>0</v>
          </cell>
          <cell r="IC107">
            <v>0</v>
          </cell>
          <cell r="ID107">
            <v>0</v>
          </cell>
          <cell r="IF107">
            <v>0</v>
          </cell>
        </row>
        <row r="108">
          <cell r="GP108" t="str">
            <v>Blowdown Sump Pump</v>
          </cell>
          <cell r="GQ108">
            <v>0</v>
          </cell>
          <cell r="GS108">
            <v>0</v>
          </cell>
          <cell r="GT108">
            <v>0</v>
          </cell>
          <cell r="GV108">
            <v>0</v>
          </cell>
          <cell r="GW108">
            <v>0</v>
          </cell>
          <cell r="GY108">
            <v>0</v>
          </cell>
          <cell r="GZ108">
            <v>0</v>
          </cell>
          <cell r="HB108">
            <v>0</v>
          </cell>
          <cell r="HC108">
            <v>0</v>
          </cell>
          <cell r="HE108">
            <v>0</v>
          </cell>
          <cell r="HF108">
            <v>0</v>
          </cell>
          <cell r="HH108">
            <v>0</v>
          </cell>
          <cell r="HI108">
            <v>0</v>
          </cell>
          <cell r="HK108">
            <v>0</v>
          </cell>
          <cell r="HL108">
            <v>0</v>
          </cell>
          <cell r="HN108">
            <v>0</v>
          </cell>
          <cell r="HO108">
            <v>0</v>
          </cell>
          <cell r="HQ108">
            <v>0</v>
          </cell>
          <cell r="HR108">
            <v>0</v>
          </cell>
          <cell r="HT108">
            <v>0</v>
          </cell>
          <cell r="HU108">
            <v>0</v>
          </cell>
          <cell r="HW108">
            <v>0</v>
          </cell>
          <cell r="HX108">
            <v>0</v>
          </cell>
          <cell r="HZ108">
            <v>0</v>
          </cell>
          <cell r="IA108">
            <v>0</v>
          </cell>
          <cell r="IC108">
            <v>0</v>
          </cell>
          <cell r="ID108">
            <v>0</v>
          </cell>
          <cell r="IF108">
            <v>0</v>
          </cell>
        </row>
        <row r="109">
          <cell r="GP109" t="str">
            <v>Chemical Sump Pump</v>
          </cell>
          <cell r="GQ109">
            <v>0</v>
          </cell>
          <cell r="GS109">
            <v>0</v>
          </cell>
          <cell r="GT109">
            <v>0</v>
          </cell>
          <cell r="GV109">
            <v>0</v>
          </cell>
          <cell r="GW109">
            <v>0</v>
          </cell>
          <cell r="GY109">
            <v>0</v>
          </cell>
          <cell r="GZ109">
            <v>0</v>
          </cell>
          <cell r="HB109">
            <v>0</v>
          </cell>
          <cell r="HC109">
            <v>0</v>
          </cell>
          <cell r="HE109">
            <v>0</v>
          </cell>
          <cell r="HF109">
            <v>0</v>
          </cell>
          <cell r="HH109">
            <v>0</v>
          </cell>
          <cell r="HI109">
            <v>0</v>
          </cell>
          <cell r="HK109">
            <v>0</v>
          </cell>
          <cell r="HL109">
            <v>0</v>
          </cell>
          <cell r="HN109">
            <v>0</v>
          </cell>
          <cell r="HO109">
            <v>0</v>
          </cell>
          <cell r="HQ109">
            <v>0</v>
          </cell>
          <cell r="HR109">
            <v>0</v>
          </cell>
          <cell r="HT109">
            <v>0</v>
          </cell>
          <cell r="HU109">
            <v>0</v>
          </cell>
          <cell r="HW109">
            <v>0</v>
          </cell>
          <cell r="HX109">
            <v>0</v>
          </cell>
          <cell r="HZ109">
            <v>0</v>
          </cell>
          <cell r="IA109">
            <v>0</v>
          </cell>
          <cell r="IC109">
            <v>0</v>
          </cell>
          <cell r="ID109">
            <v>0</v>
          </cell>
          <cell r="IF109">
            <v>0</v>
          </cell>
        </row>
        <row r="110">
          <cell r="GP110" t="str">
            <v>Recycle Water Sump Pump</v>
          </cell>
          <cell r="GQ110">
            <v>0</v>
          </cell>
          <cell r="GS110">
            <v>0</v>
          </cell>
          <cell r="GT110">
            <v>0</v>
          </cell>
          <cell r="GV110">
            <v>0</v>
          </cell>
          <cell r="GW110">
            <v>0</v>
          </cell>
          <cell r="GY110">
            <v>0</v>
          </cell>
          <cell r="GZ110">
            <v>0</v>
          </cell>
          <cell r="HB110">
            <v>0</v>
          </cell>
          <cell r="HC110">
            <v>0</v>
          </cell>
          <cell r="HE110">
            <v>0</v>
          </cell>
          <cell r="HF110">
            <v>0</v>
          </cell>
          <cell r="HH110">
            <v>0</v>
          </cell>
          <cell r="HI110">
            <v>0</v>
          </cell>
          <cell r="HK110">
            <v>0</v>
          </cell>
          <cell r="HL110">
            <v>0</v>
          </cell>
          <cell r="HN110">
            <v>0</v>
          </cell>
          <cell r="HO110">
            <v>0</v>
          </cell>
          <cell r="HQ110">
            <v>0</v>
          </cell>
          <cell r="HR110">
            <v>0</v>
          </cell>
          <cell r="HT110">
            <v>0</v>
          </cell>
          <cell r="HU110">
            <v>0</v>
          </cell>
          <cell r="HW110">
            <v>0</v>
          </cell>
          <cell r="HX110">
            <v>0</v>
          </cell>
          <cell r="HZ110">
            <v>0</v>
          </cell>
          <cell r="IA110">
            <v>0</v>
          </cell>
          <cell r="IC110">
            <v>0</v>
          </cell>
          <cell r="ID110">
            <v>0</v>
          </cell>
          <cell r="IF110">
            <v>0</v>
          </cell>
        </row>
        <row r="111">
          <cell r="GP111" t="str">
            <v>Oily Water Sump Pump</v>
          </cell>
          <cell r="GQ111">
            <v>0</v>
          </cell>
          <cell r="GS111">
            <v>0</v>
          </cell>
          <cell r="GT111">
            <v>0</v>
          </cell>
          <cell r="GV111">
            <v>0</v>
          </cell>
          <cell r="GW111">
            <v>0</v>
          </cell>
          <cell r="GY111">
            <v>0</v>
          </cell>
          <cell r="GZ111">
            <v>0</v>
          </cell>
          <cell r="HB111">
            <v>0</v>
          </cell>
          <cell r="HC111">
            <v>0</v>
          </cell>
          <cell r="HE111">
            <v>0</v>
          </cell>
          <cell r="HF111">
            <v>0</v>
          </cell>
          <cell r="HH111">
            <v>0</v>
          </cell>
          <cell r="HI111">
            <v>0</v>
          </cell>
          <cell r="HK111">
            <v>0</v>
          </cell>
          <cell r="HL111">
            <v>0</v>
          </cell>
          <cell r="HN111">
            <v>0</v>
          </cell>
          <cell r="HO111">
            <v>0</v>
          </cell>
          <cell r="HQ111">
            <v>0</v>
          </cell>
          <cell r="HR111">
            <v>0</v>
          </cell>
          <cell r="HT111">
            <v>0</v>
          </cell>
          <cell r="HU111">
            <v>0</v>
          </cell>
          <cell r="HW111">
            <v>0</v>
          </cell>
          <cell r="HX111">
            <v>0</v>
          </cell>
          <cell r="HZ111">
            <v>0</v>
          </cell>
          <cell r="IA111">
            <v>0</v>
          </cell>
          <cell r="IC111">
            <v>0</v>
          </cell>
          <cell r="ID111">
            <v>0</v>
          </cell>
          <cell r="IF111">
            <v>0</v>
          </cell>
        </row>
        <row r="112">
          <cell r="GP112" t="str">
            <v>Misc Sump Pump 1</v>
          </cell>
          <cell r="GQ112">
            <v>0</v>
          </cell>
          <cell r="GS112">
            <v>0</v>
          </cell>
          <cell r="GT112">
            <v>0</v>
          </cell>
          <cell r="GV112">
            <v>0</v>
          </cell>
          <cell r="GW112">
            <v>0</v>
          </cell>
          <cell r="GY112">
            <v>0</v>
          </cell>
          <cell r="GZ112">
            <v>0</v>
          </cell>
          <cell r="HB112">
            <v>0</v>
          </cell>
          <cell r="HC112">
            <v>0</v>
          </cell>
          <cell r="HE112">
            <v>0</v>
          </cell>
          <cell r="HF112">
            <v>0</v>
          </cell>
          <cell r="HH112">
            <v>0</v>
          </cell>
          <cell r="HI112">
            <v>0</v>
          </cell>
          <cell r="HK112">
            <v>0</v>
          </cell>
          <cell r="HL112">
            <v>0</v>
          </cell>
          <cell r="HN112">
            <v>0</v>
          </cell>
          <cell r="HO112">
            <v>0</v>
          </cell>
          <cell r="HQ112">
            <v>0</v>
          </cell>
          <cell r="HR112">
            <v>0</v>
          </cell>
          <cell r="HT112">
            <v>0</v>
          </cell>
          <cell r="HU112">
            <v>0</v>
          </cell>
          <cell r="HW112">
            <v>0</v>
          </cell>
          <cell r="HX112">
            <v>0</v>
          </cell>
          <cell r="HZ112">
            <v>0</v>
          </cell>
          <cell r="IA112">
            <v>0</v>
          </cell>
          <cell r="IC112">
            <v>0</v>
          </cell>
          <cell r="ID112">
            <v>0</v>
          </cell>
          <cell r="IF112">
            <v>0</v>
          </cell>
        </row>
        <row r="113">
          <cell r="GP113" t="str">
            <v>Misc Sump Pump 2</v>
          </cell>
          <cell r="GQ113">
            <v>0</v>
          </cell>
          <cell r="GS113">
            <v>0</v>
          </cell>
          <cell r="GT113">
            <v>0</v>
          </cell>
          <cell r="GV113">
            <v>0</v>
          </cell>
          <cell r="GW113">
            <v>0</v>
          </cell>
          <cell r="GY113">
            <v>0</v>
          </cell>
          <cell r="GZ113">
            <v>0</v>
          </cell>
          <cell r="HB113">
            <v>0</v>
          </cell>
          <cell r="HC113">
            <v>0</v>
          </cell>
          <cell r="HE113">
            <v>0</v>
          </cell>
          <cell r="HF113">
            <v>0</v>
          </cell>
          <cell r="HH113">
            <v>0</v>
          </cell>
          <cell r="HI113">
            <v>0</v>
          </cell>
          <cell r="HK113">
            <v>0</v>
          </cell>
          <cell r="HL113">
            <v>0</v>
          </cell>
          <cell r="HN113">
            <v>0</v>
          </cell>
          <cell r="HO113">
            <v>0</v>
          </cell>
          <cell r="HQ113">
            <v>0</v>
          </cell>
          <cell r="HR113">
            <v>0</v>
          </cell>
          <cell r="HT113">
            <v>0</v>
          </cell>
          <cell r="HU113">
            <v>0</v>
          </cell>
          <cell r="HW113">
            <v>0</v>
          </cell>
          <cell r="HX113">
            <v>0</v>
          </cell>
          <cell r="HZ113">
            <v>0</v>
          </cell>
          <cell r="IA113">
            <v>0</v>
          </cell>
          <cell r="IC113">
            <v>0</v>
          </cell>
          <cell r="ID113">
            <v>0</v>
          </cell>
          <cell r="IF113">
            <v>0</v>
          </cell>
        </row>
        <row r="114">
          <cell r="GP114" t="str">
            <v>Misc Sump Pump 3</v>
          </cell>
          <cell r="GQ114">
            <v>0</v>
          </cell>
          <cell r="GS114">
            <v>0</v>
          </cell>
          <cell r="GT114">
            <v>0</v>
          </cell>
          <cell r="GV114">
            <v>0</v>
          </cell>
          <cell r="GW114">
            <v>0</v>
          </cell>
          <cell r="GY114">
            <v>0</v>
          </cell>
          <cell r="GZ114">
            <v>0</v>
          </cell>
          <cell r="HB114">
            <v>0</v>
          </cell>
          <cell r="HC114">
            <v>0</v>
          </cell>
          <cell r="HE114">
            <v>0</v>
          </cell>
          <cell r="HF114">
            <v>0</v>
          </cell>
          <cell r="HH114">
            <v>0</v>
          </cell>
          <cell r="HI114">
            <v>0</v>
          </cell>
          <cell r="HK114">
            <v>0</v>
          </cell>
          <cell r="HL114">
            <v>0</v>
          </cell>
          <cell r="HN114">
            <v>0</v>
          </cell>
          <cell r="HO114">
            <v>0</v>
          </cell>
          <cell r="HQ114">
            <v>0</v>
          </cell>
          <cell r="HR114">
            <v>0</v>
          </cell>
          <cell r="HT114">
            <v>0</v>
          </cell>
          <cell r="HU114">
            <v>0</v>
          </cell>
          <cell r="HW114">
            <v>0</v>
          </cell>
          <cell r="HX114">
            <v>0</v>
          </cell>
          <cell r="HZ114">
            <v>0</v>
          </cell>
          <cell r="IA114">
            <v>0</v>
          </cell>
          <cell r="IC114">
            <v>0</v>
          </cell>
          <cell r="ID114">
            <v>0</v>
          </cell>
          <cell r="IF114">
            <v>0</v>
          </cell>
        </row>
        <row r="115">
          <cell r="GP115" t="str">
            <v>Raw Water Storage Tank</v>
          </cell>
          <cell r="GQ115">
            <v>0</v>
          </cell>
          <cell r="GS115">
            <v>0</v>
          </cell>
          <cell r="GT115">
            <v>0</v>
          </cell>
          <cell r="GV115">
            <v>0</v>
          </cell>
          <cell r="GW115">
            <v>0</v>
          </cell>
          <cell r="GY115">
            <v>0</v>
          </cell>
          <cell r="GZ115">
            <v>0</v>
          </cell>
          <cell r="HB115">
            <v>0</v>
          </cell>
          <cell r="HC115">
            <v>0</v>
          </cell>
          <cell r="HE115">
            <v>0</v>
          </cell>
          <cell r="HF115">
            <v>0</v>
          </cell>
          <cell r="HH115">
            <v>0</v>
          </cell>
          <cell r="HI115">
            <v>0</v>
          </cell>
          <cell r="HK115">
            <v>0</v>
          </cell>
          <cell r="HL115">
            <v>0</v>
          </cell>
          <cell r="HN115">
            <v>0</v>
          </cell>
          <cell r="HO115">
            <v>0</v>
          </cell>
          <cell r="HQ115">
            <v>0</v>
          </cell>
          <cell r="HR115">
            <v>0</v>
          </cell>
          <cell r="HT115">
            <v>0</v>
          </cell>
          <cell r="HU115">
            <v>0</v>
          </cell>
          <cell r="HW115">
            <v>0</v>
          </cell>
          <cell r="HX115">
            <v>0</v>
          </cell>
          <cell r="HZ115">
            <v>0</v>
          </cell>
          <cell r="IA115">
            <v>0</v>
          </cell>
          <cell r="IC115">
            <v>0</v>
          </cell>
          <cell r="ID115">
            <v>0</v>
          </cell>
          <cell r="IF115">
            <v>0</v>
          </cell>
        </row>
        <row r="116">
          <cell r="GP116" t="str">
            <v>Treated / Fire Water Storage Tank</v>
          </cell>
          <cell r="GQ116">
            <v>0</v>
          </cell>
          <cell r="GS116">
            <v>0</v>
          </cell>
          <cell r="GT116">
            <v>0</v>
          </cell>
          <cell r="GV116">
            <v>0</v>
          </cell>
          <cell r="GW116">
            <v>0</v>
          </cell>
          <cell r="GY116">
            <v>0</v>
          </cell>
          <cell r="GZ116">
            <v>0</v>
          </cell>
          <cell r="HB116">
            <v>0</v>
          </cell>
          <cell r="HC116">
            <v>0</v>
          </cell>
          <cell r="HE116">
            <v>0</v>
          </cell>
          <cell r="HF116">
            <v>0</v>
          </cell>
          <cell r="HH116">
            <v>0</v>
          </cell>
          <cell r="HI116">
            <v>0</v>
          </cell>
          <cell r="HK116">
            <v>0</v>
          </cell>
          <cell r="HL116">
            <v>0</v>
          </cell>
          <cell r="HN116">
            <v>0</v>
          </cell>
          <cell r="HO116">
            <v>0</v>
          </cell>
          <cell r="HQ116">
            <v>0</v>
          </cell>
          <cell r="HR116">
            <v>0</v>
          </cell>
          <cell r="HT116">
            <v>0</v>
          </cell>
          <cell r="HU116">
            <v>0</v>
          </cell>
          <cell r="HW116">
            <v>0</v>
          </cell>
          <cell r="HX116">
            <v>0</v>
          </cell>
          <cell r="HZ116">
            <v>0</v>
          </cell>
          <cell r="IA116">
            <v>0</v>
          </cell>
          <cell r="IC116">
            <v>0</v>
          </cell>
          <cell r="ID116">
            <v>0</v>
          </cell>
          <cell r="IF116">
            <v>0</v>
          </cell>
        </row>
        <row r="117">
          <cell r="GP117" t="str">
            <v>RO Product Storage Tank</v>
          </cell>
          <cell r="GQ117">
            <v>0</v>
          </cell>
          <cell r="GS117">
            <v>0</v>
          </cell>
          <cell r="GT117">
            <v>0</v>
          </cell>
          <cell r="GV117">
            <v>0</v>
          </cell>
          <cell r="GW117">
            <v>0</v>
          </cell>
          <cell r="GY117">
            <v>0</v>
          </cell>
          <cell r="GZ117">
            <v>0</v>
          </cell>
          <cell r="HB117">
            <v>0</v>
          </cell>
          <cell r="HC117">
            <v>0</v>
          </cell>
          <cell r="HE117">
            <v>0</v>
          </cell>
          <cell r="HF117">
            <v>0</v>
          </cell>
          <cell r="HH117">
            <v>0</v>
          </cell>
          <cell r="HI117">
            <v>0</v>
          </cell>
          <cell r="HK117">
            <v>0</v>
          </cell>
          <cell r="HL117">
            <v>0</v>
          </cell>
          <cell r="HN117">
            <v>0</v>
          </cell>
          <cell r="HO117">
            <v>0</v>
          </cell>
          <cell r="HQ117">
            <v>0</v>
          </cell>
          <cell r="HR117">
            <v>0</v>
          </cell>
          <cell r="HT117">
            <v>0</v>
          </cell>
          <cell r="HU117">
            <v>0</v>
          </cell>
          <cell r="HW117">
            <v>0</v>
          </cell>
          <cell r="HX117">
            <v>0</v>
          </cell>
          <cell r="HZ117">
            <v>0</v>
          </cell>
          <cell r="IA117">
            <v>0</v>
          </cell>
          <cell r="IC117">
            <v>0</v>
          </cell>
          <cell r="ID117">
            <v>0</v>
          </cell>
          <cell r="IF117">
            <v>0</v>
          </cell>
        </row>
        <row r="118">
          <cell r="GP118" t="str">
            <v>Single-Wall Fuel Oil Storage Tank</v>
          </cell>
          <cell r="GQ118">
            <v>0</v>
          </cell>
          <cell r="GS118">
            <v>0</v>
          </cell>
          <cell r="GT118">
            <v>0</v>
          </cell>
          <cell r="GV118">
            <v>0</v>
          </cell>
          <cell r="GW118">
            <v>0</v>
          </cell>
          <cell r="GY118">
            <v>0</v>
          </cell>
          <cell r="GZ118">
            <v>0</v>
          </cell>
          <cell r="HB118">
            <v>0</v>
          </cell>
          <cell r="HC118">
            <v>0</v>
          </cell>
          <cell r="HE118">
            <v>0</v>
          </cell>
          <cell r="HF118">
            <v>0</v>
          </cell>
          <cell r="HH118">
            <v>0</v>
          </cell>
          <cell r="HI118">
            <v>0</v>
          </cell>
          <cell r="HK118">
            <v>0</v>
          </cell>
          <cell r="HL118">
            <v>0</v>
          </cell>
          <cell r="HN118">
            <v>0</v>
          </cell>
          <cell r="HO118">
            <v>0</v>
          </cell>
          <cell r="HQ118">
            <v>0</v>
          </cell>
          <cell r="HR118">
            <v>0</v>
          </cell>
          <cell r="HT118">
            <v>0</v>
          </cell>
          <cell r="HU118">
            <v>0</v>
          </cell>
          <cell r="HW118">
            <v>0</v>
          </cell>
          <cell r="HX118">
            <v>0</v>
          </cell>
          <cell r="HZ118">
            <v>0</v>
          </cell>
          <cell r="IA118">
            <v>0</v>
          </cell>
          <cell r="IC118">
            <v>0</v>
          </cell>
          <cell r="ID118">
            <v>0</v>
          </cell>
          <cell r="IF118">
            <v>0</v>
          </cell>
        </row>
        <row r="119">
          <cell r="GP119" t="str">
            <v>Misc Field Erected Tank 1</v>
          </cell>
          <cell r="GQ119">
            <v>0</v>
          </cell>
          <cell r="GS119">
            <v>0</v>
          </cell>
          <cell r="GT119">
            <v>0</v>
          </cell>
          <cell r="GV119">
            <v>0</v>
          </cell>
          <cell r="GW119">
            <v>0</v>
          </cell>
          <cell r="GY119">
            <v>0</v>
          </cell>
          <cell r="GZ119">
            <v>0</v>
          </cell>
          <cell r="HB119">
            <v>0</v>
          </cell>
          <cell r="HC119">
            <v>0</v>
          </cell>
          <cell r="HE119">
            <v>0</v>
          </cell>
          <cell r="HF119">
            <v>0</v>
          </cell>
          <cell r="HH119">
            <v>0</v>
          </cell>
          <cell r="HI119">
            <v>0</v>
          </cell>
          <cell r="HK119">
            <v>0</v>
          </cell>
          <cell r="HL119">
            <v>0</v>
          </cell>
          <cell r="HN119">
            <v>0</v>
          </cell>
          <cell r="HO119">
            <v>0</v>
          </cell>
          <cell r="HQ119">
            <v>0</v>
          </cell>
          <cell r="HR119">
            <v>0</v>
          </cell>
          <cell r="HT119">
            <v>0</v>
          </cell>
          <cell r="HU119">
            <v>0</v>
          </cell>
          <cell r="HW119">
            <v>0</v>
          </cell>
          <cell r="HX119">
            <v>0</v>
          </cell>
          <cell r="HZ119">
            <v>0</v>
          </cell>
          <cell r="IA119">
            <v>0</v>
          </cell>
          <cell r="IC119">
            <v>0</v>
          </cell>
          <cell r="ID119">
            <v>0</v>
          </cell>
          <cell r="IF119">
            <v>0</v>
          </cell>
        </row>
        <row r="120">
          <cell r="GP120" t="str">
            <v>Misc Field Erected Tank 2</v>
          </cell>
          <cell r="GQ120">
            <v>0</v>
          </cell>
          <cell r="GS120">
            <v>0</v>
          </cell>
          <cell r="GT120">
            <v>0</v>
          </cell>
          <cell r="GV120">
            <v>0</v>
          </cell>
          <cell r="GW120">
            <v>0</v>
          </cell>
          <cell r="GY120">
            <v>0</v>
          </cell>
          <cell r="GZ120">
            <v>0</v>
          </cell>
          <cell r="HB120">
            <v>0</v>
          </cell>
          <cell r="HC120">
            <v>0</v>
          </cell>
          <cell r="HE120">
            <v>0</v>
          </cell>
          <cell r="HF120">
            <v>0</v>
          </cell>
          <cell r="HH120">
            <v>0</v>
          </cell>
          <cell r="HI120">
            <v>0</v>
          </cell>
          <cell r="HK120">
            <v>0</v>
          </cell>
          <cell r="HL120">
            <v>0</v>
          </cell>
          <cell r="HN120">
            <v>0</v>
          </cell>
          <cell r="HO120">
            <v>0</v>
          </cell>
          <cell r="HQ120">
            <v>0</v>
          </cell>
          <cell r="HR120">
            <v>0</v>
          </cell>
          <cell r="HT120">
            <v>0</v>
          </cell>
          <cell r="HU120">
            <v>0</v>
          </cell>
          <cell r="HW120">
            <v>0</v>
          </cell>
          <cell r="HX120">
            <v>0</v>
          </cell>
          <cell r="HZ120">
            <v>0</v>
          </cell>
          <cell r="IA120">
            <v>0</v>
          </cell>
          <cell r="IC120">
            <v>0</v>
          </cell>
          <cell r="ID120">
            <v>0</v>
          </cell>
          <cell r="IF120">
            <v>0</v>
          </cell>
        </row>
        <row r="121">
          <cell r="GP121" t="str">
            <v>Misc Field Erected Tank 3</v>
          </cell>
          <cell r="GQ121">
            <v>0</v>
          </cell>
          <cell r="GS121">
            <v>0</v>
          </cell>
          <cell r="GT121">
            <v>0</v>
          </cell>
          <cell r="GV121">
            <v>0</v>
          </cell>
          <cell r="GW121">
            <v>0</v>
          </cell>
          <cell r="GY121">
            <v>0</v>
          </cell>
          <cell r="GZ121">
            <v>0</v>
          </cell>
          <cell r="HB121">
            <v>0</v>
          </cell>
          <cell r="HC121">
            <v>0</v>
          </cell>
          <cell r="HE121">
            <v>0</v>
          </cell>
          <cell r="HF121">
            <v>0</v>
          </cell>
          <cell r="HH121">
            <v>0</v>
          </cell>
          <cell r="HI121">
            <v>0</v>
          </cell>
          <cell r="HK121">
            <v>0</v>
          </cell>
          <cell r="HL121">
            <v>0</v>
          </cell>
          <cell r="HN121">
            <v>0</v>
          </cell>
          <cell r="HO121">
            <v>0</v>
          </cell>
          <cell r="HQ121">
            <v>0</v>
          </cell>
          <cell r="HR121">
            <v>0</v>
          </cell>
          <cell r="HT121">
            <v>0</v>
          </cell>
          <cell r="HU121">
            <v>0</v>
          </cell>
          <cell r="HW121">
            <v>0</v>
          </cell>
          <cell r="HX121">
            <v>0</v>
          </cell>
          <cell r="HZ121">
            <v>0</v>
          </cell>
          <cell r="IA121">
            <v>0</v>
          </cell>
          <cell r="IC121">
            <v>0</v>
          </cell>
          <cell r="ID121">
            <v>0</v>
          </cell>
          <cell r="IF121">
            <v>0</v>
          </cell>
        </row>
        <row r="122">
          <cell r="GP122" t="str">
            <v>Double Wall Fuel Oil Storage Tank</v>
          </cell>
          <cell r="GQ122">
            <v>0</v>
          </cell>
          <cell r="GS122">
            <v>0</v>
          </cell>
          <cell r="GT122">
            <v>0</v>
          </cell>
          <cell r="GV122">
            <v>0</v>
          </cell>
          <cell r="GW122">
            <v>0</v>
          </cell>
          <cell r="GY122">
            <v>0</v>
          </cell>
          <cell r="GZ122">
            <v>0</v>
          </cell>
          <cell r="HB122">
            <v>0</v>
          </cell>
          <cell r="HC122">
            <v>0</v>
          </cell>
          <cell r="HE122">
            <v>0</v>
          </cell>
          <cell r="HF122">
            <v>0</v>
          </cell>
          <cell r="HH122">
            <v>0</v>
          </cell>
          <cell r="HI122">
            <v>0</v>
          </cell>
          <cell r="HK122">
            <v>0</v>
          </cell>
          <cell r="HL122">
            <v>0</v>
          </cell>
          <cell r="HN122">
            <v>0</v>
          </cell>
          <cell r="HO122">
            <v>0</v>
          </cell>
          <cell r="HQ122">
            <v>0</v>
          </cell>
          <cell r="HR122">
            <v>0</v>
          </cell>
          <cell r="HT122">
            <v>0</v>
          </cell>
          <cell r="HU122">
            <v>0</v>
          </cell>
          <cell r="HW122">
            <v>0</v>
          </cell>
          <cell r="HX122">
            <v>0</v>
          </cell>
          <cell r="HZ122">
            <v>0</v>
          </cell>
          <cell r="IA122">
            <v>0</v>
          </cell>
          <cell r="IC122">
            <v>0</v>
          </cell>
          <cell r="ID122">
            <v>0</v>
          </cell>
          <cell r="IF122">
            <v>0</v>
          </cell>
        </row>
        <row r="123">
          <cell r="GP123" t="str">
            <v>Misc Double Wall Tank 1</v>
          </cell>
          <cell r="GQ123">
            <v>0</v>
          </cell>
          <cell r="GS123">
            <v>0</v>
          </cell>
          <cell r="GT123">
            <v>0</v>
          </cell>
          <cell r="GV123">
            <v>0</v>
          </cell>
          <cell r="GW123">
            <v>0</v>
          </cell>
          <cell r="GY123">
            <v>0</v>
          </cell>
          <cell r="GZ123">
            <v>0</v>
          </cell>
          <cell r="HB123">
            <v>0</v>
          </cell>
          <cell r="HC123">
            <v>0</v>
          </cell>
          <cell r="HE123">
            <v>0</v>
          </cell>
          <cell r="HF123">
            <v>0</v>
          </cell>
          <cell r="HH123">
            <v>0</v>
          </cell>
          <cell r="HI123">
            <v>0</v>
          </cell>
          <cell r="HK123">
            <v>0</v>
          </cell>
          <cell r="HL123">
            <v>0</v>
          </cell>
          <cell r="HN123">
            <v>0</v>
          </cell>
          <cell r="HO123">
            <v>0</v>
          </cell>
          <cell r="HQ123">
            <v>0</v>
          </cell>
          <cell r="HR123">
            <v>0</v>
          </cell>
          <cell r="HT123">
            <v>0</v>
          </cell>
          <cell r="HU123">
            <v>0</v>
          </cell>
          <cell r="HW123">
            <v>0</v>
          </cell>
          <cell r="HX123">
            <v>0</v>
          </cell>
          <cell r="HZ123">
            <v>0</v>
          </cell>
          <cell r="IA123">
            <v>0</v>
          </cell>
          <cell r="IC123">
            <v>0</v>
          </cell>
          <cell r="ID123">
            <v>0</v>
          </cell>
          <cell r="IF123">
            <v>0</v>
          </cell>
        </row>
        <row r="124">
          <cell r="GP124" t="str">
            <v>Misc Double Wall Tank 2</v>
          </cell>
          <cell r="GQ124">
            <v>0</v>
          </cell>
          <cell r="GS124">
            <v>0</v>
          </cell>
          <cell r="GT124">
            <v>0</v>
          </cell>
          <cell r="GV124">
            <v>0</v>
          </cell>
          <cell r="GW124">
            <v>0</v>
          </cell>
          <cell r="GY124">
            <v>0</v>
          </cell>
          <cell r="GZ124">
            <v>0</v>
          </cell>
          <cell r="HB124">
            <v>0</v>
          </cell>
          <cell r="HC124">
            <v>0</v>
          </cell>
          <cell r="HE124">
            <v>0</v>
          </cell>
          <cell r="HF124">
            <v>0</v>
          </cell>
          <cell r="HH124">
            <v>0</v>
          </cell>
          <cell r="HI124">
            <v>0</v>
          </cell>
          <cell r="HK124">
            <v>0</v>
          </cell>
          <cell r="HL124">
            <v>0</v>
          </cell>
          <cell r="HN124">
            <v>0</v>
          </cell>
          <cell r="HO124">
            <v>0</v>
          </cell>
          <cell r="HQ124">
            <v>0</v>
          </cell>
          <cell r="HR124">
            <v>0</v>
          </cell>
          <cell r="HT124">
            <v>0</v>
          </cell>
          <cell r="HU124">
            <v>0</v>
          </cell>
          <cell r="HW124">
            <v>0</v>
          </cell>
          <cell r="HX124">
            <v>0</v>
          </cell>
          <cell r="HZ124">
            <v>0</v>
          </cell>
          <cell r="IA124">
            <v>0</v>
          </cell>
          <cell r="IC124">
            <v>0</v>
          </cell>
          <cell r="ID124">
            <v>0</v>
          </cell>
          <cell r="IF124">
            <v>0</v>
          </cell>
        </row>
        <row r="125">
          <cell r="GP125" t="str">
            <v>Misc Double Wall Tank 3</v>
          </cell>
          <cell r="GQ125">
            <v>0</v>
          </cell>
          <cell r="GS125">
            <v>0</v>
          </cell>
          <cell r="GT125">
            <v>0</v>
          </cell>
          <cell r="GV125">
            <v>0</v>
          </cell>
          <cell r="GW125">
            <v>0</v>
          </cell>
          <cell r="GY125">
            <v>0</v>
          </cell>
          <cell r="GZ125">
            <v>0</v>
          </cell>
          <cell r="HB125">
            <v>0</v>
          </cell>
          <cell r="HC125">
            <v>0</v>
          </cell>
          <cell r="HE125">
            <v>0</v>
          </cell>
          <cell r="HF125">
            <v>0</v>
          </cell>
          <cell r="HH125">
            <v>0</v>
          </cell>
          <cell r="HI125">
            <v>0</v>
          </cell>
          <cell r="HK125">
            <v>0</v>
          </cell>
          <cell r="HL125">
            <v>0</v>
          </cell>
          <cell r="HN125">
            <v>0</v>
          </cell>
          <cell r="HO125">
            <v>0</v>
          </cell>
          <cell r="HQ125">
            <v>0</v>
          </cell>
          <cell r="HR125">
            <v>0</v>
          </cell>
          <cell r="HT125">
            <v>0</v>
          </cell>
          <cell r="HU125">
            <v>0</v>
          </cell>
          <cell r="HW125">
            <v>0</v>
          </cell>
          <cell r="HX125">
            <v>0</v>
          </cell>
          <cell r="HZ125">
            <v>0</v>
          </cell>
          <cell r="IA125">
            <v>0</v>
          </cell>
          <cell r="IC125">
            <v>0</v>
          </cell>
          <cell r="ID125">
            <v>0</v>
          </cell>
          <cell r="IF125">
            <v>0</v>
          </cell>
        </row>
        <row r="126">
          <cell r="GP126" t="str">
            <v>Demin Water Storage Tank</v>
          </cell>
          <cell r="GQ126">
            <v>0</v>
          </cell>
          <cell r="GS126">
            <v>0</v>
          </cell>
          <cell r="GT126">
            <v>0</v>
          </cell>
          <cell r="GV126">
            <v>0</v>
          </cell>
          <cell r="GW126">
            <v>0</v>
          </cell>
          <cell r="GY126">
            <v>0</v>
          </cell>
          <cell r="GZ126">
            <v>0</v>
          </cell>
          <cell r="HB126">
            <v>0</v>
          </cell>
          <cell r="HC126">
            <v>0</v>
          </cell>
          <cell r="HE126">
            <v>0</v>
          </cell>
          <cell r="HF126">
            <v>0</v>
          </cell>
          <cell r="HH126">
            <v>0</v>
          </cell>
          <cell r="HI126">
            <v>0</v>
          </cell>
          <cell r="HK126">
            <v>0</v>
          </cell>
          <cell r="HL126">
            <v>0</v>
          </cell>
          <cell r="HN126">
            <v>0</v>
          </cell>
          <cell r="HO126">
            <v>0</v>
          </cell>
          <cell r="HQ126">
            <v>0</v>
          </cell>
          <cell r="HR126">
            <v>0</v>
          </cell>
          <cell r="HT126">
            <v>0</v>
          </cell>
          <cell r="HU126">
            <v>0</v>
          </cell>
          <cell r="HW126">
            <v>0</v>
          </cell>
          <cell r="HX126">
            <v>0</v>
          </cell>
          <cell r="HZ126">
            <v>0</v>
          </cell>
          <cell r="IA126">
            <v>0</v>
          </cell>
          <cell r="IC126">
            <v>0</v>
          </cell>
          <cell r="ID126">
            <v>0</v>
          </cell>
          <cell r="IF126">
            <v>0</v>
          </cell>
        </row>
        <row r="127">
          <cell r="GP127" t="str">
            <v>Condensate Storage Tank</v>
          </cell>
          <cell r="GQ127">
            <v>0</v>
          </cell>
          <cell r="GS127">
            <v>0</v>
          </cell>
          <cell r="GT127">
            <v>0</v>
          </cell>
          <cell r="GV127">
            <v>0</v>
          </cell>
          <cell r="GW127">
            <v>0</v>
          </cell>
          <cell r="GY127">
            <v>0</v>
          </cell>
          <cell r="GZ127">
            <v>0</v>
          </cell>
          <cell r="HB127">
            <v>0</v>
          </cell>
          <cell r="HC127">
            <v>0</v>
          </cell>
          <cell r="HE127">
            <v>0</v>
          </cell>
          <cell r="HF127">
            <v>0</v>
          </cell>
          <cell r="HH127">
            <v>0</v>
          </cell>
          <cell r="HI127">
            <v>0</v>
          </cell>
          <cell r="HK127">
            <v>0</v>
          </cell>
          <cell r="HL127">
            <v>0</v>
          </cell>
          <cell r="HN127">
            <v>0</v>
          </cell>
          <cell r="HO127">
            <v>0</v>
          </cell>
          <cell r="HQ127">
            <v>0</v>
          </cell>
          <cell r="HR127">
            <v>0</v>
          </cell>
          <cell r="HT127">
            <v>0</v>
          </cell>
          <cell r="HU127">
            <v>0</v>
          </cell>
          <cell r="HW127">
            <v>0</v>
          </cell>
          <cell r="HX127">
            <v>0</v>
          </cell>
          <cell r="HZ127">
            <v>0</v>
          </cell>
          <cell r="IA127">
            <v>0</v>
          </cell>
          <cell r="IC127">
            <v>0</v>
          </cell>
          <cell r="ID127">
            <v>0</v>
          </cell>
          <cell r="IF127">
            <v>0</v>
          </cell>
        </row>
        <row r="128">
          <cell r="GP128" t="str">
            <v>Neutralization Tank</v>
          </cell>
          <cell r="GQ128">
            <v>0</v>
          </cell>
          <cell r="GS128">
            <v>0</v>
          </cell>
          <cell r="GT128">
            <v>0</v>
          </cell>
          <cell r="GV128">
            <v>0</v>
          </cell>
          <cell r="GW128">
            <v>0</v>
          </cell>
          <cell r="GY128">
            <v>0</v>
          </cell>
          <cell r="GZ128">
            <v>0</v>
          </cell>
          <cell r="HB128">
            <v>0</v>
          </cell>
          <cell r="HC128">
            <v>0</v>
          </cell>
          <cell r="HE128">
            <v>0</v>
          </cell>
          <cell r="HF128">
            <v>0</v>
          </cell>
          <cell r="HH128">
            <v>0</v>
          </cell>
          <cell r="HI128">
            <v>0</v>
          </cell>
          <cell r="HK128">
            <v>0</v>
          </cell>
          <cell r="HL128">
            <v>0</v>
          </cell>
          <cell r="HN128">
            <v>0</v>
          </cell>
          <cell r="HO128">
            <v>0</v>
          </cell>
          <cell r="HQ128">
            <v>0</v>
          </cell>
          <cell r="HR128">
            <v>0</v>
          </cell>
          <cell r="HT128">
            <v>0</v>
          </cell>
          <cell r="HU128">
            <v>0</v>
          </cell>
          <cell r="HW128">
            <v>0</v>
          </cell>
          <cell r="HX128">
            <v>0</v>
          </cell>
          <cell r="HZ128">
            <v>0</v>
          </cell>
          <cell r="IA128">
            <v>0</v>
          </cell>
          <cell r="IC128">
            <v>0</v>
          </cell>
          <cell r="ID128">
            <v>0</v>
          </cell>
          <cell r="IF128">
            <v>0</v>
          </cell>
        </row>
        <row r="129">
          <cell r="GP129" t="str">
            <v>Misc Lined Tank 1</v>
          </cell>
          <cell r="GQ129">
            <v>0</v>
          </cell>
          <cell r="GS129">
            <v>0</v>
          </cell>
          <cell r="GT129">
            <v>0</v>
          </cell>
          <cell r="GV129">
            <v>0</v>
          </cell>
          <cell r="GW129">
            <v>0</v>
          </cell>
          <cell r="GY129">
            <v>0</v>
          </cell>
          <cell r="GZ129">
            <v>0</v>
          </cell>
          <cell r="HB129">
            <v>0</v>
          </cell>
          <cell r="HC129">
            <v>0</v>
          </cell>
          <cell r="HE129">
            <v>0</v>
          </cell>
          <cell r="HF129">
            <v>0</v>
          </cell>
          <cell r="HH129">
            <v>0</v>
          </cell>
          <cell r="HI129">
            <v>0</v>
          </cell>
          <cell r="HK129">
            <v>0</v>
          </cell>
          <cell r="HL129">
            <v>0</v>
          </cell>
          <cell r="HN129">
            <v>0</v>
          </cell>
          <cell r="HO129">
            <v>0</v>
          </cell>
          <cell r="HQ129">
            <v>0</v>
          </cell>
          <cell r="HR129">
            <v>0</v>
          </cell>
          <cell r="HT129">
            <v>0</v>
          </cell>
          <cell r="HU129">
            <v>0</v>
          </cell>
          <cell r="HW129">
            <v>0</v>
          </cell>
          <cell r="HX129">
            <v>0</v>
          </cell>
          <cell r="HZ129">
            <v>0</v>
          </cell>
          <cell r="IA129">
            <v>0</v>
          </cell>
          <cell r="IC129">
            <v>0</v>
          </cell>
          <cell r="ID129">
            <v>0</v>
          </cell>
          <cell r="IF129">
            <v>0</v>
          </cell>
        </row>
        <row r="130">
          <cell r="GP130" t="str">
            <v>Misc Lined Tank 2</v>
          </cell>
          <cell r="GQ130">
            <v>0</v>
          </cell>
          <cell r="GS130">
            <v>0</v>
          </cell>
          <cell r="GT130">
            <v>0</v>
          </cell>
          <cell r="GV130">
            <v>0</v>
          </cell>
          <cell r="GW130">
            <v>0</v>
          </cell>
          <cell r="GY130">
            <v>0</v>
          </cell>
          <cell r="GZ130">
            <v>0</v>
          </cell>
          <cell r="HB130">
            <v>0</v>
          </cell>
          <cell r="HC130">
            <v>0</v>
          </cell>
          <cell r="HE130">
            <v>0</v>
          </cell>
          <cell r="HF130">
            <v>0</v>
          </cell>
          <cell r="HH130">
            <v>0</v>
          </cell>
          <cell r="HI130">
            <v>0</v>
          </cell>
          <cell r="HK130">
            <v>0</v>
          </cell>
          <cell r="HL130">
            <v>0</v>
          </cell>
          <cell r="HN130">
            <v>0</v>
          </cell>
          <cell r="HO130">
            <v>0</v>
          </cell>
          <cell r="HQ130">
            <v>0</v>
          </cell>
          <cell r="HR130">
            <v>0</v>
          </cell>
          <cell r="HT130">
            <v>0</v>
          </cell>
          <cell r="HU130">
            <v>0</v>
          </cell>
          <cell r="HW130">
            <v>0</v>
          </cell>
          <cell r="HX130">
            <v>0</v>
          </cell>
          <cell r="HZ130">
            <v>0</v>
          </cell>
          <cell r="IA130">
            <v>0</v>
          </cell>
          <cell r="IC130">
            <v>0</v>
          </cell>
          <cell r="ID130">
            <v>0</v>
          </cell>
          <cell r="IF130">
            <v>0</v>
          </cell>
        </row>
        <row r="131">
          <cell r="GP131" t="str">
            <v>Misc Lined Tank 3</v>
          </cell>
          <cell r="GQ131">
            <v>0</v>
          </cell>
          <cell r="GS131">
            <v>0</v>
          </cell>
          <cell r="GT131">
            <v>0</v>
          </cell>
          <cell r="GV131">
            <v>0</v>
          </cell>
          <cell r="GW131">
            <v>0</v>
          </cell>
          <cell r="GY131">
            <v>0</v>
          </cell>
          <cell r="GZ131">
            <v>0</v>
          </cell>
          <cell r="HB131">
            <v>0</v>
          </cell>
          <cell r="HC131">
            <v>0</v>
          </cell>
          <cell r="HE131">
            <v>0</v>
          </cell>
          <cell r="HF131">
            <v>0</v>
          </cell>
          <cell r="HH131">
            <v>0</v>
          </cell>
          <cell r="HI131">
            <v>0</v>
          </cell>
          <cell r="HK131">
            <v>0</v>
          </cell>
          <cell r="HL131">
            <v>0</v>
          </cell>
          <cell r="HN131">
            <v>0</v>
          </cell>
          <cell r="HO131">
            <v>0</v>
          </cell>
          <cell r="HQ131">
            <v>0</v>
          </cell>
          <cell r="HR131">
            <v>0</v>
          </cell>
          <cell r="HT131">
            <v>0</v>
          </cell>
          <cell r="HU131">
            <v>0</v>
          </cell>
          <cell r="HW131">
            <v>0</v>
          </cell>
          <cell r="HX131">
            <v>0</v>
          </cell>
          <cell r="HZ131">
            <v>0</v>
          </cell>
          <cell r="IA131">
            <v>0</v>
          </cell>
          <cell r="IC131">
            <v>0</v>
          </cell>
          <cell r="ID131">
            <v>0</v>
          </cell>
          <cell r="IF131">
            <v>0</v>
          </cell>
        </row>
        <row r="132">
          <cell r="GP132" t="str">
            <v>HRSG Blowdown Tank</v>
          </cell>
          <cell r="GQ132">
            <v>0</v>
          </cell>
          <cell r="GS132">
            <v>0</v>
          </cell>
          <cell r="GT132">
            <v>0</v>
          </cell>
          <cell r="GV132">
            <v>0</v>
          </cell>
          <cell r="GW132">
            <v>0</v>
          </cell>
          <cell r="GY132">
            <v>0</v>
          </cell>
          <cell r="GZ132">
            <v>0</v>
          </cell>
          <cell r="HB132">
            <v>0</v>
          </cell>
          <cell r="HC132">
            <v>0</v>
          </cell>
          <cell r="HE132">
            <v>0</v>
          </cell>
          <cell r="HF132">
            <v>0</v>
          </cell>
          <cell r="HH132">
            <v>0</v>
          </cell>
          <cell r="HI132">
            <v>0</v>
          </cell>
          <cell r="HK132">
            <v>0</v>
          </cell>
          <cell r="HL132">
            <v>0</v>
          </cell>
          <cell r="HN132">
            <v>0</v>
          </cell>
          <cell r="HO132">
            <v>0</v>
          </cell>
          <cell r="HQ132">
            <v>0</v>
          </cell>
          <cell r="HR132">
            <v>0</v>
          </cell>
          <cell r="HT132">
            <v>0</v>
          </cell>
          <cell r="HU132">
            <v>0</v>
          </cell>
          <cell r="HW132">
            <v>0</v>
          </cell>
          <cell r="HX132">
            <v>0</v>
          </cell>
          <cell r="HZ132">
            <v>0</v>
          </cell>
          <cell r="IA132">
            <v>0</v>
          </cell>
          <cell r="IC132">
            <v>0</v>
          </cell>
          <cell r="ID132">
            <v>0</v>
          </cell>
          <cell r="IF132">
            <v>0</v>
          </cell>
        </row>
        <row r="133">
          <cell r="GP133" t="str">
            <v>Auxiliary Boiler Blowdown Tank</v>
          </cell>
          <cell r="GQ133">
            <v>0</v>
          </cell>
          <cell r="GS133">
            <v>0</v>
          </cell>
          <cell r="GT133">
            <v>0</v>
          </cell>
          <cell r="GV133">
            <v>0</v>
          </cell>
          <cell r="GW133">
            <v>0</v>
          </cell>
          <cell r="GY133">
            <v>0</v>
          </cell>
          <cell r="GZ133">
            <v>0</v>
          </cell>
          <cell r="HB133">
            <v>0</v>
          </cell>
          <cell r="HC133">
            <v>0</v>
          </cell>
          <cell r="HE133">
            <v>0</v>
          </cell>
          <cell r="HF133">
            <v>0</v>
          </cell>
          <cell r="HH133">
            <v>0</v>
          </cell>
          <cell r="HI133">
            <v>0</v>
          </cell>
          <cell r="HK133">
            <v>0</v>
          </cell>
          <cell r="HL133">
            <v>0</v>
          </cell>
          <cell r="HN133">
            <v>0</v>
          </cell>
          <cell r="HO133">
            <v>0</v>
          </cell>
          <cell r="HQ133">
            <v>0</v>
          </cell>
          <cell r="HR133">
            <v>0</v>
          </cell>
          <cell r="HT133">
            <v>0</v>
          </cell>
          <cell r="HU133">
            <v>0</v>
          </cell>
          <cell r="HW133">
            <v>0</v>
          </cell>
          <cell r="HX133">
            <v>0</v>
          </cell>
          <cell r="HZ133">
            <v>0</v>
          </cell>
          <cell r="IA133">
            <v>0</v>
          </cell>
          <cell r="IC133">
            <v>0</v>
          </cell>
          <cell r="ID133">
            <v>0</v>
          </cell>
          <cell r="IF133">
            <v>0</v>
          </cell>
        </row>
        <row r="134">
          <cell r="GP134" t="str">
            <v>Lube Oil Storage Tank</v>
          </cell>
          <cell r="GQ134">
            <v>0</v>
          </cell>
          <cell r="GS134">
            <v>0</v>
          </cell>
          <cell r="GT134">
            <v>0</v>
          </cell>
          <cell r="GV134">
            <v>0</v>
          </cell>
          <cell r="GW134">
            <v>0</v>
          </cell>
          <cell r="GY134">
            <v>0</v>
          </cell>
          <cell r="GZ134">
            <v>0</v>
          </cell>
          <cell r="HB134">
            <v>0</v>
          </cell>
          <cell r="HC134">
            <v>0</v>
          </cell>
          <cell r="HE134">
            <v>0</v>
          </cell>
          <cell r="HF134">
            <v>0</v>
          </cell>
          <cell r="HH134">
            <v>0</v>
          </cell>
          <cell r="HI134">
            <v>0</v>
          </cell>
          <cell r="HK134">
            <v>0</v>
          </cell>
          <cell r="HL134">
            <v>0</v>
          </cell>
          <cell r="HN134">
            <v>0</v>
          </cell>
          <cell r="HO134">
            <v>0</v>
          </cell>
          <cell r="HQ134">
            <v>0</v>
          </cell>
          <cell r="HR134">
            <v>0</v>
          </cell>
          <cell r="HT134">
            <v>0</v>
          </cell>
          <cell r="HU134">
            <v>0</v>
          </cell>
          <cell r="HW134">
            <v>0</v>
          </cell>
          <cell r="HX134">
            <v>0</v>
          </cell>
          <cell r="HZ134">
            <v>0</v>
          </cell>
          <cell r="IA134">
            <v>0</v>
          </cell>
          <cell r="IC134">
            <v>0</v>
          </cell>
          <cell r="ID134">
            <v>0</v>
          </cell>
          <cell r="IF134">
            <v>0</v>
          </cell>
        </row>
        <row r="135">
          <cell r="GP135" t="str">
            <v>Shop Fab Tank 4</v>
          </cell>
          <cell r="GQ135">
            <v>0</v>
          </cell>
          <cell r="GS135">
            <v>0</v>
          </cell>
          <cell r="GT135">
            <v>0</v>
          </cell>
          <cell r="GV135">
            <v>0</v>
          </cell>
          <cell r="GW135">
            <v>0</v>
          </cell>
          <cell r="GY135">
            <v>0</v>
          </cell>
          <cell r="GZ135">
            <v>0</v>
          </cell>
          <cell r="HB135">
            <v>0</v>
          </cell>
          <cell r="HC135">
            <v>0</v>
          </cell>
          <cell r="HE135">
            <v>0</v>
          </cell>
          <cell r="HF135">
            <v>0</v>
          </cell>
          <cell r="HH135">
            <v>0</v>
          </cell>
          <cell r="HI135">
            <v>0</v>
          </cell>
          <cell r="HK135">
            <v>0</v>
          </cell>
          <cell r="HL135">
            <v>0</v>
          </cell>
          <cell r="HN135">
            <v>0</v>
          </cell>
          <cell r="HO135">
            <v>0</v>
          </cell>
          <cell r="HQ135">
            <v>0</v>
          </cell>
          <cell r="HR135">
            <v>0</v>
          </cell>
          <cell r="HT135">
            <v>0</v>
          </cell>
          <cell r="HU135">
            <v>0</v>
          </cell>
          <cell r="HW135">
            <v>0</v>
          </cell>
          <cell r="HX135">
            <v>0</v>
          </cell>
          <cell r="HZ135">
            <v>0</v>
          </cell>
          <cell r="IA135">
            <v>0</v>
          </cell>
          <cell r="IC135">
            <v>0</v>
          </cell>
          <cell r="ID135">
            <v>0</v>
          </cell>
          <cell r="IF135">
            <v>0</v>
          </cell>
        </row>
        <row r="136">
          <cell r="GP136" t="str">
            <v>Closed Cooling Water Head Tank</v>
          </cell>
          <cell r="GQ136">
            <v>100</v>
          </cell>
          <cell r="GS136">
            <v>100</v>
          </cell>
          <cell r="GT136">
            <v>100</v>
          </cell>
          <cell r="GV136">
            <v>100</v>
          </cell>
          <cell r="GW136">
            <v>100</v>
          </cell>
          <cell r="GY136">
            <v>100</v>
          </cell>
          <cell r="GZ136">
            <v>100</v>
          </cell>
          <cell r="HB136">
            <v>100</v>
          </cell>
          <cell r="HC136">
            <v>100</v>
          </cell>
          <cell r="HE136">
            <v>100</v>
          </cell>
          <cell r="HF136">
            <v>100</v>
          </cell>
          <cell r="HH136">
            <v>100</v>
          </cell>
          <cell r="HI136">
            <v>100</v>
          </cell>
          <cell r="HK136">
            <v>100</v>
          </cell>
          <cell r="HL136">
            <v>100</v>
          </cell>
          <cell r="HN136">
            <v>100</v>
          </cell>
          <cell r="HO136">
            <v>100</v>
          </cell>
          <cell r="HQ136">
            <v>100</v>
          </cell>
          <cell r="HR136">
            <v>100</v>
          </cell>
          <cell r="HT136">
            <v>100</v>
          </cell>
          <cell r="HU136">
            <v>100</v>
          </cell>
          <cell r="HW136">
            <v>100</v>
          </cell>
          <cell r="HX136">
            <v>100</v>
          </cell>
          <cell r="HZ136">
            <v>100</v>
          </cell>
          <cell r="IA136">
            <v>100</v>
          </cell>
          <cell r="IC136">
            <v>100</v>
          </cell>
          <cell r="ID136">
            <v>100</v>
          </cell>
          <cell r="IF136">
            <v>100</v>
          </cell>
        </row>
        <row r="137">
          <cell r="GP137" t="str">
            <v>Shop Fab Tank 1</v>
          </cell>
          <cell r="GQ137">
            <v>0</v>
          </cell>
          <cell r="GS137">
            <v>0</v>
          </cell>
          <cell r="GT137">
            <v>0</v>
          </cell>
          <cell r="GV137">
            <v>0</v>
          </cell>
          <cell r="GW137">
            <v>0</v>
          </cell>
          <cell r="GY137">
            <v>0</v>
          </cell>
          <cell r="GZ137">
            <v>0</v>
          </cell>
          <cell r="HB137">
            <v>0</v>
          </cell>
          <cell r="HC137">
            <v>0</v>
          </cell>
          <cell r="HE137">
            <v>0</v>
          </cell>
          <cell r="HF137">
            <v>0</v>
          </cell>
          <cell r="HH137">
            <v>0</v>
          </cell>
          <cell r="HI137">
            <v>0</v>
          </cell>
          <cell r="HK137">
            <v>0</v>
          </cell>
          <cell r="HL137">
            <v>0</v>
          </cell>
          <cell r="HN137">
            <v>0</v>
          </cell>
          <cell r="HO137">
            <v>0</v>
          </cell>
          <cell r="HQ137">
            <v>0</v>
          </cell>
          <cell r="HR137">
            <v>0</v>
          </cell>
          <cell r="HT137">
            <v>0</v>
          </cell>
          <cell r="HU137">
            <v>0</v>
          </cell>
          <cell r="HW137">
            <v>0</v>
          </cell>
          <cell r="HX137">
            <v>0</v>
          </cell>
          <cell r="HZ137">
            <v>0</v>
          </cell>
          <cell r="IA137">
            <v>0</v>
          </cell>
          <cell r="IC137">
            <v>0</v>
          </cell>
          <cell r="ID137">
            <v>0</v>
          </cell>
          <cell r="IF137">
            <v>0</v>
          </cell>
        </row>
        <row r="138">
          <cell r="GP138" t="str">
            <v>Shop Fab Tank 2</v>
          </cell>
          <cell r="GQ138">
            <v>0</v>
          </cell>
          <cell r="GS138">
            <v>0</v>
          </cell>
          <cell r="GT138">
            <v>0</v>
          </cell>
          <cell r="GV138">
            <v>0</v>
          </cell>
          <cell r="GW138">
            <v>0</v>
          </cell>
          <cell r="GY138">
            <v>0</v>
          </cell>
          <cell r="GZ138">
            <v>0</v>
          </cell>
          <cell r="HB138">
            <v>0</v>
          </cell>
          <cell r="HC138">
            <v>0</v>
          </cell>
          <cell r="HE138">
            <v>0</v>
          </cell>
          <cell r="HF138">
            <v>0</v>
          </cell>
          <cell r="HH138">
            <v>0</v>
          </cell>
          <cell r="HI138">
            <v>0</v>
          </cell>
          <cell r="HK138">
            <v>0</v>
          </cell>
          <cell r="HL138">
            <v>0</v>
          </cell>
          <cell r="HN138">
            <v>0</v>
          </cell>
          <cell r="HO138">
            <v>0</v>
          </cell>
          <cell r="HQ138">
            <v>0</v>
          </cell>
          <cell r="HR138">
            <v>0</v>
          </cell>
          <cell r="HT138">
            <v>0</v>
          </cell>
          <cell r="HU138">
            <v>0</v>
          </cell>
          <cell r="HW138">
            <v>0</v>
          </cell>
          <cell r="HX138">
            <v>0</v>
          </cell>
          <cell r="HZ138">
            <v>0</v>
          </cell>
          <cell r="IA138">
            <v>0</v>
          </cell>
          <cell r="IC138">
            <v>0</v>
          </cell>
          <cell r="ID138">
            <v>0</v>
          </cell>
          <cell r="IF138">
            <v>0</v>
          </cell>
        </row>
        <row r="139">
          <cell r="GP139" t="str">
            <v>Shop Fab Tank 3</v>
          </cell>
          <cell r="GQ139">
            <v>0</v>
          </cell>
          <cell r="GS139">
            <v>0</v>
          </cell>
          <cell r="GT139">
            <v>0</v>
          </cell>
          <cell r="GV139">
            <v>0</v>
          </cell>
          <cell r="GW139">
            <v>0</v>
          </cell>
          <cell r="GY139">
            <v>0</v>
          </cell>
          <cell r="GZ139">
            <v>0</v>
          </cell>
          <cell r="HB139">
            <v>0</v>
          </cell>
          <cell r="HC139">
            <v>0</v>
          </cell>
          <cell r="HE139">
            <v>0</v>
          </cell>
          <cell r="HF139">
            <v>0</v>
          </cell>
          <cell r="HH139">
            <v>0</v>
          </cell>
          <cell r="HI139">
            <v>0</v>
          </cell>
          <cell r="HK139">
            <v>0</v>
          </cell>
          <cell r="HL139">
            <v>0</v>
          </cell>
          <cell r="HN139">
            <v>0</v>
          </cell>
          <cell r="HO139">
            <v>0</v>
          </cell>
          <cell r="HQ139">
            <v>0</v>
          </cell>
          <cell r="HR139">
            <v>0</v>
          </cell>
          <cell r="HT139">
            <v>0</v>
          </cell>
          <cell r="HU139">
            <v>0</v>
          </cell>
          <cell r="HW139">
            <v>0</v>
          </cell>
          <cell r="HX139">
            <v>0</v>
          </cell>
          <cell r="HZ139">
            <v>0</v>
          </cell>
          <cell r="IA139">
            <v>0</v>
          </cell>
          <cell r="IC139">
            <v>0</v>
          </cell>
          <cell r="ID139">
            <v>0</v>
          </cell>
          <cell r="IF139">
            <v>0</v>
          </cell>
        </row>
        <row r="140">
          <cell r="GP140" t="str">
            <v>GTG Drains Tank</v>
          </cell>
          <cell r="GQ140">
            <v>100</v>
          </cell>
          <cell r="GS140">
            <v>100</v>
          </cell>
          <cell r="GT140">
            <v>100</v>
          </cell>
          <cell r="GV140">
            <v>100</v>
          </cell>
          <cell r="GW140">
            <v>100</v>
          </cell>
          <cell r="GY140">
            <v>100</v>
          </cell>
          <cell r="GZ140">
            <v>100</v>
          </cell>
          <cell r="HB140">
            <v>100</v>
          </cell>
          <cell r="HC140">
            <v>100</v>
          </cell>
          <cell r="HE140">
            <v>100</v>
          </cell>
          <cell r="HF140">
            <v>100</v>
          </cell>
          <cell r="HH140">
            <v>100</v>
          </cell>
          <cell r="HI140">
            <v>100</v>
          </cell>
          <cell r="HK140">
            <v>100</v>
          </cell>
          <cell r="HL140">
            <v>100</v>
          </cell>
          <cell r="HN140">
            <v>100</v>
          </cell>
          <cell r="HO140">
            <v>100</v>
          </cell>
          <cell r="HQ140">
            <v>100</v>
          </cell>
          <cell r="HR140">
            <v>100</v>
          </cell>
          <cell r="HT140">
            <v>100</v>
          </cell>
          <cell r="HU140">
            <v>100</v>
          </cell>
          <cell r="HW140">
            <v>100</v>
          </cell>
          <cell r="HX140">
            <v>100</v>
          </cell>
          <cell r="HZ140">
            <v>100</v>
          </cell>
          <cell r="IA140">
            <v>100</v>
          </cell>
          <cell r="IC140">
            <v>100</v>
          </cell>
          <cell r="ID140">
            <v>100</v>
          </cell>
          <cell r="IF140">
            <v>100</v>
          </cell>
        </row>
        <row r="141">
          <cell r="GP141" t="str">
            <v>False Start Drain Tank</v>
          </cell>
          <cell r="GQ141">
            <v>100</v>
          </cell>
          <cell r="GS141">
            <v>100</v>
          </cell>
          <cell r="GT141">
            <v>100</v>
          </cell>
          <cell r="GV141">
            <v>100</v>
          </cell>
          <cell r="GW141">
            <v>100</v>
          </cell>
          <cell r="GY141">
            <v>100</v>
          </cell>
          <cell r="GZ141">
            <v>100</v>
          </cell>
          <cell r="HB141">
            <v>100</v>
          </cell>
          <cell r="HC141">
            <v>100</v>
          </cell>
          <cell r="HE141">
            <v>100</v>
          </cell>
          <cell r="HF141">
            <v>100</v>
          </cell>
          <cell r="HH141">
            <v>100</v>
          </cell>
          <cell r="HI141">
            <v>100</v>
          </cell>
          <cell r="HK141">
            <v>100</v>
          </cell>
          <cell r="HL141">
            <v>100</v>
          </cell>
          <cell r="HN141">
            <v>100</v>
          </cell>
          <cell r="HO141">
            <v>100</v>
          </cell>
          <cell r="HQ141">
            <v>100</v>
          </cell>
          <cell r="HR141">
            <v>100</v>
          </cell>
          <cell r="HT141">
            <v>100</v>
          </cell>
          <cell r="HU141">
            <v>100</v>
          </cell>
          <cell r="HW141">
            <v>100</v>
          </cell>
          <cell r="HX141">
            <v>100</v>
          </cell>
          <cell r="HZ141">
            <v>100</v>
          </cell>
          <cell r="IA141">
            <v>100</v>
          </cell>
          <cell r="IC141">
            <v>100</v>
          </cell>
          <cell r="ID141">
            <v>100</v>
          </cell>
          <cell r="IF141">
            <v>100</v>
          </cell>
        </row>
        <row r="142">
          <cell r="GP142" t="str">
            <v>Acid Storage Tank</v>
          </cell>
          <cell r="GQ142">
            <v>0</v>
          </cell>
          <cell r="GS142">
            <v>0</v>
          </cell>
          <cell r="GT142">
            <v>0</v>
          </cell>
          <cell r="GV142">
            <v>0</v>
          </cell>
          <cell r="GW142">
            <v>0</v>
          </cell>
          <cell r="GY142">
            <v>0</v>
          </cell>
          <cell r="GZ142">
            <v>0</v>
          </cell>
          <cell r="HB142">
            <v>0</v>
          </cell>
          <cell r="HC142">
            <v>0</v>
          </cell>
          <cell r="HE142">
            <v>0</v>
          </cell>
          <cell r="HF142">
            <v>0</v>
          </cell>
          <cell r="HH142">
            <v>0</v>
          </cell>
          <cell r="HI142">
            <v>0</v>
          </cell>
          <cell r="HK142">
            <v>0</v>
          </cell>
          <cell r="HL142">
            <v>0</v>
          </cell>
          <cell r="HN142">
            <v>0</v>
          </cell>
          <cell r="HO142">
            <v>0</v>
          </cell>
          <cell r="HQ142">
            <v>0</v>
          </cell>
          <cell r="HR142">
            <v>0</v>
          </cell>
          <cell r="HT142">
            <v>0</v>
          </cell>
          <cell r="HU142">
            <v>0</v>
          </cell>
          <cell r="HW142">
            <v>0</v>
          </cell>
          <cell r="HX142">
            <v>0</v>
          </cell>
          <cell r="HZ142">
            <v>0</v>
          </cell>
          <cell r="IA142">
            <v>0</v>
          </cell>
          <cell r="IC142">
            <v>0</v>
          </cell>
          <cell r="ID142">
            <v>0</v>
          </cell>
          <cell r="IF142">
            <v>0</v>
          </cell>
        </row>
        <row r="143">
          <cell r="GP143" t="str">
            <v>Caustic Storage Tank</v>
          </cell>
          <cell r="GQ143">
            <v>0</v>
          </cell>
          <cell r="GS143">
            <v>0</v>
          </cell>
          <cell r="GT143">
            <v>0</v>
          </cell>
          <cell r="GV143">
            <v>0</v>
          </cell>
          <cell r="GW143">
            <v>0</v>
          </cell>
          <cell r="GY143">
            <v>0</v>
          </cell>
          <cell r="GZ143">
            <v>0</v>
          </cell>
          <cell r="HB143">
            <v>0</v>
          </cell>
          <cell r="HC143">
            <v>0</v>
          </cell>
          <cell r="HE143">
            <v>0</v>
          </cell>
          <cell r="HF143">
            <v>0</v>
          </cell>
          <cell r="HH143">
            <v>0</v>
          </cell>
          <cell r="HI143">
            <v>0</v>
          </cell>
          <cell r="HK143">
            <v>0</v>
          </cell>
          <cell r="HL143">
            <v>0</v>
          </cell>
          <cell r="HN143">
            <v>0</v>
          </cell>
          <cell r="HO143">
            <v>0</v>
          </cell>
          <cell r="HQ143">
            <v>0</v>
          </cell>
          <cell r="HR143">
            <v>0</v>
          </cell>
          <cell r="HT143">
            <v>0</v>
          </cell>
          <cell r="HU143">
            <v>0</v>
          </cell>
          <cell r="HW143">
            <v>0</v>
          </cell>
          <cell r="HX143">
            <v>0</v>
          </cell>
          <cell r="HZ143">
            <v>0</v>
          </cell>
          <cell r="IA143">
            <v>0</v>
          </cell>
          <cell r="IC143">
            <v>0</v>
          </cell>
          <cell r="ID143">
            <v>0</v>
          </cell>
          <cell r="IF143">
            <v>0</v>
          </cell>
        </row>
        <row r="144">
          <cell r="GP144" t="str">
            <v>Sulfuric Acid Tank</v>
          </cell>
          <cell r="GQ144">
            <v>0</v>
          </cell>
          <cell r="GS144">
            <v>0</v>
          </cell>
          <cell r="GT144">
            <v>0</v>
          </cell>
          <cell r="GV144">
            <v>0</v>
          </cell>
          <cell r="GW144">
            <v>0</v>
          </cell>
          <cell r="GY144">
            <v>0</v>
          </cell>
          <cell r="GZ144">
            <v>0</v>
          </cell>
          <cell r="HB144">
            <v>0</v>
          </cell>
          <cell r="HC144">
            <v>0</v>
          </cell>
          <cell r="HE144">
            <v>0</v>
          </cell>
          <cell r="HF144">
            <v>0</v>
          </cell>
          <cell r="HH144">
            <v>0</v>
          </cell>
          <cell r="HI144">
            <v>0</v>
          </cell>
          <cell r="HK144">
            <v>0</v>
          </cell>
          <cell r="HL144">
            <v>0</v>
          </cell>
          <cell r="HN144">
            <v>0</v>
          </cell>
          <cell r="HO144">
            <v>0</v>
          </cell>
          <cell r="HQ144">
            <v>0</v>
          </cell>
          <cell r="HR144">
            <v>0</v>
          </cell>
          <cell r="HT144">
            <v>0</v>
          </cell>
          <cell r="HU144">
            <v>0</v>
          </cell>
          <cell r="HW144">
            <v>0</v>
          </cell>
          <cell r="HX144">
            <v>0</v>
          </cell>
          <cell r="HZ144">
            <v>0</v>
          </cell>
          <cell r="IA144">
            <v>0</v>
          </cell>
          <cell r="IC144">
            <v>0</v>
          </cell>
          <cell r="ID144">
            <v>0</v>
          </cell>
          <cell r="IF144">
            <v>0</v>
          </cell>
        </row>
        <row r="145">
          <cell r="GP145" t="str">
            <v>Shop Fab Non Met Tank 1</v>
          </cell>
          <cell r="GQ145">
            <v>0</v>
          </cell>
          <cell r="GS145">
            <v>0</v>
          </cell>
          <cell r="GT145">
            <v>0</v>
          </cell>
          <cell r="GV145">
            <v>0</v>
          </cell>
          <cell r="GW145">
            <v>0</v>
          </cell>
          <cell r="GY145">
            <v>0</v>
          </cell>
          <cell r="GZ145">
            <v>0</v>
          </cell>
          <cell r="HB145">
            <v>0</v>
          </cell>
          <cell r="HC145">
            <v>0</v>
          </cell>
          <cell r="HE145">
            <v>0</v>
          </cell>
          <cell r="HF145">
            <v>0</v>
          </cell>
          <cell r="HH145">
            <v>0</v>
          </cell>
          <cell r="HI145">
            <v>0</v>
          </cell>
          <cell r="HK145">
            <v>0</v>
          </cell>
          <cell r="HL145">
            <v>0</v>
          </cell>
          <cell r="HN145">
            <v>0</v>
          </cell>
          <cell r="HO145">
            <v>0</v>
          </cell>
          <cell r="HQ145">
            <v>0</v>
          </cell>
          <cell r="HR145">
            <v>0</v>
          </cell>
          <cell r="HT145">
            <v>0</v>
          </cell>
          <cell r="HU145">
            <v>0</v>
          </cell>
          <cell r="HW145">
            <v>0</v>
          </cell>
          <cell r="HX145">
            <v>0</v>
          </cell>
          <cell r="HZ145">
            <v>0</v>
          </cell>
          <cell r="IA145">
            <v>0</v>
          </cell>
          <cell r="IC145">
            <v>0</v>
          </cell>
          <cell r="ID145">
            <v>0</v>
          </cell>
          <cell r="IF145">
            <v>0</v>
          </cell>
        </row>
        <row r="146">
          <cell r="GP146" t="str">
            <v>Shop Fab Non Met Tank 2</v>
          </cell>
          <cell r="GQ146">
            <v>0</v>
          </cell>
          <cell r="GS146">
            <v>0</v>
          </cell>
          <cell r="GT146">
            <v>0</v>
          </cell>
          <cell r="GV146">
            <v>0</v>
          </cell>
          <cell r="GW146">
            <v>0</v>
          </cell>
          <cell r="GY146">
            <v>0</v>
          </cell>
          <cell r="GZ146">
            <v>0</v>
          </cell>
          <cell r="HB146">
            <v>0</v>
          </cell>
          <cell r="HC146">
            <v>0</v>
          </cell>
          <cell r="HE146">
            <v>0</v>
          </cell>
          <cell r="HF146">
            <v>0</v>
          </cell>
          <cell r="HH146">
            <v>0</v>
          </cell>
          <cell r="HI146">
            <v>0</v>
          </cell>
          <cell r="HK146">
            <v>0</v>
          </cell>
          <cell r="HL146">
            <v>0</v>
          </cell>
          <cell r="HN146">
            <v>0</v>
          </cell>
          <cell r="HO146">
            <v>0</v>
          </cell>
          <cell r="HQ146">
            <v>0</v>
          </cell>
          <cell r="HR146">
            <v>0</v>
          </cell>
          <cell r="HT146">
            <v>0</v>
          </cell>
          <cell r="HU146">
            <v>0</v>
          </cell>
          <cell r="HW146">
            <v>0</v>
          </cell>
          <cell r="HX146">
            <v>0</v>
          </cell>
          <cell r="HZ146">
            <v>0</v>
          </cell>
          <cell r="IA146">
            <v>0</v>
          </cell>
          <cell r="IC146">
            <v>0</v>
          </cell>
          <cell r="ID146">
            <v>0</v>
          </cell>
          <cell r="IF146">
            <v>0</v>
          </cell>
        </row>
        <row r="147">
          <cell r="GP147" t="str">
            <v>Shop Fab Non Met Tank 3</v>
          </cell>
          <cell r="GQ147">
            <v>0</v>
          </cell>
          <cell r="GS147">
            <v>0</v>
          </cell>
          <cell r="GT147">
            <v>0</v>
          </cell>
          <cell r="GV147">
            <v>0</v>
          </cell>
          <cell r="GW147">
            <v>0</v>
          </cell>
          <cell r="GY147">
            <v>0</v>
          </cell>
          <cell r="GZ147">
            <v>0</v>
          </cell>
          <cell r="HB147">
            <v>0</v>
          </cell>
          <cell r="HC147">
            <v>0</v>
          </cell>
          <cell r="HE147">
            <v>0</v>
          </cell>
          <cell r="HF147">
            <v>0</v>
          </cell>
          <cell r="HH147">
            <v>0</v>
          </cell>
          <cell r="HI147">
            <v>0</v>
          </cell>
          <cell r="HK147">
            <v>0</v>
          </cell>
          <cell r="HL147">
            <v>0</v>
          </cell>
          <cell r="HN147">
            <v>0</v>
          </cell>
          <cell r="HO147">
            <v>0</v>
          </cell>
          <cell r="HQ147">
            <v>0</v>
          </cell>
          <cell r="HR147">
            <v>0</v>
          </cell>
          <cell r="HT147">
            <v>0</v>
          </cell>
          <cell r="HU147">
            <v>0</v>
          </cell>
          <cell r="HW147">
            <v>0</v>
          </cell>
          <cell r="HX147">
            <v>0</v>
          </cell>
          <cell r="HZ147">
            <v>0</v>
          </cell>
          <cell r="IA147">
            <v>0</v>
          </cell>
          <cell r="IC147">
            <v>0</v>
          </cell>
          <cell r="ID147">
            <v>0</v>
          </cell>
          <cell r="IF147">
            <v>0</v>
          </cell>
        </row>
        <row r="148">
          <cell r="GP148" t="str">
            <v>Condensate Drains Tank</v>
          </cell>
          <cell r="GQ148">
            <v>0</v>
          </cell>
          <cell r="GS148">
            <v>0</v>
          </cell>
          <cell r="GT148">
            <v>0</v>
          </cell>
          <cell r="GV148">
            <v>0</v>
          </cell>
          <cell r="GW148">
            <v>0</v>
          </cell>
          <cell r="GY148">
            <v>0</v>
          </cell>
          <cell r="GZ148">
            <v>0</v>
          </cell>
          <cell r="HB148">
            <v>0</v>
          </cell>
          <cell r="HC148">
            <v>0</v>
          </cell>
          <cell r="HE148">
            <v>0</v>
          </cell>
          <cell r="HF148">
            <v>0</v>
          </cell>
          <cell r="HH148">
            <v>0</v>
          </cell>
          <cell r="HI148">
            <v>0</v>
          </cell>
          <cell r="HK148">
            <v>0</v>
          </cell>
          <cell r="HL148">
            <v>0</v>
          </cell>
          <cell r="HN148">
            <v>0</v>
          </cell>
          <cell r="HO148">
            <v>0</v>
          </cell>
          <cell r="HQ148">
            <v>0</v>
          </cell>
          <cell r="HR148">
            <v>0</v>
          </cell>
          <cell r="HT148">
            <v>0</v>
          </cell>
          <cell r="HU148">
            <v>0</v>
          </cell>
          <cell r="HW148">
            <v>0</v>
          </cell>
          <cell r="HX148">
            <v>0</v>
          </cell>
          <cell r="HZ148">
            <v>0</v>
          </cell>
          <cell r="IA148">
            <v>0</v>
          </cell>
          <cell r="IC148">
            <v>0</v>
          </cell>
          <cell r="ID148">
            <v>0</v>
          </cell>
          <cell r="IF148">
            <v>0</v>
          </cell>
        </row>
        <row r="149">
          <cell r="GQ149">
            <v>0</v>
          </cell>
          <cell r="GT149">
            <v>0</v>
          </cell>
          <cell r="GW149">
            <v>0</v>
          </cell>
          <cell r="GZ149">
            <v>0</v>
          </cell>
          <cell r="HC149">
            <v>0</v>
          </cell>
          <cell r="HF149">
            <v>0</v>
          </cell>
          <cell r="HI149">
            <v>0</v>
          </cell>
          <cell r="HL149">
            <v>0</v>
          </cell>
          <cell r="HO149">
            <v>0</v>
          </cell>
          <cell r="HR149">
            <v>0</v>
          </cell>
          <cell r="HU149">
            <v>0</v>
          </cell>
          <cell r="HX149">
            <v>0</v>
          </cell>
          <cell r="IA149">
            <v>0</v>
          </cell>
          <cell r="ID149">
            <v>0</v>
          </cell>
        </row>
        <row r="150">
          <cell r="GQ150">
            <v>0</v>
          </cell>
          <cell r="GT150">
            <v>0</v>
          </cell>
          <cell r="GW150">
            <v>0</v>
          </cell>
          <cell r="GZ150">
            <v>0</v>
          </cell>
          <cell r="HC150">
            <v>0</v>
          </cell>
          <cell r="HF150">
            <v>0</v>
          </cell>
          <cell r="HI150">
            <v>0</v>
          </cell>
          <cell r="HL150">
            <v>0</v>
          </cell>
          <cell r="HO150">
            <v>0</v>
          </cell>
          <cell r="HR150">
            <v>0</v>
          </cell>
          <cell r="HU150">
            <v>0</v>
          </cell>
          <cell r="HX150">
            <v>0</v>
          </cell>
          <cell r="IA150">
            <v>0</v>
          </cell>
          <cell r="ID150">
            <v>0</v>
          </cell>
        </row>
        <row r="151">
          <cell r="GQ151">
            <v>0</v>
          </cell>
          <cell r="GT151">
            <v>0</v>
          </cell>
          <cell r="GW151">
            <v>0</v>
          </cell>
          <cell r="GZ151">
            <v>0</v>
          </cell>
          <cell r="HC151">
            <v>0</v>
          </cell>
          <cell r="HF151">
            <v>0</v>
          </cell>
          <cell r="HI151">
            <v>0</v>
          </cell>
          <cell r="HL151">
            <v>0</v>
          </cell>
          <cell r="HO151">
            <v>0</v>
          </cell>
          <cell r="HR151">
            <v>0</v>
          </cell>
          <cell r="HU151">
            <v>0</v>
          </cell>
          <cell r="HX151">
            <v>0</v>
          </cell>
          <cell r="IA151">
            <v>0</v>
          </cell>
          <cell r="ID151">
            <v>0</v>
          </cell>
        </row>
        <row r="152">
          <cell r="GP152" t="str">
            <v>Electric Immersion Heater - Field Fab Tank</v>
          </cell>
          <cell r="GQ152">
            <v>0</v>
          </cell>
          <cell r="GS152">
            <v>0</v>
          </cell>
          <cell r="GT152">
            <v>0</v>
          </cell>
          <cell r="GV152">
            <v>0</v>
          </cell>
          <cell r="GW152">
            <v>0</v>
          </cell>
          <cell r="GY152">
            <v>0</v>
          </cell>
          <cell r="GZ152">
            <v>0</v>
          </cell>
          <cell r="HB152">
            <v>0</v>
          </cell>
          <cell r="HC152">
            <v>0</v>
          </cell>
          <cell r="HE152">
            <v>0</v>
          </cell>
          <cell r="HF152">
            <v>0</v>
          </cell>
          <cell r="HH152">
            <v>0</v>
          </cell>
          <cell r="HI152">
            <v>0</v>
          </cell>
          <cell r="HK152">
            <v>0</v>
          </cell>
          <cell r="HL152">
            <v>0</v>
          </cell>
          <cell r="HN152">
            <v>0</v>
          </cell>
          <cell r="HO152">
            <v>0</v>
          </cell>
          <cell r="HQ152">
            <v>0</v>
          </cell>
          <cell r="HR152">
            <v>0</v>
          </cell>
          <cell r="HT152">
            <v>0</v>
          </cell>
          <cell r="HU152">
            <v>0</v>
          </cell>
          <cell r="HW152">
            <v>0</v>
          </cell>
          <cell r="HX152">
            <v>0</v>
          </cell>
          <cell r="HZ152">
            <v>0</v>
          </cell>
          <cell r="IA152">
            <v>0</v>
          </cell>
          <cell r="IC152">
            <v>0</v>
          </cell>
          <cell r="ID152">
            <v>0</v>
          </cell>
          <cell r="IF152">
            <v>0</v>
          </cell>
        </row>
        <row r="153">
          <cell r="GP153" t="str">
            <v>Electric Immersion Heater - Shop Fab Tank</v>
          </cell>
          <cell r="GQ153">
            <v>0</v>
          </cell>
          <cell r="GS153">
            <v>0</v>
          </cell>
          <cell r="GT153">
            <v>0</v>
          </cell>
          <cell r="GV153">
            <v>0</v>
          </cell>
          <cell r="GW153">
            <v>0</v>
          </cell>
          <cell r="GY153">
            <v>0</v>
          </cell>
          <cell r="GZ153">
            <v>0</v>
          </cell>
          <cell r="HB153">
            <v>0</v>
          </cell>
          <cell r="HC153">
            <v>0</v>
          </cell>
          <cell r="HE153">
            <v>0</v>
          </cell>
          <cell r="HF153">
            <v>0</v>
          </cell>
          <cell r="HH153">
            <v>0</v>
          </cell>
          <cell r="HI153">
            <v>0</v>
          </cell>
          <cell r="HK153">
            <v>0</v>
          </cell>
          <cell r="HL153">
            <v>0</v>
          </cell>
          <cell r="HN153">
            <v>0</v>
          </cell>
          <cell r="HO153">
            <v>0</v>
          </cell>
          <cell r="HQ153">
            <v>0</v>
          </cell>
          <cell r="HR153">
            <v>0</v>
          </cell>
          <cell r="HT153">
            <v>0</v>
          </cell>
          <cell r="HU153">
            <v>0</v>
          </cell>
          <cell r="HW153">
            <v>0</v>
          </cell>
          <cell r="HX153">
            <v>0</v>
          </cell>
          <cell r="HZ153">
            <v>0</v>
          </cell>
          <cell r="IA153">
            <v>0</v>
          </cell>
          <cell r="IC153">
            <v>0</v>
          </cell>
          <cell r="ID153">
            <v>0</v>
          </cell>
          <cell r="IF153">
            <v>0</v>
          </cell>
        </row>
        <row r="154">
          <cell r="GP154" t="str">
            <v>Makeup Water Sand Filter</v>
          </cell>
          <cell r="GQ154">
            <v>0</v>
          </cell>
          <cell r="GS154">
            <v>0</v>
          </cell>
          <cell r="GT154">
            <v>0</v>
          </cell>
          <cell r="GV154">
            <v>0</v>
          </cell>
          <cell r="GW154">
            <v>0</v>
          </cell>
          <cell r="GY154">
            <v>0</v>
          </cell>
          <cell r="GZ154">
            <v>0</v>
          </cell>
          <cell r="HB154">
            <v>0</v>
          </cell>
          <cell r="HC154">
            <v>0</v>
          </cell>
          <cell r="HE154">
            <v>0</v>
          </cell>
          <cell r="HF154">
            <v>0</v>
          </cell>
          <cell r="HH154">
            <v>0</v>
          </cell>
          <cell r="HI154">
            <v>0</v>
          </cell>
          <cell r="HK154">
            <v>0</v>
          </cell>
          <cell r="HL154">
            <v>0</v>
          </cell>
          <cell r="HN154">
            <v>0</v>
          </cell>
          <cell r="HO154">
            <v>0</v>
          </cell>
          <cell r="HQ154">
            <v>0</v>
          </cell>
          <cell r="HR154">
            <v>0</v>
          </cell>
          <cell r="HT154">
            <v>0</v>
          </cell>
          <cell r="HU154">
            <v>0</v>
          </cell>
          <cell r="HW154">
            <v>0</v>
          </cell>
          <cell r="HX154">
            <v>0</v>
          </cell>
          <cell r="HZ154">
            <v>0</v>
          </cell>
          <cell r="IA154">
            <v>0</v>
          </cell>
          <cell r="IC154">
            <v>0</v>
          </cell>
          <cell r="ID154">
            <v>0</v>
          </cell>
          <cell r="IF154">
            <v>0</v>
          </cell>
        </row>
        <row r="155">
          <cell r="GP155" t="str">
            <v xml:space="preserve">Clarifier &amp; Gravity Filters - </v>
          </cell>
          <cell r="GQ155">
            <v>0</v>
          </cell>
          <cell r="GS155">
            <v>0</v>
          </cell>
          <cell r="GT155">
            <v>0</v>
          </cell>
          <cell r="GV155">
            <v>0</v>
          </cell>
          <cell r="GW155">
            <v>0</v>
          </cell>
          <cell r="GY155">
            <v>0</v>
          </cell>
          <cell r="GZ155">
            <v>0</v>
          </cell>
          <cell r="HB155">
            <v>0</v>
          </cell>
          <cell r="HC155">
            <v>0</v>
          </cell>
          <cell r="HE155">
            <v>0</v>
          </cell>
          <cell r="HF155">
            <v>0</v>
          </cell>
          <cell r="HH155">
            <v>0</v>
          </cell>
          <cell r="HI155">
            <v>0</v>
          </cell>
          <cell r="HK155">
            <v>0</v>
          </cell>
          <cell r="HL155">
            <v>0</v>
          </cell>
          <cell r="HN155">
            <v>0</v>
          </cell>
          <cell r="HO155">
            <v>0</v>
          </cell>
          <cell r="HQ155">
            <v>0</v>
          </cell>
          <cell r="HR155">
            <v>0</v>
          </cell>
          <cell r="HT155">
            <v>0</v>
          </cell>
          <cell r="HU155">
            <v>0</v>
          </cell>
          <cell r="HW155">
            <v>0</v>
          </cell>
          <cell r="HX155">
            <v>0</v>
          </cell>
          <cell r="HZ155">
            <v>0</v>
          </cell>
          <cell r="IA155">
            <v>0</v>
          </cell>
          <cell r="IC155">
            <v>0</v>
          </cell>
          <cell r="ID155">
            <v>0</v>
          </cell>
          <cell r="IF155">
            <v>0</v>
          </cell>
        </row>
        <row r="156">
          <cell r="GP156" t="str">
            <v>Gray Water Treatment System</v>
          </cell>
          <cell r="GQ156">
            <v>0</v>
          </cell>
          <cell r="GS156">
            <v>0</v>
          </cell>
          <cell r="GT156">
            <v>0</v>
          </cell>
          <cell r="GV156">
            <v>0</v>
          </cell>
          <cell r="GW156">
            <v>0</v>
          </cell>
          <cell r="GY156">
            <v>0</v>
          </cell>
          <cell r="GZ156">
            <v>0</v>
          </cell>
          <cell r="HB156">
            <v>0</v>
          </cell>
          <cell r="HC156">
            <v>0</v>
          </cell>
          <cell r="HE156">
            <v>0</v>
          </cell>
          <cell r="HF156">
            <v>0</v>
          </cell>
          <cell r="HH156">
            <v>0</v>
          </cell>
          <cell r="HI156">
            <v>0</v>
          </cell>
          <cell r="HK156">
            <v>0</v>
          </cell>
          <cell r="HL156">
            <v>0</v>
          </cell>
          <cell r="HN156">
            <v>0</v>
          </cell>
          <cell r="HO156">
            <v>0</v>
          </cell>
          <cell r="HQ156">
            <v>0</v>
          </cell>
          <cell r="HR156">
            <v>0</v>
          </cell>
          <cell r="HT156">
            <v>0</v>
          </cell>
          <cell r="HU156">
            <v>0</v>
          </cell>
          <cell r="HW156">
            <v>0</v>
          </cell>
          <cell r="HX156">
            <v>0</v>
          </cell>
          <cell r="HZ156">
            <v>0</v>
          </cell>
          <cell r="IA156">
            <v>0</v>
          </cell>
          <cell r="IC156">
            <v>0</v>
          </cell>
          <cell r="ID156">
            <v>0</v>
          </cell>
          <cell r="IF156">
            <v>0</v>
          </cell>
        </row>
        <row r="157">
          <cell r="GP157" t="str">
            <v xml:space="preserve">Desalination System - </v>
          </cell>
          <cell r="GQ157">
            <v>0</v>
          </cell>
          <cell r="GS157">
            <v>0</v>
          </cell>
          <cell r="GT157">
            <v>0</v>
          </cell>
          <cell r="GV157">
            <v>0</v>
          </cell>
          <cell r="GW157">
            <v>0</v>
          </cell>
          <cell r="GY157">
            <v>0</v>
          </cell>
          <cell r="GZ157">
            <v>0</v>
          </cell>
          <cell r="HB157">
            <v>0</v>
          </cell>
          <cell r="HC157">
            <v>0</v>
          </cell>
          <cell r="HE157">
            <v>0</v>
          </cell>
          <cell r="HF157">
            <v>0</v>
          </cell>
          <cell r="HH157">
            <v>0</v>
          </cell>
          <cell r="HI157">
            <v>0</v>
          </cell>
          <cell r="HK157">
            <v>0</v>
          </cell>
          <cell r="HL157">
            <v>0</v>
          </cell>
          <cell r="HN157">
            <v>0</v>
          </cell>
          <cell r="HO157">
            <v>0</v>
          </cell>
          <cell r="HQ157">
            <v>0</v>
          </cell>
          <cell r="HR157">
            <v>0</v>
          </cell>
          <cell r="HT157">
            <v>0</v>
          </cell>
          <cell r="HU157">
            <v>0</v>
          </cell>
          <cell r="HW157">
            <v>0</v>
          </cell>
          <cell r="HX157">
            <v>0</v>
          </cell>
          <cell r="HZ157">
            <v>0</v>
          </cell>
          <cell r="IA157">
            <v>0</v>
          </cell>
          <cell r="IC157">
            <v>0</v>
          </cell>
          <cell r="ID157">
            <v>0</v>
          </cell>
          <cell r="IF157">
            <v>0</v>
          </cell>
        </row>
        <row r="158">
          <cell r="GP158" t="str">
            <v>2-Stage Reverse Osmosis, Electrodeionization (RO/EDI) Water Treatment System</v>
          </cell>
          <cell r="GQ158">
            <v>0</v>
          </cell>
          <cell r="GS158">
            <v>0</v>
          </cell>
          <cell r="GT158">
            <v>0</v>
          </cell>
          <cell r="GV158">
            <v>0</v>
          </cell>
          <cell r="GW158">
            <v>0</v>
          </cell>
          <cell r="GY158">
            <v>0</v>
          </cell>
          <cell r="GZ158">
            <v>0</v>
          </cell>
          <cell r="HB158">
            <v>0</v>
          </cell>
          <cell r="HC158">
            <v>0</v>
          </cell>
          <cell r="HE158">
            <v>0</v>
          </cell>
          <cell r="HF158">
            <v>0</v>
          </cell>
          <cell r="HH158">
            <v>0</v>
          </cell>
          <cell r="HI158">
            <v>0</v>
          </cell>
          <cell r="HK158">
            <v>0</v>
          </cell>
          <cell r="HL158">
            <v>0</v>
          </cell>
          <cell r="HN158">
            <v>0</v>
          </cell>
          <cell r="HO158">
            <v>0</v>
          </cell>
          <cell r="HQ158">
            <v>0</v>
          </cell>
          <cell r="HR158">
            <v>0</v>
          </cell>
          <cell r="HT158">
            <v>0</v>
          </cell>
          <cell r="HU158">
            <v>0</v>
          </cell>
          <cell r="HW158">
            <v>0</v>
          </cell>
          <cell r="HX158">
            <v>0</v>
          </cell>
          <cell r="HZ158">
            <v>0</v>
          </cell>
          <cell r="IA158">
            <v>0</v>
          </cell>
          <cell r="IC158">
            <v>0</v>
          </cell>
          <cell r="ID158">
            <v>0</v>
          </cell>
          <cell r="IF158">
            <v>0</v>
          </cell>
        </row>
        <row r="159">
          <cell r="GP159" t="str">
            <v>Coagulant Feed System. Supplied with RO Water Treatment System.</v>
          </cell>
          <cell r="GS159">
            <v>0</v>
          </cell>
          <cell r="GV159">
            <v>0</v>
          </cell>
          <cell r="GY159">
            <v>0</v>
          </cell>
          <cell r="HB159">
            <v>0</v>
          </cell>
          <cell r="HE159">
            <v>0</v>
          </cell>
          <cell r="HH159">
            <v>0</v>
          </cell>
          <cell r="HK159">
            <v>0</v>
          </cell>
          <cell r="HN159">
            <v>0</v>
          </cell>
          <cell r="HQ159">
            <v>0</v>
          </cell>
          <cell r="HT159">
            <v>0</v>
          </cell>
          <cell r="HW159">
            <v>0</v>
          </cell>
          <cell r="HZ159">
            <v>0</v>
          </cell>
          <cell r="IC159">
            <v>0</v>
          </cell>
          <cell r="IF159">
            <v>0</v>
          </cell>
        </row>
        <row r="160">
          <cell r="GP160" t="str">
            <v>Air Scour Blowers. Supplied with RO Water Treatment System.</v>
          </cell>
          <cell r="GS160">
            <v>0</v>
          </cell>
          <cell r="GV160">
            <v>0</v>
          </cell>
          <cell r="GY160">
            <v>0</v>
          </cell>
          <cell r="HB160">
            <v>0</v>
          </cell>
          <cell r="HE160">
            <v>0</v>
          </cell>
          <cell r="HH160">
            <v>0</v>
          </cell>
          <cell r="HK160">
            <v>0</v>
          </cell>
          <cell r="HN160">
            <v>0</v>
          </cell>
          <cell r="HQ160">
            <v>0</v>
          </cell>
          <cell r="HT160">
            <v>0</v>
          </cell>
          <cell r="HW160">
            <v>0</v>
          </cell>
          <cell r="HZ160">
            <v>0</v>
          </cell>
          <cell r="IC160">
            <v>0</v>
          </cell>
          <cell r="IF160">
            <v>0</v>
          </cell>
        </row>
        <row r="161">
          <cell r="GP161" t="str">
            <v>Backwash Pumps.  Supplied with RO Water Treatment System.</v>
          </cell>
          <cell r="GS161">
            <v>0</v>
          </cell>
          <cell r="GV161">
            <v>0</v>
          </cell>
          <cell r="GY161">
            <v>0</v>
          </cell>
          <cell r="HB161">
            <v>0</v>
          </cell>
          <cell r="HE161">
            <v>0</v>
          </cell>
          <cell r="HH161">
            <v>0</v>
          </cell>
          <cell r="HK161">
            <v>0</v>
          </cell>
          <cell r="HN161">
            <v>0</v>
          </cell>
          <cell r="HQ161">
            <v>0</v>
          </cell>
          <cell r="HT161">
            <v>0</v>
          </cell>
          <cell r="HW161">
            <v>0</v>
          </cell>
          <cell r="HZ161">
            <v>0</v>
          </cell>
          <cell r="IC161">
            <v>0</v>
          </cell>
          <cell r="IF161">
            <v>0</v>
          </cell>
        </row>
        <row r="162">
          <cell r="GP162" t="str">
            <v>RO Clean in Place (CIP) Skid.  Supplied with RO Water Treatment System.</v>
          </cell>
          <cell r="GS162">
            <v>0</v>
          </cell>
          <cell r="GV162">
            <v>0</v>
          </cell>
          <cell r="GY162">
            <v>0</v>
          </cell>
          <cell r="HB162">
            <v>0</v>
          </cell>
          <cell r="HE162">
            <v>0</v>
          </cell>
          <cell r="HH162">
            <v>0</v>
          </cell>
          <cell r="HK162">
            <v>0</v>
          </cell>
          <cell r="HN162">
            <v>0</v>
          </cell>
          <cell r="HQ162">
            <v>0</v>
          </cell>
          <cell r="HT162">
            <v>0</v>
          </cell>
          <cell r="HW162">
            <v>0</v>
          </cell>
          <cell r="HZ162">
            <v>0</v>
          </cell>
          <cell r="IC162">
            <v>0</v>
          </cell>
          <cell r="IF162">
            <v>0</v>
          </cell>
        </row>
        <row r="163">
          <cell r="GP163" t="str">
            <v>RO 25% Caustic Feed System.  Supplied with RO Water Treatment System.</v>
          </cell>
          <cell r="GS163">
            <v>0</v>
          </cell>
          <cell r="GV163">
            <v>0</v>
          </cell>
          <cell r="GY163">
            <v>0</v>
          </cell>
          <cell r="HB163">
            <v>0</v>
          </cell>
          <cell r="HE163">
            <v>0</v>
          </cell>
          <cell r="HH163">
            <v>0</v>
          </cell>
          <cell r="HK163">
            <v>0</v>
          </cell>
          <cell r="HN163">
            <v>0</v>
          </cell>
          <cell r="HQ163">
            <v>0</v>
          </cell>
          <cell r="HT163">
            <v>0</v>
          </cell>
          <cell r="HW163">
            <v>0</v>
          </cell>
          <cell r="HZ163">
            <v>0</v>
          </cell>
          <cell r="IC163">
            <v>0</v>
          </cell>
          <cell r="IF163">
            <v>0</v>
          </cell>
        </row>
        <row r="164">
          <cell r="GP164" t="str">
            <v>RO Bisulfite System (Dechlorination).   Supplied with RO Water Treatment System.</v>
          </cell>
          <cell r="GS164">
            <v>0</v>
          </cell>
          <cell r="GV164">
            <v>0</v>
          </cell>
          <cell r="GY164">
            <v>0</v>
          </cell>
          <cell r="HB164">
            <v>0</v>
          </cell>
          <cell r="HE164">
            <v>0</v>
          </cell>
          <cell r="HH164">
            <v>0</v>
          </cell>
          <cell r="HK164">
            <v>0</v>
          </cell>
          <cell r="HN164">
            <v>0</v>
          </cell>
          <cell r="HQ164">
            <v>0</v>
          </cell>
          <cell r="HT164">
            <v>0</v>
          </cell>
          <cell r="HW164">
            <v>0</v>
          </cell>
          <cell r="HZ164">
            <v>0</v>
          </cell>
          <cell r="IC164">
            <v>0</v>
          </cell>
          <cell r="IF164">
            <v>0</v>
          </cell>
        </row>
        <row r="165">
          <cell r="GP165" t="str">
            <v>RO Antiscalant Feed System.  Supplied with RO Water Treatment System.</v>
          </cell>
          <cell r="GS165">
            <v>0</v>
          </cell>
          <cell r="GV165">
            <v>0</v>
          </cell>
          <cell r="GY165">
            <v>0</v>
          </cell>
          <cell r="HB165">
            <v>0</v>
          </cell>
          <cell r="HE165">
            <v>0</v>
          </cell>
          <cell r="HH165">
            <v>0</v>
          </cell>
          <cell r="HK165">
            <v>0</v>
          </cell>
          <cell r="HN165">
            <v>0</v>
          </cell>
          <cell r="HQ165">
            <v>0</v>
          </cell>
          <cell r="HT165">
            <v>0</v>
          </cell>
          <cell r="HW165">
            <v>0</v>
          </cell>
          <cell r="HZ165">
            <v>0</v>
          </cell>
          <cell r="IC165">
            <v>0</v>
          </cell>
          <cell r="IF165">
            <v>0</v>
          </cell>
        </row>
        <row r="166">
          <cell r="GP166" t="str">
            <v>Multimedia Filters with Booster Pumps.   Supplied with RO Water Treatment System.</v>
          </cell>
          <cell r="GS166">
            <v>0</v>
          </cell>
          <cell r="GV166">
            <v>0</v>
          </cell>
          <cell r="GY166">
            <v>0</v>
          </cell>
          <cell r="HB166">
            <v>0</v>
          </cell>
          <cell r="HE166">
            <v>0</v>
          </cell>
          <cell r="HH166">
            <v>0</v>
          </cell>
          <cell r="HK166">
            <v>0</v>
          </cell>
          <cell r="HN166">
            <v>0</v>
          </cell>
          <cell r="HQ166">
            <v>0</v>
          </cell>
          <cell r="HT166">
            <v>0</v>
          </cell>
          <cell r="HW166">
            <v>0</v>
          </cell>
          <cell r="HZ166">
            <v>0</v>
          </cell>
          <cell r="IC166">
            <v>0</v>
          </cell>
          <cell r="IF166">
            <v>0</v>
          </cell>
        </row>
        <row r="167">
          <cell r="GP167" t="str">
            <v>RO Cartridge Filter.  Supplied with RO Water Treatment System.</v>
          </cell>
          <cell r="GS167">
            <v>0</v>
          </cell>
          <cell r="GV167">
            <v>0</v>
          </cell>
          <cell r="GY167">
            <v>0</v>
          </cell>
          <cell r="HB167">
            <v>0</v>
          </cell>
          <cell r="HE167">
            <v>0</v>
          </cell>
          <cell r="HH167">
            <v>0</v>
          </cell>
          <cell r="HK167">
            <v>0</v>
          </cell>
          <cell r="HN167">
            <v>0</v>
          </cell>
          <cell r="HQ167">
            <v>0</v>
          </cell>
          <cell r="HT167">
            <v>0</v>
          </cell>
          <cell r="HW167">
            <v>0</v>
          </cell>
          <cell r="HZ167">
            <v>0</v>
          </cell>
          <cell r="IC167">
            <v>0</v>
          </cell>
          <cell r="IF167">
            <v>0</v>
          </cell>
        </row>
        <row r="168">
          <cell r="GP168" t="str">
            <v>Reverse Osmosis 1st Pass Pumps.  Supplied with RO Water Treatment System.</v>
          </cell>
          <cell r="GS168">
            <v>0</v>
          </cell>
          <cell r="GV168">
            <v>0</v>
          </cell>
          <cell r="GY168">
            <v>0</v>
          </cell>
          <cell r="HB168">
            <v>0</v>
          </cell>
          <cell r="HE168">
            <v>0</v>
          </cell>
          <cell r="HH168">
            <v>0</v>
          </cell>
          <cell r="HK168">
            <v>0</v>
          </cell>
          <cell r="HN168">
            <v>0</v>
          </cell>
          <cell r="HQ168">
            <v>0</v>
          </cell>
          <cell r="HT168">
            <v>0</v>
          </cell>
          <cell r="HW168">
            <v>0</v>
          </cell>
          <cell r="HZ168">
            <v>0</v>
          </cell>
          <cell r="IC168">
            <v>0</v>
          </cell>
          <cell r="IF168">
            <v>0</v>
          </cell>
        </row>
        <row r="169">
          <cell r="GP169" t="str">
            <v>1st Pass RO Membrane Bank</v>
          </cell>
          <cell r="GS169">
            <v>0</v>
          </cell>
          <cell r="GV169">
            <v>0</v>
          </cell>
          <cell r="GY169">
            <v>0</v>
          </cell>
          <cell r="HB169">
            <v>0</v>
          </cell>
          <cell r="HE169">
            <v>0</v>
          </cell>
          <cell r="HH169">
            <v>0</v>
          </cell>
          <cell r="HK169">
            <v>0</v>
          </cell>
          <cell r="HN169">
            <v>0</v>
          </cell>
          <cell r="HQ169">
            <v>0</v>
          </cell>
          <cell r="HT169">
            <v>0</v>
          </cell>
          <cell r="HW169">
            <v>0</v>
          </cell>
          <cell r="HZ169">
            <v>0</v>
          </cell>
          <cell r="IC169">
            <v>0</v>
          </cell>
          <cell r="IF169">
            <v>0</v>
          </cell>
        </row>
        <row r="170">
          <cell r="GP170" t="str">
            <v>RO 1st Pass Break Tank. Supplied with RO Water Treatment System.</v>
          </cell>
          <cell r="GS170">
            <v>0</v>
          </cell>
          <cell r="GV170">
            <v>0</v>
          </cell>
          <cell r="GY170">
            <v>0</v>
          </cell>
          <cell r="HB170">
            <v>0</v>
          </cell>
          <cell r="HE170">
            <v>0</v>
          </cell>
          <cell r="HH170">
            <v>0</v>
          </cell>
          <cell r="HK170">
            <v>0</v>
          </cell>
          <cell r="HN170">
            <v>0</v>
          </cell>
          <cell r="HQ170">
            <v>0</v>
          </cell>
          <cell r="HT170">
            <v>0</v>
          </cell>
          <cell r="HW170">
            <v>0</v>
          </cell>
          <cell r="HZ170">
            <v>0</v>
          </cell>
          <cell r="IC170">
            <v>0</v>
          </cell>
          <cell r="IF170">
            <v>0</v>
          </cell>
        </row>
        <row r="171">
          <cell r="GP171" t="str">
            <v>Reverse Osmosis 2nd Pass Pumps.  Supplied with RO Water Treatment System.</v>
          </cell>
          <cell r="GS171">
            <v>0</v>
          </cell>
          <cell r="GV171">
            <v>0</v>
          </cell>
          <cell r="GY171">
            <v>0</v>
          </cell>
          <cell r="HB171">
            <v>0</v>
          </cell>
          <cell r="HE171">
            <v>0</v>
          </cell>
          <cell r="HH171">
            <v>0</v>
          </cell>
          <cell r="HK171">
            <v>0</v>
          </cell>
          <cell r="HN171">
            <v>0</v>
          </cell>
          <cell r="HQ171">
            <v>0</v>
          </cell>
          <cell r="HT171">
            <v>0</v>
          </cell>
          <cell r="HW171">
            <v>0</v>
          </cell>
          <cell r="HZ171">
            <v>0</v>
          </cell>
          <cell r="IC171">
            <v>0</v>
          </cell>
          <cell r="IF171">
            <v>0</v>
          </cell>
        </row>
        <row r="172">
          <cell r="GP172" t="str">
            <v>2nd Pass RO Membrane Bank</v>
          </cell>
          <cell r="GS172">
            <v>0</v>
          </cell>
          <cell r="GV172">
            <v>0</v>
          </cell>
          <cell r="GY172">
            <v>0</v>
          </cell>
          <cell r="HB172">
            <v>0</v>
          </cell>
          <cell r="HE172">
            <v>0</v>
          </cell>
          <cell r="HH172">
            <v>0</v>
          </cell>
          <cell r="HK172">
            <v>0</v>
          </cell>
          <cell r="HN172">
            <v>0</v>
          </cell>
          <cell r="HQ172">
            <v>0</v>
          </cell>
          <cell r="HT172">
            <v>0</v>
          </cell>
          <cell r="HW172">
            <v>0</v>
          </cell>
          <cell r="HZ172">
            <v>0</v>
          </cell>
          <cell r="IC172">
            <v>0</v>
          </cell>
          <cell r="IF172">
            <v>0</v>
          </cell>
        </row>
        <row r="173">
          <cell r="GP173" t="str">
            <v>EDI Units. Supplied with RO Water Treatment System.</v>
          </cell>
          <cell r="GS173">
            <v>0</v>
          </cell>
          <cell r="GV173">
            <v>0</v>
          </cell>
          <cell r="GY173">
            <v>0</v>
          </cell>
          <cell r="HB173">
            <v>0</v>
          </cell>
          <cell r="HE173">
            <v>0</v>
          </cell>
          <cell r="HH173">
            <v>0</v>
          </cell>
          <cell r="HK173">
            <v>0</v>
          </cell>
          <cell r="HN173">
            <v>0</v>
          </cell>
          <cell r="HQ173">
            <v>0</v>
          </cell>
          <cell r="HT173">
            <v>0</v>
          </cell>
          <cell r="HW173">
            <v>0</v>
          </cell>
          <cell r="HZ173">
            <v>0</v>
          </cell>
          <cell r="IC173">
            <v>0</v>
          </cell>
          <cell r="IF173">
            <v>0</v>
          </cell>
        </row>
        <row r="174">
          <cell r="GP174" t="str">
            <v>Rental Demineralizer</v>
          </cell>
          <cell r="GQ174">
            <v>0</v>
          </cell>
          <cell r="GR174">
            <v>0</v>
          </cell>
          <cell r="GS174">
            <v>0</v>
          </cell>
          <cell r="GT174">
            <v>0</v>
          </cell>
          <cell r="GU174">
            <v>0</v>
          </cell>
          <cell r="GV174">
            <v>0</v>
          </cell>
          <cell r="GW174">
            <v>0</v>
          </cell>
          <cell r="GX174">
            <v>0</v>
          </cell>
          <cell r="GY174">
            <v>0</v>
          </cell>
          <cell r="GZ174">
            <v>0</v>
          </cell>
          <cell r="HA174">
            <v>0</v>
          </cell>
          <cell r="HB174">
            <v>0</v>
          </cell>
          <cell r="HC174">
            <v>0</v>
          </cell>
          <cell r="HD174">
            <v>0</v>
          </cell>
          <cell r="HE174">
            <v>0</v>
          </cell>
          <cell r="HF174">
            <v>0</v>
          </cell>
          <cell r="HG174">
            <v>0</v>
          </cell>
          <cell r="HH174">
            <v>0</v>
          </cell>
          <cell r="HI174">
            <v>0</v>
          </cell>
          <cell r="HJ174">
            <v>0</v>
          </cell>
          <cell r="HK174">
            <v>0</v>
          </cell>
          <cell r="HL174">
            <v>0</v>
          </cell>
          <cell r="HM174">
            <v>0</v>
          </cell>
          <cell r="HN174">
            <v>0</v>
          </cell>
          <cell r="HO174">
            <v>0</v>
          </cell>
          <cell r="HP174">
            <v>0</v>
          </cell>
          <cell r="HQ174">
            <v>0</v>
          </cell>
          <cell r="HR174">
            <v>0</v>
          </cell>
          <cell r="HS174">
            <v>0</v>
          </cell>
          <cell r="HT174">
            <v>0</v>
          </cell>
          <cell r="HU174">
            <v>0</v>
          </cell>
          <cell r="HV174">
            <v>0</v>
          </cell>
          <cell r="HW174">
            <v>0</v>
          </cell>
          <cell r="HX174">
            <v>0</v>
          </cell>
          <cell r="HY174">
            <v>0</v>
          </cell>
          <cell r="HZ174">
            <v>0</v>
          </cell>
          <cell r="IA174">
            <v>0</v>
          </cell>
          <cell r="IB174">
            <v>0</v>
          </cell>
          <cell r="IC174">
            <v>0</v>
          </cell>
          <cell r="ID174">
            <v>0</v>
          </cell>
          <cell r="IE174">
            <v>0</v>
          </cell>
          <cell r="IF174">
            <v>0</v>
          </cell>
        </row>
        <row r="175">
          <cell r="GP175" t="str">
            <v xml:space="preserve">Condensate Polisher - </v>
          </cell>
          <cell r="GQ175">
            <v>0</v>
          </cell>
          <cell r="GS175">
            <v>0</v>
          </cell>
          <cell r="GT175">
            <v>0</v>
          </cell>
          <cell r="GV175">
            <v>0</v>
          </cell>
          <cell r="GW175">
            <v>0</v>
          </cell>
          <cell r="GY175">
            <v>0</v>
          </cell>
          <cell r="GZ175">
            <v>0</v>
          </cell>
          <cell r="HB175">
            <v>0</v>
          </cell>
          <cell r="HC175">
            <v>0</v>
          </cell>
          <cell r="HE175">
            <v>0</v>
          </cell>
          <cell r="HF175">
            <v>0</v>
          </cell>
          <cell r="HH175">
            <v>0</v>
          </cell>
          <cell r="HI175">
            <v>0</v>
          </cell>
          <cell r="HK175">
            <v>0</v>
          </cell>
          <cell r="HL175">
            <v>0</v>
          </cell>
          <cell r="HN175">
            <v>0</v>
          </cell>
          <cell r="HO175">
            <v>0</v>
          </cell>
          <cell r="HQ175">
            <v>0</v>
          </cell>
          <cell r="HR175">
            <v>0</v>
          </cell>
          <cell r="HT175">
            <v>0</v>
          </cell>
          <cell r="HU175">
            <v>0</v>
          </cell>
          <cell r="HW175">
            <v>0</v>
          </cell>
          <cell r="HX175">
            <v>0</v>
          </cell>
          <cell r="HZ175">
            <v>0</v>
          </cell>
          <cell r="IA175">
            <v>0</v>
          </cell>
          <cell r="IC175">
            <v>0</v>
          </cell>
          <cell r="ID175">
            <v>0</v>
          </cell>
          <cell r="IF175">
            <v>0</v>
          </cell>
        </row>
        <row r="176">
          <cell r="GP176" t="str">
            <v xml:space="preserve">Zero Liquid Discharge (ZLD) System - </v>
          </cell>
          <cell r="GQ176">
            <v>0</v>
          </cell>
          <cell r="GS176">
            <v>0</v>
          </cell>
          <cell r="GT176">
            <v>0</v>
          </cell>
          <cell r="GV176">
            <v>0</v>
          </cell>
          <cell r="GW176">
            <v>0</v>
          </cell>
          <cell r="GY176">
            <v>0</v>
          </cell>
          <cell r="GZ176">
            <v>0</v>
          </cell>
          <cell r="HB176">
            <v>0</v>
          </cell>
          <cell r="HC176">
            <v>0</v>
          </cell>
          <cell r="HE176">
            <v>0</v>
          </cell>
          <cell r="HF176">
            <v>0</v>
          </cell>
          <cell r="HH176">
            <v>0</v>
          </cell>
          <cell r="HI176">
            <v>0</v>
          </cell>
          <cell r="HK176">
            <v>0</v>
          </cell>
          <cell r="HL176">
            <v>0</v>
          </cell>
          <cell r="HN176">
            <v>0</v>
          </cell>
          <cell r="HO176">
            <v>0</v>
          </cell>
          <cell r="HQ176">
            <v>0</v>
          </cell>
          <cell r="HR176">
            <v>0</v>
          </cell>
          <cell r="HT176">
            <v>0</v>
          </cell>
          <cell r="HU176">
            <v>0</v>
          </cell>
          <cell r="HW176">
            <v>0</v>
          </cell>
          <cell r="HX176">
            <v>0</v>
          </cell>
          <cell r="HZ176">
            <v>0</v>
          </cell>
          <cell r="IA176">
            <v>0</v>
          </cell>
          <cell r="IC176">
            <v>0</v>
          </cell>
          <cell r="ID176">
            <v>0</v>
          </cell>
          <cell r="IF176">
            <v>0</v>
          </cell>
        </row>
        <row r="177">
          <cell r="GP177" t="str">
            <v>Waste Water Neutralization System</v>
          </cell>
          <cell r="GQ177">
            <v>0</v>
          </cell>
          <cell r="GS177">
            <v>0</v>
          </cell>
          <cell r="GT177">
            <v>0</v>
          </cell>
          <cell r="GV177">
            <v>0</v>
          </cell>
          <cell r="GW177">
            <v>0</v>
          </cell>
          <cell r="GY177">
            <v>0</v>
          </cell>
          <cell r="GZ177">
            <v>0</v>
          </cell>
          <cell r="HB177">
            <v>0</v>
          </cell>
          <cell r="HC177">
            <v>0</v>
          </cell>
          <cell r="HE177">
            <v>0</v>
          </cell>
          <cell r="HF177">
            <v>0</v>
          </cell>
          <cell r="HH177">
            <v>0</v>
          </cell>
          <cell r="HI177">
            <v>0</v>
          </cell>
          <cell r="HK177">
            <v>0</v>
          </cell>
          <cell r="HL177">
            <v>0</v>
          </cell>
          <cell r="HN177">
            <v>0</v>
          </cell>
          <cell r="HO177">
            <v>0</v>
          </cell>
          <cell r="HQ177">
            <v>0</v>
          </cell>
          <cell r="HR177">
            <v>0</v>
          </cell>
          <cell r="HT177">
            <v>0</v>
          </cell>
          <cell r="HU177">
            <v>0</v>
          </cell>
          <cell r="HW177">
            <v>0</v>
          </cell>
          <cell r="HX177">
            <v>0</v>
          </cell>
          <cell r="HZ177">
            <v>0</v>
          </cell>
          <cell r="IA177">
            <v>0</v>
          </cell>
          <cell r="IC177">
            <v>0</v>
          </cell>
          <cell r="ID177">
            <v>0</v>
          </cell>
          <cell r="IF177">
            <v>0</v>
          </cell>
        </row>
        <row r="178">
          <cell r="GP178" t="str">
            <v>Dewatering System</v>
          </cell>
          <cell r="GQ178">
            <v>0</v>
          </cell>
          <cell r="GS178">
            <v>0</v>
          </cell>
          <cell r="GT178">
            <v>0</v>
          </cell>
          <cell r="GV178">
            <v>0</v>
          </cell>
          <cell r="GW178">
            <v>0</v>
          </cell>
          <cell r="GY178">
            <v>0</v>
          </cell>
          <cell r="GZ178">
            <v>0</v>
          </cell>
          <cell r="HB178">
            <v>0</v>
          </cell>
          <cell r="HC178">
            <v>0</v>
          </cell>
          <cell r="HE178">
            <v>0</v>
          </cell>
          <cell r="HF178">
            <v>0</v>
          </cell>
          <cell r="HH178">
            <v>0</v>
          </cell>
          <cell r="HI178">
            <v>0</v>
          </cell>
          <cell r="HK178">
            <v>0</v>
          </cell>
          <cell r="HL178">
            <v>0</v>
          </cell>
          <cell r="HN178">
            <v>0</v>
          </cell>
          <cell r="HO178">
            <v>0</v>
          </cell>
          <cell r="HQ178">
            <v>0</v>
          </cell>
          <cell r="HR178">
            <v>0</v>
          </cell>
          <cell r="HT178">
            <v>0</v>
          </cell>
          <cell r="HU178">
            <v>0</v>
          </cell>
          <cell r="HW178">
            <v>0</v>
          </cell>
          <cell r="HX178">
            <v>0</v>
          </cell>
          <cell r="HZ178">
            <v>0</v>
          </cell>
          <cell r="IA178">
            <v>0</v>
          </cell>
          <cell r="IC178">
            <v>0</v>
          </cell>
          <cell r="ID178">
            <v>0</v>
          </cell>
          <cell r="IF178">
            <v>0</v>
          </cell>
        </row>
        <row r="179">
          <cell r="GP179" t="str">
            <v>Sodium Bisulfite System (Dechlorination)</v>
          </cell>
          <cell r="GQ179">
            <v>0</v>
          </cell>
          <cell r="GS179">
            <v>0</v>
          </cell>
          <cell r="GT179">
            <v>0</v>
          </cell>
          <cell r="GV179">
            <v>0</v>
          </cell>
          <cell r="GW179">
            <v>0</v>
          </cell>
          <cell r="GY179">
            <v>0</v>
          </cell>
          <cell r="GZ179">
            <v>0</v>
          </cell>
          <cell r="HB179">
            <v>0</v>
          </cell>
          <cell r="HC179">
            <v>0</v>
          </cell>
          <cell r="HE179">
            <v>0</v>
          </cell>
          <cell r="HF179">
            <v>0</v>
          </cell>
          <cell r="HH179">
            <v>0</v>
          </cell>
          <cell r="HI179">
            <v>0</v>
          </cell>
          <cell r="HK179">
            <v>0</v>
          </cell>
          <cell r="HL179">
            <v>0</v>
          </cell>
          <cell r="HN179">
            <v>0</v>
          </cell>
          <cell r="HO179">
            <v>0</v>
          </cell>
          <cell r="HQ179">
            <v>0</v>
          </cell>
          <cell r="HR179">
            <v>0</v>
          </cell>
          <cell r="HT179">
            <v>0</v>
          </cell>
          <cell r="HU179">
            <v>0</v>
          </cell>
          <cell r="HW179">
            <v>0</v>
          </cell>
          <cell r="HX179">
            <v>0</v>
          </cell>
          <cell r="HZ179">
            <v>0</v>
          </cell>
          <cell r="IA179">
            <v>0</v>
          </cell>
          <cell r="IC179">
            <v>0</v>
          </cell>
          <cell r="ID179">
            <v>0</v>
          </cell>
          <cell r="IF179">
            <v>0</v>
          </cell>
        </row>
        <row r="180">
          <cell r="GP180" t="str">
            <v>Ammonia Feed Skid, HRSG Treatment</v>
          </cell>
          <cell r="GQ180">
            <v>0</v>
          </cell>
          <cell r="GS180">
            <v>0</v>
          </cell>
          <cell r="GT180">
            <v>0</v>
          </cell>
          <cell r="GV180">
            <v>0</v>
          </cell>
          <cell r="GW180">
            <v>0</v>
          </cell>
          <cell r="GY180">
            <v>0</v>
          </cell>
          <cell r="GZ180">
            <v>0</v>
          </cell>
          <cell r="HB180">
            <v>0</v>
          </cell>
          <cell r="HC180">
            <v>0</v>
          </cell>
          <cell r="HE180">
            <v>0</v>
          </cell>
          <cell r="HF180">
            <v>0</v>
          </cell>
          <cell r="HH180">
            <v>0</v>
          </cell>
          <cell r="HI180">
            <v>0</v>
          </cell>
          <cell r="HK180">
            <v>0</v>
          </cell>
          <cell r="HL180">
            <v>0</v>
          </cell>
          <cell r="HN180">
            <v>0</v>
          </cell>
          <cell r="HO180">
            <v>0</v>
          </cell>
          <cell r="HQ180">
            <v>0</v>
          </cell>
          <cell r="HR180">
            <v>0</v>
          </cell>
          <cell r="HT180">
            <v>0</v>
          </cell>
          <cell r="HU180">
            <v>0</v>
          </cell>
          <cell r="HW180">
            <v>0</v>
          </cell>
          <cell r="HX180">
            <v>0</v>
          </cell>
          <cell r="HZ180">
            <v>0</v>
          </cell>
          <cell r="IA180">
            <v>0</v>
          </cell>
          <cell r="IC180">
            <v>0</v>
          </cell>
          <cell r="ID180">
            <v>0</v>
          </cell>
          <cell r="IF180">
            <v>0</v>
          </cell>
        </row>
        <row r="181">
          <cell r="GP181" t="str">
            <v>Phosphate Feed Skid, HRSG Treatment</v>
          </cell>
          <cell r="GQ181">
            <v>0</v>
          </cell>
          <cell r="GS181">
            <v>0</v>
          </cell>
          <cell r="GT181">
            <v>0</v>
          </cell>
          <cell r="GV181">
            <v>0</v>
          </cell>
          <cell r="GW181">
            <v>0</v>
          </cell>
          <cell r="GY181">
            <v>0</v>
          </cell>
          <cell r="GZ181">
            <v>0</v>
          </cell>
          <cell r="HB181">
            <v>0</v>
          </cell>
          <cell r="HC181">
            <v>0</v>
          </cell>
          <cell r="HE181">
            <v>0</v>
          </cell>
          <cell r="HF181">
            <v>0</v>
          </cell>
          <cell r="HH181">
            <v>0</v>
          </cell>
          <cell r="HI181">
            <v>0</v>
          </cell>
          <cell r="HK181">
            <v>0</v>
          </cell>
          <cell r="HL181">
            <v>0</v>
          </cell>
          <cell r="HN181">
            <v>0</v>
          </cell>
          <cell r="HO181">
            <v>0</v>
          </cell>
          <cell r="HQ181">
            <v>0</v>
          </cell>
          <cell r="HR181">
            <v>0</v>
          </cell>
          <cell r="HT181">
            <v>0</v>
          </cell>
          <cell r="HU181">
            <v>0</v>
          </cell>
          <cell r="HW181">
            <v>0</v>
          </cell>
          <cell r="HX181">
            <v>0</v>
          </cell>
          <cell r="HZ181">
            <v>0</v>
          </cell>
          <cell r="IA181">
            <v>0</v>
          </cell>
          <cell r="IC181">
            <v>0</v>
          </cell>
          <cell r="ID181">
            <v>0</v>
          </cell>
          <cell r="IF181">
            <v>0</v>
          </cell>
        </row>
        <row r="182">
          <cell r="GP182" t="str">
            <v>Acid Feed Skid, Circulating Water Treatment</v>
          </cell>
          <cell r="GQ182">
            <v>0</v>
          </cell>
          <cell r="GS182">
            <v>0</v>
          </cell>
          <cell r="GT182">
            <v>0</v>
          </cell>
          <cell r="GV182">
            <v>0</v>
          </cell>
          <cell r="GW182">
            <v>0</v>
          </cell>
          <cell r="GY182">
            <v>0</v>
          </cell>
          <cell r="GZ182">
            <v>0</v>
          </cell>
          <cell r="HB182">
            <v>0</v>
          </cell>
          <cell r="HC182">
            <v>0</v>
          </cell>
          <cell r="HE182">
            <v>0</v>
          </cell>
          <cell r="HF182">
            <v>0</v>
          </cell>
          <cell r="HH182">
            <v>0</v>
          </cell>
          <cell r="HI182">
            <v>0</v>
          </cell>
          <cell r="HK182">
            <v>0</v>
          </cell>
          <cell r="HL182">
            <v>0</v>
          </cell>
          <cell r="HN182">
            <v>0</v>
          </cell>
          <cell r="HO182">
            <v>0</v>
          </cell>
          <cell r="HQ182">
            <v>0</v>
          </cell>
          <cell r="HR182">
            <v>0</v>
          </cell>
          <cell r="HT182">
            <v>0</v>
          </cell>
          <cell r="HU182">
            <v>0</v>
          </cell>
          <cell r="HW182">
            <v>0</v>
          </cell>
          <cell r="HX182">
            <v>0</v>
          </cell>
          <cell r="HZ182">
            <v>0</v>
          </cell>
          <cell r="IA182">
            <v>0</v>
          </cell>
          <cell r="IC182">
            <v>0</v>
          </cell>
          <cell r="ID182">
            <v>0</v>
          </cell>
          <cell r="IF182">
            <v>0</v>
          </cell>
        </row>
        <row r="183">
          <cell r="GP183" t="str">
            <v>Sodium Hypochlorite Injection Skid, Circulating Water Treatment</v>
          </cell>
          <cell r="GQ183">
            <v>0</v>
          </cell>
          <cell r="GS183">
            <v>0</v>
          </cell>
          <cell r="GT183">
            <v>0</v>
          </cell>
          <cell r="GV183">
            <v>0</v>
          </cell>
          <cell r="GW183">
            <v>0</v>
          </cell>
          <cell r="GY183">
            <v>0</v>
          </cell>
          <cell r="GZ183">
            <v>0</v>
          </cell>
          <cell r="HB183">
            <v>0</v>
          </cell>
          <cell r="HC183">
            <v>0</v>
          </cell>
          <cell r="HE183">
            <v>0</v>
          </cell>
          <cell r="HF183">
            <v>0</v>
          </cell>
          <cell r="HH183">
            <v>0</v>
          </cell>
          <cell r="HI183">
            <v>0</v>
          </cell>
          <cell r="HK183">
            <v>0</v>
          </cell>
          <cell r="HL183">
            <v>0</v>
          </cell>
          <cell r="HN183">
            <v>0</v>
          </cell>
          <cell r="HO183">
            <v>0</v>
          </cell>
          <cell r="HQ183">
            <v>0</v>
          </cell>
          <cell r="HR183">
            <v>0</v>
          </cell>
          <cell r="HT183">
            <v>0</v>
          </cell>
          <cell r="HU183">
            <v>0</v>
          </cell>
          <cell r="HW183">
            <v>0</v>
          </cell>
          <cell r="HX183">
            <v>0</v>
          </cell>
          <cell r="HZ183">
            <v>0</v>
          </cell>
          <cell r="IA183">
            <v>0</v>
          </cell>
          <cell r="IC183">
            <v>0</v>
          </cell>
          <cell r="ID183">
            <v>0</v>
          </cell>
          <cell r="IF183">
            <v>0</v>
          </cell>
        </row>
        <row r="184">
          <cell r="GP184" t="str">
            <v>Sodium Hypochlorite Tank, Circulating Water Treatment</v>
          </cell>
          <cell r="GQ184">
            <v>0</v>
          </cell>
          <cell r="GS184">
            <v>0</v>
          </cell>
          <cell r="GT184">
            <v>0</v>
          </cell>
          <cell r="GV184">
            <v>0</v>
          </cell>
          <cell r="GW184">
            <v>0</v>
          </cell>
          <cell r="GY184">
            <v>0</v>
          </cell>
          <cell r="GZ184">
            <v>0</v>
          </cell>
          <cell r="HB184">
            <v>0</v>
          </cell>
          <cell r="HC184">
            <v>0</v>
          </cell>
          <cell r="HE184">
            <v>0</v>
          </cell>
          <cell r="HF184">
            <v>0</v>
          </cell>
          <cell r="HH184">
            <v>0</v>
          </cell>
          <cell r="HI184">
            <v>0</v>
          </cell>
          <cell r="HK184">
            <v>0</v>
          </cell>
          <cell r="HL184">
            <v>0</v>
          </cell>
          <cell r="HN184">
            <v>0</v>
          </cell>
          <cell r="HO184">
            <v>0</v>
          </cell>
          <cell r="HQ184">
            <v>0</v>
          </cell>
          <cell r="HR184">
            <v>0</v>
          </cell>
          <cell r="HT184">
            <v>0</v>
          </cell>
          <cell r="HU184">
            <v>0</v>
          </cell>
          <cell r="HW184">
            <v>0</v>
          </cell>
          <cell r="HX184">
            <v>0</v>
          </cell>
          <cell r="HZ184">
            <v>0</v>
          </cell>
          <cell r="IA184">
            <v>0</v>
          </cell>
          <cell r="IC184">
            <v>0</v>
          </cell>
          <cell r="ID184">
            <v>0</v>
          </cell>
          <cell r="IF184">
            <v>0</v>
          </cell>
        </row>
        <row r="185">
          <cell r="GP185" t="str">
            <v>Sulfuric Acid Storage Tank, Circulating Water Treatment</v>
          </cell>
          <cell r="GQ185">
            <v>0</v>
          </cell>
          <cell r="GS185">
            <v>0</v>
          </cell>
          <cell r="GT185">
            <v>0</v>
          </cell>
          <cell r="GV185">
            <v>0</v>
          </cell>
          <cell r="GW185">
            <v>0</v>
          </cell>
          <cell r="GY185">
            <v>0</v>
          </cell>
          <cell r="GZ185">
            <v>0</v>
          </cell>
          <cell r="HB185">
            <v>0</v>
          </cell>
          <cell r="HC185">
            <v>0</v>
          </cell>
          <cell r="HE185">
            <v>0</v>
          </cell>
          <cell r="HF185">
            <v>0</v>
          </cell>
          <cell r="HH185">
            <v>0</v>
          </cell>
          <cell r="HI185">
            <v>0</v>
          </cell>
          <cell r="HK185">
            <v>0</v>
          </cell>
          <cell r="HL185">
            <v>0</v>
          </cell>
          <cell r="HN185">
            <v>0</v>
          </cell>
          <cell r="HO185">
            <v>0</v>
          </cell>
          <cell r="HQ185">
            <v>0</v>
          </cell>
          <cell r="HR185">
            <v>0</v>
          </cell>
          <cell r="HT185">
            <v>0</v>
          </cell>
          <cell r="HU185">
            <v>0</v>
          </cell>
          <cell r="HW185">
            <v>0</v>
          </cell>
          <cell r="HX185">
            <v>0</v>
          </cell>
          <cell r="HZ185">
            <v>0</v>
          </cell>
          <cell r="IA185">
            <v>0</v>
          </cell>
          <cell r="IC185">
            <v>0</v>
          </cell>
          <cell r="ID185">
            <v>0</v>
          </cell>
          <cell r="IF185">
            <v>0</v>
          </cell>
        </row>
        <row r="186">
          <cell r="GP186" t="str">
            <v>Antifoulant/Corrosion Inhibitor Skid, Circulating Water Treatment</v>
          </cell>
          <cell r="GQ186">
            <v>0</v>
          </cell>
          <cell r="GS186">
            <v>0</v>
          </cell>
          <cell r="GT186">
            <v>0</v>
          </cell>
          <cell r="GV186">
            <v>0</v>
          </cell>
          <cell r="GW186">
            <v>0</v>
          </cell>
          <cell r="GY186">
            <v>0</v>
          </cell>
          <cell r="GZ186">
            <v>0</v>
          </cell>
          <cell r="HB186">
            <v>0</v>
          </cell>
          <cell r="HC186">
            <v>0</v>
          </cell>
          <cell r="HE186">
            <v>0</v>
          </cell>
          <cell r="HF186">
            <v>0</v>
          </cell>
          <cell r="HH186">
            <v>0</v>
          </cell>
          <cell r="HI186">
            <v>0</v>
          </cell>
          <cell r="HK186">
            <v>0</v>
          </cell>
          <cell r="HL186">
            <v>0</v>
          </cell>
          <cell r="HN186">
            <v>0</v>
          </cell>
          <cell r="HO186">
            <v>0</v>
          </cell>
          <cell r="HQ186">
            <v>0</v>
          </cell>
          <cell r="HR186">
            <v>0</v>
          </cell>
          <cell r="HT186">
            <v>0</v>
          </cell>
          <cell r="HU186">
            <v>0</v>
          </cell>
          <cell r="HW186">
            <v>0</v>
          </cell>
          <cell r="HX186">
            <v>0</v>
          </cell>
          <cell r="HZ186">
            <v>0</v>
          </cell>
          <cell r="IA186">
            <v>0</v>
          </cell>
          <cell r="IC186">
            <v>0</v>
          </cell>
          <cell r="ID186">
            <v>0</v>
          </cell>
          <cell r="IF186">
            <v>0</v>
          </cell>
        </row>
        <row r="187">
          <cell r="GP187" t="str">
            <v>Mixing Trough, Circulating Water Treatment</v>
          </cell>
          <cell r="GQ187">
            <v>0</v>
          </cell>
          <cell r="GS187">
            <v>0</v>
          </cell>
          <cell r="GT187">
            <v>0</v>
          </cell>
          <cell r="GV187">
            <v>0</v>
          </cell>
          <cell r="GW187">
            <v>0</v>
          </cell>
          <cell r="GY187">
            <v>0</v>
          </cell>
          <cell r="GZ187">
            <v>0</v>
          </cell>
          <cell r="HB187">
            <v>0</v>
          </cell>
          <cell r="HC187">
            <v>0</v>
          </cell>
          <cell r="HE187">
            <v>0</v>
          </cell>
          <cell r="HF187">
            <v>0</v>
          </cell>
          <cell r="HH187">
            <v>0</v>
          </cell>
          <cell r="HI187">
            <v>0</v>
          </cell>
          <cell r="HK187">
            <v>0</v>
          </cell>
          <cell r="HL187">
            <v>0</v>
          </cell>
          <cell r="HN187">
            <v>0</v>
          </cell>
          <cell r="HO187">
            <v>0</v>
          </cell>
          <cell r="HQ187">
            <v>0</v>
          </cell>
          <cell r="HR187">
            <v>0</v>
          </cell>
          <cell r="HT187">
            <v>0</v>
          </cell>
          <cell r="HU187">
            <v>0</v>
          </cell>
          <cell r="HW187">
            <v>0</v>
          </cell>
          <cell r="HX187">
            <v>0</v>
          </cell>
          <cell r="HZ187">
            <v>0</v>
          </cell>
          <cell r="IA187">
            <v>0</v>
          </cell>
          <cell r="IC187">
            <v>0</v>
          </cell>
          <cell r="ID187">
            <v>0</v>
          </cell>
          <cell r="IF187">
            <v>0</v>
          </cell>
        </row>
        <row r="188">
          <cell r="GP188" t="str">
            <v>Corrosion Inhibitor Pot Feeder, Closed-Cooling Water Treatment</v>
          </cell>
          <cell r="GQ188">
            <v>0</v>
          </cell>
          <cell r="GS188">
            <v>0</v>
          </cell>
          <cell r="GT188">
            <v>0</v>
          </cell>
          <cell r="GV188">
            <v>0</v>
          </cell>
          <cell r="GW188">
            <v>0</v>
          </cell>
          <cell r="GY188">
            <v>0</v>
          </cell>
          <cell r="GZ188">
            <v>0</v>
          </cell>
          <cell r="HB188">
            <v>0</v>
          </cell>
          <cell r="HC188">
            <v>0</v>
          </cell>
          <cell r="HE188">
            <v>0</v>
          </cell>
          <cell r="HF188">
            <v>0</v>
          </cell>
          <cell r="HH188">
            <v>0</v>
          </cell>
          <cell r="HI188">
            <v>0</v>
          </cell>
          <cell r="HK188">
            <v>0</v>
          </cell>
          <cell r="HL188">
            <v>0</v>
          </cell>
          <cell r="HN188">
            <v>0</v>
          </cell>
          <cell r="HO188">
            <v>0</v>
          </cell>
          <cell r="HQ188">
            <v>0</v>
          </cell>
          <cell r="HR188">
            <v>0</v>
          </cell>
          <cell r="HT188">
            <v>0</v>
          </cell>
          <cell r="HU188">
            <v>0</v>
          </cell>
          <cell r="HW188">
            <v>0</v>
          </cell>
          <cell r="HX188">
            <v>0</v>
          </cell>
          <cell r="HZ188">
            <v>0</v>
          </cell>
          <cell r="IA188">
            <v>0</v>
          </cell>
          <cell r="IC188">
            <v>0</v>
          </cell>
          <cell r="ID188">
            <v>0</v>
          </cell>
          <cell r="IF188">
            <v>0</v>
          </cell>
        </row>
        <row r="189">
          <cell r="GP189" t="str">
            <v>Chemical Injection Skid, Auxiliary Boiler</v>
          </cell>
          <cell r="GQ189">
            <v>0</v>
          </cell>
          <cell r="GS189">
            <v>0</v>
          </cell>
          <cell r="GT189">
            <v>0</v>
          </cell>
          <cell r="GV189">
            <v>0</v>
          </cell>
          <cell r="GW189">
            <v>0</v>
          </cell>
          <cell r="GY189">
            <v>0</v>
          </cell>
          <cell r="GZ189">
            <v>0</v>
          </cell>
          <cell r="HB189">
            <v>0</v>
          </cell>
          <cell r="HC189">
            <v>0</v>
          </cell>
          <cell r="HE189">
            <v>0</v>
          </cell>
          <cell r="HF189">
            <v>0</v>
          </cell>
          <cell r="HH189">
            <v>0</v>
          </cell>
          <cell r="HI189">
            <v>0</v>
          </cell>
          <cell r="HK189">
            <v>0</v>
          </cell>
          <cell r="HL189">
            <v>0</v>
          </cell>
          <cell r="HN189">
            <v>0</v>
          </cell>
          <cell r="HO189">
            <v>0</v>
          </cell>
          <cell r="HQ189">
            <v>0</v>
          </cell>
          <cell r="HR189">
            <v>0</v>
          </cell>
          <cell r="HT189">
            <v>0</v>
          </cell>
          <cell r="HU189">
            <v>0</v>
          </cell>
          <cell r="HW189">
            <v>0</v>
          </cell>
          <cell r="HX189">
            <v>0</v>
          </cell>
          <cell r="HZ189">
            <v>0</v>
          </cell>
          <cell r="IA189">
            <v>0</v>
          </cell>
          <cell r="IC189">
            <v>0</v>
          </cell>
          <cell r="ID189">
            <v>0</v>
          </cell>
          <cell r="IF189">
            <v>0</v>
          </cell>
        </row>
        <row r="190">
          <cell r="GP190" t="str">
            <v>GTG Water Wash Drain Tank</v>
          </cell>
          <cell r="GQ190">
            <v>100</v>
          </cell>
          <cell r="GS190">
            <v>100</v>
          </cell>
          <cell r="GT190">
            <v>100</v>
          </cell>
          <cell r="GV190">
            <v>100</v>
          </cell>
          <cell r="GW190">
            <v>100</v>
          </cell>
          <cell r="GY190">
            <v>100</v>
          </cell>
          <cell r="GZ190">
            <v>100</v>
          </cell>
          <cell r="HB190">
            <v>100</v>
          </cell>
          <cell r="HC190">
            <v>100</v>
          </cell>
          <cell r="HE190">
            <v>100</v>
          </cell>
          <cell r="HF190">
            <v>100</v>
          </cell>
          <cell r="HH190">
            <v>100</v>
          </cell>
          <cell r="HI190">
            <v>100</v>
          </cell>
          <cell r="HK190">
            <v>100</v>
          </cell>
          <cell r="HL190">
            <v>100</v>
          </cell>
          <cell r="HN190">
            <v>100</v>
          </cell>
          <cell r="HO190">
            <v>100</v>
          </cell>
          <cell r="HQ190">
            <v>100</v>
          </cell>
          <cell r="HR190">
            <v>100</v>
          </cell>
          <cell r="HT190">
            <v>100</v>
          </cell>
          <cell r="HU190">
            <v>100</v>
          </cell>
          <cell r="HW190">
            <v>100</v>
          </cell>
          <cell r="HX190">
            <v>100</v>
          </cell>
          <cell r="HZ190">
            <v>100</v>
          </cell>
          <cell r="IA190">
            <v>100</v>
          </cell>
          <cell r="IC190">
            <v>100</v>
          </cell>
          <cell r="ID190">
            <v>100</v>
          </cell>
          <cell r="IF190">
            <v>100</v>
          </cell>
        </row>
        <row r="191">
          <cell r="GP191" t="str">
            <v>HRSG Waste Water Sump</v>
          </cell>
          <cell r="GQ191">
            <v>0</v>
          </cell>
          <cell r="GS191">
            <v>0</v>
          </cell>
          <cell r="GT191">
            <v>0</v>
          </cell>
          <cell r="GV191">
            <v>0</v>
          </cell>
          <cell r="GW191">
            <v>0</v>
          </cell>
          <cell r="GY191">
            <v>0</v>
          </cell>
          <cell r="GZ191">
            <v>0</v>
          </cell>
          <cell r="HB191">
            <v>0</v>
          </cell>
          <cell r="HC191">
            <v>0</v>
          </cell>
          <cell r="HE191">
            <v>0</v>
          </cell>
          <cell r="HF191">
            <v>0</v>
          </cell>
          <cell r="HH191">
            <v>0</v>
          </cell>
          <cell r="HI191">
            <v>0</v>
          </cell>
          <cell r="HK191">
            <v>0</v>
          </cell>
          <cell r="HL191">
            <v>0</v>
          </cell>
          <cell r="HN191">
            <v>0</v>
          </cell>
          <cell r="HO191">
            <v>0</v>
          </cell>
          <cell r="HQ191">
            <v>0</v>
          </cell>
          <cell r="HR191">
            <v>0</v>
          </cell>
          <cell r="HT191">
            <v>0</v>
          </cell>
          <cell r="HU191">
            <v>0</v>
          </cell>
          <cell r="HW191">
            <v>0</v>
          </cell>
          <cell r="HX191">
            <v>0</v>
          </cell>
          <cell r="HZ191">
            <v>0</v>
          </cell>
          <cell r="IA191">
            <v>0</v>
          </cell>
          <cell r="IC191">
            <v>0</v>
          </cell>
          <cell r="ID191">
            <v>0</v>
          </cell>
          <cell r="IF191">
            <v>0</v>
          </cell>
        </row>
        <row r="192">
          <cell r="GP192" t="str">
            <v>HRSG Waste Water Sump Pump</v>
          </cell>
          <cell r="GQ192">
            <v>0</v>
          </cell>
          <cell r="GS192">
            <v>0</v>
          </cell>
          <cell r="GT192">
            <v>0</v>
          </cell>
          <cell r="GV192">
            <v>0</v>
          </cell>
          <cell r="GW192">
            <v>0</v>
          </cell>
          <cell r="GY192">
            <v>0</v>
          </cell>
          <cell r="GZ192">
            <v>0</v>
          </cell>
          <cell r="HB192">
            <v>0</v>
          </cell>
          <cell r="HC192">
            <v>0</v>
          </cell>
          <cell r="HE192">
            <v>0</v>
          </cell>
          <cell r="HF192">
            <v>0</v>
          </cell>
          <cell r="HH192">
            <v>0</v>
          </cell>
          <cell r="HI192">
            <v>0</v>
          </cell>
          <cell r="HK192">
            <v>0</v>
          </cell>
          <cell r="HL192">
            <v>0</v>
          </cell>
          <cell r="HN192">
            <v>0</v>
          </cell>
          <cell r="HO192">
            <v>0</v>
          </cell>
          <cell r="HQ192">
            <v>0</v>
          </cell>
          <cell r="HR192">
            <v>0</v>
          </cell>
          <cell r="HT192">
            <v>0</v>
          </cell>
          <cell r="HU192">
            <v>0</v>
          </cell>
          <cell r="HW192">
            <v>0</v>
          </cell>
          <cell r="HX192">
            <v>0</v>
          </cell>
          <cell r="HZ192">
            <v>0</v>
          </cell>
          <cell r="IA192">
            <v>0</v>
          </cell>
          <cell r="IC192">
            <v>0</v>
          </cell>
          <cell r="ID192">
            <v>0</v>
          </cell>
          <cell r="IF192">
            <v>0</v>
          </cell>
        </row>
        <row r="193">
          <cell r="GP193" t="str">
            <v>HRSG Chem Feed Area Waste Water Sump</v>
          </cell>
          <cell r="GQ193">
            <v>0</v>
          </cell>
          <cell r="GS193">
            <v>0</v>
          </cell>
          <cell r="GT193">
            <v>0</v>
          </cell>
          <cell r="GV193">
            <v>0</v>
          </cell>
          <cell r="GW193">
            <v>0</v>
          </cell>
          <cell r="GY193">
            <v>0</v>
          </cell>
          <cell r="GZ193">
            <v>0</v>
          </cell>
          <cell r="HB193">
            <v>0</v>
          </cell>
          <cell r="HC193">
            <v>0</v>
          </cell>
          <cell r="HE193">
            <v>0</v>
          </cell>
          <cell r="HF193">
            <v>0</v>
          </cell>
          <cell r="HH193">
            <v>0</v>
          </cell>
          <cell r="HI193">
            <v>0</v>
          </cell>
          <cell r="HK193">
            <v>0</v>
          </cell>
          <cell r="HL193">
            <v>0</v>
          </cell>
          <cell r="HN193">
            <v>0</v>
          </cell>
          <cell r="HO193">
            <v>0</v>
          </cell>
          <cell r="HQ193">
            <v>0</v>
          </cell>
          <cell r="HR193">
            <v>0</v>
          </cell>
          <cell r="HT193">
            <v>0</v>
          </cell>
          <cell r="HU193">
            <v>0</v>
          </cell>
          <cell r="HW193">
            <v>0</v>
          </cell>
          <cell r="HX193">
            <v>0</v>
          </cell>
          <cell r="HZ193">
            <v>0</v>
          </cell>
          <cell r="IA193">
            <v>0</v>
          </cell>
          <cell r="IC193">
            <v>0</v>
          </cell>
          <cell r="ID193">
            <v>0</v>
          </cell>
          <cell r="IF193">
            <v>0</v>
          </cell>
        </row>
        <row r="194">
          <cell r="GP194" t="str">
            <v>HRSG Chemical Feed Sump Pumps</v>
          </cell>
          <cell r="GQ194">
            <v>0</v>
          </cell>
          <cell r="GS194">
            <v>0</v>
          </cell>
          <cell r="GT194">
            <v>0</v>
          </cell>
          <cell r="GV194">
            <v>0</v>
          </cell>
          <cell r="GW194">
            <v>0</v>
          </cell>
          <cell r="GY194">
            <v>0</v>
          </cell>
          <cell r="GZ194">
            <v>0</v>
          </cell>
          <cell r="HB194">
            <v>0</v>
          </cell>
          <cell r="HC194">
            <v>0</v>
          </cell>
          <cell r="HE194">
            <v>0</v>
          </cell>
          <cell r="HF194">
            <v>0</v>
          </cell>
          <cell r="HH194">
            <v>0</v>
          </cell>
          <cell r="HI194">
            <v>0</v>
          </cell>
          <cell r="HK194">
            <v>0</v>
          </cell>
          <cell r="HL194">
            <v>0</v>
          </cell>
          <cell r="HN194">
            <v>0</v>
          </cell>
          <cell r="HO194">
            <v>0</v>
          </cell>
          <cell r="HQ194">
            <v>0</v>
          </cell>
          <cell r="HR194">
            <v>0</v>
          </cell>
          <cell r="HT194">
            <v>0</v>
          </cell>
          <cell r="HU194">
            <v>0</v>
          </cell>
          <cell r="HW194">
            <v>0</v>
          </cell>
          <cell r="HX194">
            <v>0</v>
          </cell>
          <cell r="HZ194">
            <v>0</v>
          </cell>
          <cell r="IA194">
            <v>0</v>
          </cell>
          <cell r="IC194">
            <v>0</v>
          </cell>
          <cell r="ID194">
            <v>0</v>
          </cell>
          <cell r="IF194">
            <v>0</v>
          </cell>
        </row>
        <row r="195">
          <cell r="GP195" t="str">
            <v>Cooling Tower Chem Feed Waste Water Sump</v>
          </cell>
          <cell r="GQ195">
            <v>0</v>
          </cell>
          <cell r="GS195">
            <v>0</v>
          </cell>
          <cell r="GT195">
            <v>0</v>
          </cell>
          <cell r="GV195">
            <v>0</v>
          </cell>
          <cell r="GW195">
            <v>0</v>
          </cell>
          <cell r="GY195">
            <v>0</v>
          </cell>
          <cell r="GZ195">
            <v>0</v>
          </cell>
          <cell r="HB195">
            <v>0</v>
          </cell>
          <cell r="HC195">
            <v>0</v>
          </cell>
          <cell r="HE195">
            <v>0</v>
          </cell>
          <cell r="HF195">
            <v>0</v>
          </cell>
          <cell r="HH195">
            <v>0</v>
          </cell>
          <cell r="HI195">
            <v>0</v>
          </cell>
          <cell r="HK195">
            <v>0</v>
          </cell>
          <cell r="HL195">
            <v>0</v>
          </cell>
          <cell r="HN195">
            <v>0</v>
          </cell>
          <cell r="HO195">
            <v>0</v>
          </cell>
          <cell r="HQ195">
            <v>0</v>
          </cell>
          <cell r="HR195">
            <v>0</v>
          </cell>
          <cell r="HT195">
            <v>0</v>
          </cell>
          <cell r="HU195">
            <v>0</v>
          </cell>
          <cell r="HW195">
            <v>0</v>
          </cell>
          <cell r="HX195">
            <v>0</v>
          </cell>
          <cell r="HZ195">
            <v>0</v>
          </cell>
          <cell r="IA195">
            <v>0</v>
          </cell>
          <cell r="IC195">
            <v>0</v>
          </cell>
          <cell r="ID195">
            <v>0</v>
          </cell>
          <cell r="IF195">
            <v>0</v>
          </cell>
        </row>
        <row r="196">
          <cell r="GP196" t="str">
            <v>Cooling Tower Chemical Feed Sump Pumps</v>
          </cell>
          <cell r="GQ196">
            <v>0</v>
          </cell>
          <cell r="GS196">
            <v>0</v>
          </cell>
          <cell r="GT196">
            <v>0</v>
          </cell>
          <cell r="GV196">
            <v>0</v>
          </cell>
          <cell r="GW196">
            <v>0</v>
          </cell>
          <cell r="GY196">
            <v>0</v>
          </cell>
          <cell r="GZ196">
            <v>0</v>
          </cell>
          <cell r="HB196">
            <v>0</v>
          </cell>
          <cell r="HC196">
            <v>0</v>
          </cell>
          <cell r="HE196">
            <v>0</v>
          </cell>
          <cell r="HF196">
            <v>0</v>
          </cell>
          <cell r="HH196">
            <v>0</v>
          </cell>
          <cell r="HI196">
            <v>0</v>
          </cell>
          <cell r="HK196">
            <v>0</v>
          </cell>
          <cell r="HL196">
            <v>0</v>
          </cell>
          <cell r="HN196">
            <v>0</v>
          </cell>
          <cell r="HO196">
            <v>0</v>
          </cell>
          <cell r="HQ196">
            <v>0</v>
          </cell>
          <cell r="HR196">
            <v>0</v>
          </cell>
          <cell r="HT196">
            <v>0</v>
          </cell>
          <cell r="HU196">
            <v>0</v>
          </cell>
          <cell r="HW196">
            <v>0</v>
          </cell>
          <cell r="HX196">
            <v>0</v>
          </cell>
          <cell r="HZ196">
            <v>0</v>
          </cell>
          <cell r="IA196">
            <v>0</v>
          </cell>
          <cell r="IC196">
            <v>0</v>
          </cell>
          <cell r="ID196">
            <v>0</v>
          </cell>
          <cell r="IF196">
            <v>0</v>
          </cell>
        </row>
        <row r="197">
          <cell r="GP197" t="str">
            <v>R/O Enclosure Waste Water Sump</v>
          </cell>
          <cell r="GS197">
            <v>0</v>
          </cell>
          <cell r="GV197">
            <v>0</v>
          </cell>
          <cell r="GY197">
            <v>0</v>
          </cell>
          <cell r="HB197">
            <v>0</v>
          </cell>
          <cell r="HE197">
            <v>0</v>
          </cell>
          <cell r="HH197">
            <v>0</v>
          </cell>
          <cell r="HK197">
            <v>0</v>
          </cell>
          <cell r="HN197">
            <v>0</v>
          </cell>
          <cell r="HQ197">
            <v>0</v>
          </cell>
          <cell r="HT197">
            <v>0</v>
          </cell>
          <cell r="HW197">
            <v>0</v>
          </cell>
          <cell r="HZ197">
            <v>0</v>
          </cell>
          <cell r="IC197">
            <v>0</v>
          </cell>
          <cell r="IF197">
            <v>0</v>
          </cell>
        </row>
        <row r="198">
          <cell r="GP198" t="str">
            <v>R/O Sump Pumps</v>
          </cell>
          <cell r="GS198">
            <v>0</v>
          </cell>
          <cell r="GV198">
            <v>0</v>
          </cell>
          <cell r="GY198">
            <v>0</v>
          </cell>
          <cell r="HB198">
            <v>0</v>
          </cell>
          <cell r="HE198">
            <v>0</v>
          </cell>
          <cell r="HH198">
            <v>0</v>
          </cell>
          <cell r="HK198">
            <v>0</v>
          </cell>
          <cell r="HN198">
            <v>0</v>
          </cell>
          <cell r="HQ198">
            <v>0</v>
          </cell>
          <cell r="HT198">
            <v>0</v>
          </cell>
          <cell r="HW198">
            <v>0</v>
          </cell>
          <cell r="HZ198">
            <v>0</v>
          </cell>
          <cell r="IC198">
            <v>0</v>
          </cell>
          <cell r="IF198">
            <v>0</v>
          </cell>
        </row>
        <row r="199">
          <cell r="GP199" t="str">
            <v>ZLDS Recovery Waste Water Sump</v>
          </cell>
          <cell r="GQ199">
            <v>0</v>
          </cell>
          <cell r="GS199">
            <v>0</v>
          </cell>
          <cell r="GT199">
            <v>0</v>
          </cell>
          <cell r="GV199">
            <v>0</v>
          </cell>
          <cell r="GW199">
            <v>0</v>
          </cell>
          <cell r="GY199">
            <v>0</v>
          </cell>
          <cell r="GZ199">
            <v>0</v>
          </cell>
          <cell r="HB199">
            <v>0</v>
          </cell>
          <cell r="HC199">
            <v>0</v>
          </cell>
          <cell r="HE199">
            <v>0</v>
          </cell>
          <cell r="HF199">
            <v>0</v>
          </cell>
          <cell r="HH199">
            <v>0</v>
          </cell>
          <cell r="HI199">
            <v>0</v>
          </cell>
          <cell r="HK199">
            <v>0</v>
          </cell>
          <cell r="HL199">
            <v>0</v>
          </cell>
          <cell r="HN199">
            <v>0</v>
          </cell>
          <cell r="HO199">
            <v>0</v>
          </cell>
          <cell r="HQ199">
            <v>0</v>
          </cell>
          <cell r="HR199">
            <v>0</v>
          </cell>
          <cell r="HT199">
            <v>0</v>
          </cell>
          <cell r="HU199">
            <v>0</v>
          </cell>
          <cell r="HW199">
            <v>0</v>
          </cell>
          <cell r="HX199">
            <v>0</v>
          </cell>
          <cell r="HZ199">
            <v>0</v>
          </cell>
          <cell r="IA199">
            <v>0</v>
          </cell>
          <cell r="IC199">
            <v>0</v>
          </cell>
          <cell r="ID199">
            <v>0</v>
          </cell>
          <cell r="IF199">
            <v>0</v>
          </cell>
        </row>
        <row r="200">
          <cell r="GP200" t="str">
            <v>ZLDS Recovery Sump Pumps</v>
          </cell>
          <cell r="GQ200">
            <v>0</v>
          </cell>
          <cell r="GS200">
            <v>0</v>
          </cell>
          <cell r="GT200">
            <v>0</v>
          </cell>
          <cell r="GV200">
            <v>0</v>
          </cell>
          <cell r="GW200">
            <v>0</v>
          </cell>
          <cell r="GY200">
            <v>0</v>
          </cell>
          <cell r="GZ200">
            <v>0</v>
          </cell>
          <cell r="HB200">
            <v>0</v>
          </cell>
          <cell r="HC200">
            <v>0</v>
          </cell>
          <cell r="HE200">
            <v>0</v>
          </cell>
          <cell r="HF200">
            <v>0</v>
          </cell>
          <cell r="HH200">
            <v>0</v>
          </cell>
          <cell r="HI200">
            <v>0</v>
          </cell>
          <cell r="HK200">
            <v>0</v>
          </cell>
          <cell r="HL200">
            <v>0</v>
          </cell>
          <cell r="HN200">
            <v>0</v>
          </cell>
          <cell r="HO200">
            <v>0</v>
          </cell>
          <cell r="HQ200">
            <v>0</v>
          </cell>
          <cell r="HR200">
            <v>0</v>
          </cell>
          <cell r="HT200">
            <v>0</v>
          </cell>
          <cell r="HU200">
            <v>0</v>
          </cell>
          <cell r="HW200">
            <v>0</v>
          </cell>
          <cell r="HX200">
            <v>0</v>
          </cell>
          <cell r="HZ200">
            <v>0</v>
          </cell>
          <cell r="IA200">
            <v>0</v>
          </cell>
          <cell r="IC200">
            <v>0</v>
          </cell>
          <cell r="ID200">
            <v>0</v>
          </cell>
          <cell r="IF200">
            <v>0</v>
          </cell>
        </row>
        <row r="201">
          <cell r="GP201" t="str">
            <v>Oily Water Separator / Underground</v>
          </cell>
          <cell r="GQ201">
            <v>200</v>
          </cell>
          <cell r="GS201">
            <v>200</v>
          </cell>
          <cell r="GT201">
            <v>200</v>
          </cell>
          <cell r="GV201">
            <v>200</v>
          </cell>
          <cell r="GW201">
            <v>200</v>
          </cell>
          <cell r="GY201">
            <v>200</v>
          </cell>
          <cell r="GZ201">
            <v>200</v>
          </cell>
          <cell r="HB201">
            <v>200</v>
          </cell>
          <cell r="HC201">
            <v>200</v>
          </cell>
          <cell r="HE201">
            <v>200</v>
          </cell>
          <cell r="HF201">
            <v>200</v>
          </cell>
          <cell r="HH201">
            <v>200</v>
          </cell>
          <cell r="HI201">
            <v>200</v>
          </cell>
          <cell r="HK201">
            <v>200</v>
          </cell>
          <cell r="HL201">
            <v>200</v>
          </cell>
          <cell r="HN201">
            <v>200</v>
          </cell>
          <cell r="HO201">
            <v>200</v>
          </cell>
          <cell r="HQ201">
            <v>200</v>
          </cell>
          <cell r="HR201">
            <v>200</v>
          </cell>
          <cell r="HT201">
            <v>200</v>
          </cell>
          <cell r="HU201">
            <v>200</v>
          </cell>
          <cell r="HW201">
            <v>200</v>
          </cell>
          <cell r="HX201">
            <v>200</v>
          </cell>
          <cell r="HZ201">
            <v>200</v>
          </cell>
          <cell r="IA201">
            <v>200</v>
          </cell>
          <cell r="IC201">
            <v>200</v>
          </cell>
          <cell r="ID201">
            <v>200</v>
          </cell>
          <cell r="IF201">
            <v>200</v>
          </cell>
        </row>
        <row r="202">
          <cell r="GP202" t="str">
            <v>GTG Waste Water Sump</v>
          </cell>
          <cell r="GS202">
            <v>0</v>
          </cell>
          <cell r="GV202">
            <v>0</v>
          </cell>
          <cell r="GY202">
            <v>0</v>
          </cell>
          <cell r="HB202">
            <v>0</v>
          </cell>
          <cell r="HE202">
            <v>0</v>
          </cell>
          <cell r="HH202">
            <v>0</v>
          </cell>
          <cell r="HK202">
            <v>0</v>
          </cell>
          <cell r="HN202">
            <v>0</v>
          </cell>
          <cell r="HQ202">
            <v>0</v>
          </cell>
          <cell r="HT202">
            <v>0</v>
          </cell>
          <cell r="HW202">
            <v>0</v>
          </cell>
          <cell r="HZ202">
            <v>0</v>
          </cell>
          <cell r="IC202">
            <v>0</v>
          </cell>
          <cell r="IF202">
            <v>0</v>
          </cell>
        </row>
        <row r="203">
          <cell r="GP203" t="str">
            <v>GTG Waste Water Sump Pump</v>
          </cell>
          <cell r="GQ203">
            <v>0</v>
          </cell>
          <cell r="GS203">
            <v>0</v>
          </cell>
          <cell r="GT203">
            <v>0</v>
          </cell>
          <cell r="GV203">
            <v>0</v>
          </cell>
          <cell r="GW203">
            <v>0</v>
          </cell>
          <cell r="GY203">
            <v>0</v>
          </cell>
          <cell r="GZ203">
            <v>0</v>
          </cell>
          <cell r="HB203">
            <v>0</v>
          </cell>
          <cell r="HC203">
            <v>0</v>
          </cell>
          <cell r="HE203">
            <v>0</v>
          </cell>
          <cell r="HF203">
            <v>0</v>
          </cell>
          <cell r="HH203">
            <v>0</v>
          </cell>
          <cell r="HI203">
            <v>0</v>
          </cell>
          <cell r="HK203">
            <v>0</v>
          </cell>
          <cell r="HL203">
            <v>0</v>
          </cell>
          <cell r="HN203">
            <v>0</v>
          </cell>
          <cell r="HO203">
            <v>0</v>
          </cell>
          <cell r="HQ203">
            <v>0</v>
          </cell>
          <cell r="HR203">
            <v>0</v>
          </cell>
          <cell r="HT203">
            <v>0</v>
          </cell>
          <cell r="HU203">
            <v>0</v>
          </cell>
          <cell r="HW203">
            <v>0</v>
          </cell>
          <cell r="HX203">
            <v>0</v>
          </cell>
          <cell r="HZ203">
            <v>0</v>
          </cell>
          <cell r="IA203">
            <v>0</v>
          </cell>
          <cell r="IC203">
            <v>0</v>
          </cell>
          <cell r="ID203">
            <v>0</v>
          </cell>
          <cell r="IF203">
            <v>0</v>
          </cell>
        </row>
        <row r="204">
          <cell r="GP204" t="str">
            <v>STG Waste Water Sump</v>
          </cell>
          <cell r="GS204">
            <v>0</v>
          </cell>
          <cell r="GV204">
            <v>0</v>
          </cell>
          <cell r="GY204">
            <v>0</v>
          </cell>
          <cell r="HB204">
            <v>0</v>
          </cell>
          <cell r="HE204">
            <v>0</v>
          </cell>
          <cell r="HH204">
            <v>0</v>
          </cell>
          <cell r="HK204">
            <v>0</v>
          </cell>
          <cell r="HN204">
            <v>0</v>
          </cell>
          <cell r="HQ204">
            <v>0</v>
          </cell>
          <cell r="HT204">
            <v>0</v>
          </cell>
          <cell r="HW204">
            <v>0</v>
          </cell>
          <cell r="HZ204">
            <v>0</v>
          </cell>
          <cell r="IC204">
            <v>0</v>
          </cell>
          <cell r="IF204">
            <v>0</v>
          </cell>
        </row>
        <row r="205">
          <cell r="GP205" t="str">
            <v>STG Recovery Sump Pump</v>
          </cell>
          <cell r="GQ205">
            <v>0</v>
          </cell>
          <cell r="GS205">
            <v>0</v>
          </cell>
          <cell r="GT205">
            <v>0</v>
          </cell>
          <cell r="GV205">
            <v>0</v>
          </cell>
          <cell r="GW205">
            <v>0</v>
          </cell>
          <cell r="GY205">
            <v>0</v>
          </cell>
          <cell r="GZ205">
            <v>0</v>
          </cell>
          <cell r="HB205">
            <v>0</v>
          </cell>
          <cell r="HC205">
            <v>0</v>
          </cell>
          <cell r="HE205">
            <v>0</v>
          </cell>
          <cell r="HF205">
            <v>0</v>
          </cell>
          <cell r="HH205">
            <v>0</v>
          </cell>
          <cell r="HI205">
            <v>0</v>
          </cell>
          <cell r="HK205">
            <v>0</v>
          </cell>
          <cell r="HL205">
            <v>0</v>
          </cell>
          <cell r="HN205">
            <v>0</v>
          </cell>
          <cell r="HO205">
            <v>0</v>
          </cell>
          <cell r="HQ205">
            <v>0</v>
          </cell>
          <cell r="HR205">
            <v>0</v>
          </cell>
          <cell r="HT205">
            <v>0</v>
          </cell>
          <cell r="HU205">
            <v>0</v>
          </cell>
          <cell r="HW205">
            <v>0</v>
          </cell>
          <cell r="HX205">
            <v>0</v>
          </cell>
          <cell r="HZ205">
            <v>0</v>
          </cell>
          <cell r="IA205">
            <v>0</v>
          </cell>
          <cell r="IC205">
            <v>0</v>
          </cell>
          <cell r="ID205">
            <v>0</v>
          </cell>
          <cell r="IF205">
            <v>0</v>
          </cell>
        </row>
        <row r="206">
          <cell r="GP206" t="str">
            <v>Sample Panel</v>
          </cell>
          <cell r="GQ206">
            <v>0</v>
          </cell>
          <cell r="GS206">
            <v>0</v>
          </cell>
          <cell r="GT206">
            <v>0</v>
          </cell>
          <cell r="GV206">
            <v>0</v>
          </cell>
          <cell r="GW206">
            <v>0</v>
          </cell>
          <cell r="GY206">
            <v>0</v>
          </cell>
          <cell r="GZ206">
            <v>0</v>
          </cell>
          <cell r="HB206">
            <v>0</v>
          </cell>
          <cell r="HC206">
            <v>0</v>
          </cell>
          <cell r="HE206">
            <v>0</v>
          </cell>
          <cell r="HF206">
            <v>0</v>
          </cell>
          <cell r="HH206">
            <v>0</v>
          </cell>
          <cell r="HI206">
            <v>0</v>
          </cell>
          <cell r="HK206">
            <v>0</v>
          </cell>
          <cell r="HL206">
            <v>0</v>
          </cell>
          <cell r="HN206">
            <v>0</v>
          </cell>
          <cell r="HO206">
            <v>0</v>
          </cell>
          <cell r="HQ206">
            <v>0</v>
          </cell>
          <cell r="HR206">
            <v>0</v>
          </cell>
          <cell r="HT206">
            <v>0</v>
          </cell>
          <cell r="HU206">
            <v>0</v>
          </cell>
          <cell r="HW206">
            <v>0</v>
          </cell>
          <cell r="HX206">
            <v>0</v>
          </cell>
          <cell r="HZ206">
            <v>0</v>
          </cell>
          <cell r="IA206">
            <v>0</v>
          </cell>
          <cell r="IC206">
            <v>0</v>
          </cell>
          <cell r="ID206">
            <v>0</v>
          </cell>
          <cell r="IF206">
            <v>0</v>
          </cell>
        </row>
        <row r="207">
          <cell r="GP207" t="str">
            <v>Safety Shower Assembly / Eyewash Assembly</v>
          </cell>
          <cell r="GQ207">
            <v>0</v>
          </cell>
          <cell r="GS207">
            <v>0</v>
          </cell>
          <cell r="GT207">
            <v>0</v>
          </cell>
          <cell r="GV207">
            <v>0</v>
          </cell>
          <cell r="GW207">
            <v>0</v>
          </cell>
          <cell r="GY207">
            <v>0</v>
          </cell>
          <cell r="GZ207">
            <v>0</v>
          </cell>
          <cell r="HB207">
            <v>0</v>
          </cell>
          <cell r="HC207">
            <v>0</v>
          </cell>
          <cell r="HE207">
            <v>0</v>
          </cell>
          <cell r="HF207">
            <v>0</v>
          </cell>
          <cell r="HH207">
            <v>0</v>
          </cell>
          <cell r="HI207">
            <v>0</v>
          </cell>
          <cell r="HK207">
            <v>0</v>
          </cell>
          <cell r="HL207">
            <v>0</v>
          </cell>
          <cell r="HN207">
            <v>0</v>
          </cell>
          <cell r="HO207">
            <v>0</v>
          </cell>
          <cell r="HQ207">
            <v>0</v>
          </cell>
          <cell r="HR207">
            <v>0</v>
          </cell>
          <cell r="HT207">
            <v>0</v>
          </cell>
          <cell r="HU207">
            <v>0</v>
          </cell>
          <cell r="HW207">
            <v>0</v>
          </cell>
          <cell r="HX207">
            <v>0</v>
          </cell>
          <cell r="HZ207">
            <v>0</v>
          </cell>
          <cell r="IA207">
            <v>0</v>
          </cell>
          <cell r="IC207">
            <v>0</v>
          </cell>
          <cell r="ID207">
            <v>0</v>
          </cell>
          <cell r="IF207">
            <v>0</v>
          </cell>
        </row>
        <row r="208">
          <cell r="GP208" t="str">
            <v>Ammonia Storage Tank</v>
          </cell>
          <cell r="GQ208">
            <v>1300</v>
          </cell>
          <cell r="GS208">
            <v>1300</v>
          </cell>
          <cell r="GT208">
            <v>1300</v>
          </cell>
          <cell r="GV208">
            <v>1300</v>
          </cell>
          <cell r="GW208">
            <v>1300</v>
          </cell>
          <cell r="GY208">
            <v>1300</v>
          </cell>
          <cell r="GZ208">
            <v>1300</v>
          </cell>
          <cell r="HB208">
            <v>1300</v>
          </cell>
          <cell r="HC208">
            <v>1300</v>
          </cell>
          <cell r="HE208">
            <v>1300</v>
          </cell>
          <cell r="HF208">
            <v>1300</v>
          </cell>
          <cell r="HH208">
            <v>1300</v>
          </cell>
          <cell r="HI208">
            <v>1300</v>
          </cell>
          <cell r="HK208">
            <v>1300</v>
          </cell>
          <cell r="HL208">
            <v>1300</v>
          </cell>
          <cell r="HN208">
            <v>1300</v>
          </cell>
          <cell r="HO208">
            <v>1300</v>
          </cell>
          <cell r="HQ208">
            <v>1300</v>
          </cell>
          <cell r="HR208">
            <v>1300</v>
          </cell>
          <cell r="HT208">
            <v>1300</v>
          </cell>
          <cell r="HU208">
            <v>1300</v>
          </cell>
          <cell r="HW208">
            <v>1300</v>
          </cell>
          <cell r="HX208">
            <v>1300</v>
          </cell>
          <cell r="HZ208">
            <v>1300</v>
          </cell>
          <cell r="IA208">
            <v>1300</v>
          </cell>
          <cell r="IC208">
            <v>1300</v>
          </cell>
          <cell r="ID208">
            <v>1300</v>
          </cell>
          <cell r="IF208">
            <v>1300</v>
          </cell>
        </row>
        <row r="209">
          <cell r="GP209" t="str">
            <v>Aqueous Ammonia Forwarding Pump</v>
          </cell>
          <cell r="GS209">
            <v>0</v>
          </cell>
          <cell r="GV209">
            <v>0</v>
          </cell>
          <cell r="GY209">
            <v>0</v>
          </cell>
          <cell r="HB209">
            <v>0</v>
          </cell>
          <cell r="HE209">
            <v>0</v>
          </cell>
          <cell r="HH209">
            <v>0</v>
          </cell>
          <cell r="HK209">
            <v>0</v>
          </cell>
          <cell r="HN209">
            <v>0</v>
          </cell>
          <cell r="HQ209">
            <v>0</v>
          </cell>
          <cell r="HT209">
            <v>0</v>
          </cell>
          <cell r="HW209">
            <v>0</v>
          </cell>
          <cell r="HZ209">
            <v>0</v>
          </cell>
          <cell r="IC209">
            <v>0</v>
          </cell>
          <cell r="IF209">
            <v>0</v>
          </cell>
        </row>
        <row r="210">
          <cell r="GP210" t="str">
            <v>Fire Pump, Electric</v>
          </cell>
          <cell r="GQ210">
            <v>1000</v>
          </cell>
          <cell r="GS210">
            <v>1000</v>
          </cell>
          <cell r="GT210">
            <v>1000</v>
          </cell>
          <cell r="GV210">
            <v>1000</v>
          </cell>
          <cell r="GW210">
            <v>1000</v>
          </cell>
          <cell r="GY210">
            <v>1000</v>
          </cell>
          <cell r="GZ210">
            <v>1000</v>
          </cell>
          <cell r="HB210">
            <v>1000</v>
          </cell>
          <cell r="HC210">
            <v>1000</v>
          </cell>
          <cell r="HE210">
            <v>1000</v>
          </cell>
          <cell r="HF210">
            <v>1000</v>
          </cell>
          <cell r="HH210">
            <v>1000</v>
          </cell>
          <cell r="HI210">
            <v>1000</v>
          </cell>
          <cell r="HK210">
            <v>1000</v>
          </cell>
          <cell r="HL210">
            <v>1000</v>
          </cell>
          <cell r="HN210">
            <v>1000</v>
          </cell>
          <cell r="HO210">
            <v>1000</v>
          </cell>
          <cell r="HQ210">
            <v>1000</v>
          </cell>
          <cell r="HR210">
            <v>1000</v>
          </cell>
          <cell r="HT210">
            <v>1000</v>
          </cell>
          <cell r="HU210">
            <v>1000</v>
          </cell>
          <cell r="HW210">
            <v>1000</v>
          </cell>
          <cell r="HX210">
            <v>1000</v>
          </cell>
          <cell r="HZ210">
            <v>1000</v>
          </cell>
          <cell r="IA210">
            <v>1000</v>
          </cell>
          <cell r="IC210">
            <v>1000</v>
          </cell>
          <cell r="ID210">
            <v>1000</v>
          </cell>
          <cell r="IF210">
            <v>1000</v>
          </cell>
        </row>
        <row r="211">
          <cell r="GP211" t="str">
            <v>Fire Pump, Diesel</v>
          </cell>
          <cell r="GQ211">
            <v>0</v>
          </cell>
          <cell r="GS211">
            <v>0</v>
          </cell>
          <cell r="GT211">
            <v>0</v>
          </cell>
          <cell r="GV211">
            <v>0</v>
          </cell>
          <cell r="GW211">
            <v>0</v>
          </cell>
          <cell r="GY211">
            <v>0</v>
          </cell>
          <cell r="GZ211">
            <v>0</v>
          </cell>
          <cell r="HB211">
            <v>0</v>
          </cell>
          <cell r="HC211">
            <v>0</v>
          </cell>
          <cell r="HE211">
            <v>0</v>
          </cell>
          <cell r="HF211">
            <v>0</v>
          </cell>
          <cell r="HH211">
            <v>0</v>
          </cell>
          <cell r="HI211">
            <v>0</v>
          </cell>
          <cell r="HK211">
            <v>0</v>
          </cell>
          <cell r="HL211">
            <v>0</v>
          </cell>
          <cell r="HN211">
            <v>0</v>
          </cell>
          <cell r="HO211">
            <v>0</v>
          </cell>
          <cell r="HQ211">
            <v>0</v>
          </cell>
          <cell r="HR211">
            <v>0</v>
          </cell>
          <cell r="HT211">
            <v>0</v>
          </cell>
          <cell r="HU211">
            <v>0</v>
          </cell>
          <cell r="HW211">
            <v>0</v>
          </cell>
          <cell r="HX211">
            <v>0</v>
          </cell>
          <cell r="HZ211">
            <v>0</v>
          </cell>
          <cell r="IA211">
            <v>0</v>
          </cell>
          <cell r="IC211">
            <v>0</v>
          </cell>
          <cell r="ID211">
            <v>0</v>
          </cell>
          <cell r="IF211">
            <v>0</v>
          </cell>
        </row>
        <row r="212">
          <cell r="GP212" t="str">
            <v>Fire Alarm System</v>
          </cell>
          <cell r="GQ212">
            <v>0</v>
          </cell>
          <cell r="GS212">
            <v>0</v>
          </cell>
          <cell r="GT212">
            <v>0</v>
          </cell>
          <cell r="GV212">
            <v>0</v>
          </cell>
          <cell r="GW212">
            <v>0</v>
          </cell>
          <cell r="GY212">
            <v>0</v>
          </cell>
          <cell r="GZ212">
            <v>0</v>
          </cell>
          <cell r="HB212">
            <v>0</v>
          </cell>
          <cell r="HC212">
            <v>0</v>
          </cell>
          <cell r="HE212">
            <v>0</v>
          </cell>
          <cell r="HF212">
            <v>0</v>
          </cell>
          <cell r="HH212">
            <v>0</v>
          </cell>
          <cell r="HI212">
            <v>0</v>
          </cell>
          <cell r="HK212">
            <v>0</v>
          </cell>
          <cell r="HL212">
            <v>0</v>
          </cell>
          <cell r="HN212">
            <v>0</v>
          </cell>
          <cell r="HO212">
            <v>0</v>
          </cell>
          <cell r="HQ212">
            <v>0</v>
          </cell>
          <cell r="HR212">
            <v>0</v>
          </cell>
          <cell r="HT212">
            <v>0</v>
          </cell>
          <cell r="HU212">
            <v>0</v>
          </cell>
          <cell r="HW212">
            <v>0</v>
          </cell>
          <cell r="HX212">
            <v>0</v>
          </cell>
          <cell r="HZ212">
            <v>0</v>
          </cell>
          <cell r="IA212">
            <v>0</v>
          </cell>
          <cell r="IC212">
            <v>0</v>
          </cell>
          <cell r="ID212">
            <v>0</v>
          </cell>
          <cell r="IF212">
            <v>0</v>
          </cell>
        </row>
        <row r="213">
          <cell r="GP213" t="str">
            <v>STG Sprinkler System</v>
          </cell>
          <cell r="GQ213">
            <v>0</v>
          </cell>
          <cell r="GS213">
            <v>0</v>
          </cell>
          <cell r="GT213">
            <v>0</v>
          </cell>
          <cell r="GV213">
            <v>0</v>
          </cell>
          <cell r="GW213">
            <v>0</v>
          </cell>
          <cell r="GY213">
            <v>0</v>
          </cell>
          <cell r="GZ213">
            <v>0</v>
          </cell>
          <cell r="HB213">
            <v>0</v>
          </cell>
          <cell r="HC213">
            <v>0</v>
          </cell>
          <cell r="HE213">
            <v>0</v>
          </cell>
          <cell r="HF213">
            <v>0</v>
          </cell>
          <cell r="HH213">
            <v>0</v>
          </cell>
          <cell r="HI213">
            <v>0</v>
          </cell>
          <cell r="HK213">
            <v>0</v>
          </cell>
          <cell r="HL213">
            <v>0</v>
          </cell>
          <cell r="HN213">
            <v>0</v>
          </cell>
          <cell r="HO213">
            <v>0</v>
          </cell>
          <cell r="HQ213">
            <v>0</v>
          </cell>
          <cell r="HR213">
            <v>0</v>
          </cell>
          <cell r="HT213">
            <v>0</v>
          </cell>
          <cell r="HU213">
            <v>0</v>
          </cell>
          <cell r="HW213">
            <v>0</v>
          </cell>
          <cell r="HX213">
            <v>0</v>
          </cell>
          <cell r="HZ213">
            <v>0</v>
          </cell>
          <cell r="IA213">
            <v>0</v>
          </cell>
          <cell r="IC213">
            <v>0</v>
          </cell>
          <cell r="ID213">
            <v>0</v>
          </cell>
          <cell r="IF213">
            <v>0</v>
          </cell>
        </row>
        <row r="214">
          <cell r="GP214" t="str">
            <v>GSU Sprinkler System</v>
          </cell>
          <cell r="GQ214">
            <v>400</v>
          </cell>
          <cell r="GS214">
            <v>400</v>
          </cell>
          <cell r="GT214">
            <v>400</v>
          </cell>
          <cell r="GV214">
            <v>400</v>
          </cell>
          <cell r="GW214">
            <v>400</v>
          </cell>
          <cell r="GY214">
            <v>400</v>
          </cell>
          <cell r="GZ214">
            <v>400</v>
          </cell>
          <cell r="HB214">
            <v>400</v>
          </cell>
          <cell r="HC214">
            <v>400</v>
          </cell>
          <cell r="HE214">
            <v>400</v>
          </cell>
          <cell r="HF214">
            <v>400</v>
          </cell>
          <cell r="HH214">
            <v>400</v>
          </cell>
          <cell r="HI214">
            <v>400</v>
          </cell>
          <cell r="HK214">
            <v>400</v>
          </cell>
          <cell r="HL214">
            <v>400</v>
          </cell>
          <cell r="HN214">
            <v>400</v>
          </cell>
          <cell r="HO214">
            <v>400</v>
          </cell>
          <cell r="HQ214">
            <v>400</v>
          </cell>
          <cell r="HR214">
            <v>400</v>
          </cell>
          <cell r="HT214">
            <v>400</v>
          </cell>
          <cell r="HU214">
            <v>400</v>
          </cell>
          <cell r="HW214">
            <v>400</v>
          </cell>
          <cell r="HX214">
            <v>400</v>
          </cell>
          <cell r="HZ214">
            <v>400</v>
          </cell>
          <cell r="IA214">
            <v>400</v>
          </cell>
          <cell r="IC214">
            <v>400</v>
          </cell>
          <cell r="ID214">
            <v>400</v>
          </cell>
          <cell r="IF214">
            <v>400</v>
          </cell>
        </row>
        <row r="215">
          <cell r="GP215" t="str">
            <v>Aux Transformer Sprinkler System</v>
          </cell>
          <cell r="GQ215">
            <v>400</v>
          </cell>
          <cell r="GS215">
            <v>400</v>
          </cell>
          <cell r="GT215">
            <v>400</v>
          </cell>
          <cell r="GV215">
            <v>400</v>
          </cell>
          <cell r="GW215">
            <v>400</v>
          </cell>
          <cell r="GY215">
            <v>400</v>
          </cell>
          <cell r="GZ215">
            <v>400</v>
          </cell>
          <cell r="HB215">
            <v>400</v>
          </cell>
          <cell r="HC215">
            <v>400</v>
          </cell>
          <cell r="HE215">
            <v>400</v>
          </cell>
          <cell r="HF215">
            <v>400</v>
          </cell>
          <cell r="HH215">
            <v>400</v>
          </cell>
          <cell r="HI215">
            <v>400</v>
          </cell>
          <cell r="HK215">
            <v>400</v>
          </cell>
          <cell r="HL215">
            <v>400</v>
          </cell>
          <cell r="HN215">
            <v>400</v>
          </cell>
          <cell r="HO215">
            <v>400</v>
          </cell>
          <cell r="HQ215">
            <v>400</v>
          </cell>
          <cell r="HR215">
            <v>400</v>
          </cell>
          <cell r="HT215">
            <v>400</v>
          </cell>
          <cell r="HU215">
            <v>400</v>
          </cell>
          <cell r="HW215">
            <v>400</v>
          </cell>
          <cell r="HX215">
            <v>400</v>
          </cell>
          <cell r="HZ215">
            <v>400</v>
          </cell>
          <cell r="IA215">
            <v>400</v>
          </cell>
          <cell r="IC215">
            <v>400</v>
          </cell>
          <cell r="ID215">
            <v>400</v>
          </cell>
          <cell r="IF215">
            <v>400</v>
          </cell>
        </row>
        <row r="216">
          <cell r="GP216" t="str">
            <v>Fuel Oil Tank Foam System</v>
          </cell>
          <cell r="GQ216">
            <v>0</v>
          </cell>
          <cell r="GS216">
            <v>0</v>
          </cell>
          <cell r="GT216">
            <v>0</v>
          </cell>
          <cell r="GV216">
            <v>0</v>
          </cell>
          <cell r="GW216">
            <v>0</v>
          </cell>
          <cell r="GY216">
            <v>0</v>
          </cell>
          <cell r="GZ216">
            <v>0</v>
          </cell>
          <cell r="HB216">
            <v>0</v>
          </cell>
          <cell r="HC216">
            <v>0</v>
          </cell>
          <cell r="HE216">
            <v>0</v>
          </cell>
          <cell r="HF216">
            <v>0</v>
          </cell>
          <cell r="HH216">
            <v>0</v>
          </cell>
          <cell r="HI216">
            <v>0</v>
          </cell>
          <cell r="HK216">
            <v>0</v>
          </cell>
          <cell r="HL216">
            <v>0</v>
          </cell>
          <cell r="HN216">
            <v>0</v>
          </cell>
          <cell r="HO216">
            <v>0</v>
          </cell>
          <cell r="HQ216">
            <v>0</v>
          </cell>
          <cell r="HR216">
            <v>0</v>
          </cell>
          <cell r="HT216">
            <v>0</v>
          </cell>
          <cell r="HU216">
            <v>0</v>
          </cell>
          <cell r="HW216">
            <v>0</v>
          </cell>
          <cell r="HX216">
            <v>0</v>
          </cell>
          <cell r="HZ216">
            <v>0</v>
          </cell>
          <cell r="IA216">
            <v>0</v>
          </cell>
          <cell r="IC216">
            <v>0</v>
          </cell>
          <cell r="ID216">
            <v>0</v>
          </cell>
          <cell r="IF216">
            <v>0</v>
          </cell>
        </row>
        <row r="217">
          <cell r="GP217" t="str">
            <v>Fire Extinguishers</v>
          </cell>
          <cell r="GS217">
            <v>0</v>
          </cell>
          <cell r="GV217">
            <v>0</v>
          </cell>
          <cell r="GY217">
            <v>0</v>
          </cell>
          <cell r="HB217">
            <v>0</v>
          </cell>
          <cell r="HE217">
            <v>0</v>
          </cell>
          <cell r="HH217">
            <v>0</v>
          </cell>
          <cell r="HK217">
            <v>0</v>
          </cell>
          <cell r="HN217">
            <v>0</v>
          </cell>
          <cell r="HQ217">
            <v>0</v>
          </cell>
          <cell r="HT217">
            <v>0</v>
          </cell>
          <cell r="HW217">
            <v>0</v>
          </cell>
          <cell r="HZ217">
            <v>0</v>
          </cell>
          <cell r="IC217">
            <v>0</v>
          </cell>
          <cell r="IF217">
            <v>0</v>
          </cell>
        </row>
        <row r="218">
          <cell r="GP218" t="str">
            <v>Air Compressor</v>
          </cell>
          <cell r="GQ218">
            <v>900</v>
          </cell>
          <cell r="GS218">
            <v>900</v>
          </cell>
          <cell r="GT218">
            <v>900</v>
          </cell>
          <cell r="GV218">
            <v>900</v>
          </cell>
          <cell r="GW218">
            <v>900</v>
          </cell>
          <cell r="GY218">
            <v>900</v>
          </cell>
          <cell r="GZ218">
            <v>900</v>
          </cell>
          <cell r="HB218">
            <v>900</v>
          </cell>
          <cell r="HC218">
            <v>900</v>
          </cell>
          <cell r="HE218">
            <v>900</v>
          </cell>
          <cell r="HF218">
            <v>900</v>
          </cell>
          <cell r="HH218">
            <v>900</v>
          </cell>
          <cell r="HI218">
            <v>900</v>
          </cell>
          <cell r="HK218">
            <v>900</v>
          </cell>
          <cell r="HL218">
            <v>900</v>
          </cell>
          <cell r="HN218">
            <v>900</v>
          </cell>
          <cell r="HO218">
            <v>900</v>
          </cell>
          <cell r="HQ218">
            <v>900</v>
          </cell>
          <cell r="HR218">
            <v>900</v>
          </cell>
          <cell r="HT218">
            <v>900</v>
          </cell>
          <cell r="HU218">
            <v>900</v>
          </cell>
          <cell r="HW218">
            <v>900</v>
          </cell>
          <cell r="HX218">
            <v>900</v>
          </cell>
          <cell r="HZ218">
            <v>900</v>
          </cell>
          <cell r="IA218">
            <v>900</v>
          </cell>
          <cell r="IC218">
            <v>900</v>
          </cell>
          <cell r="ID218">
            <v>900</v>
          </cell>
          <cell r="IF218">
            <v>900</v>
          </cell>
        </row>
        <row r="219">
          <cell r="GP219" t="str">
            <v>Instrument Air Dryer</v>
          </cell>
          <cell r="GQ219">
            <v>0</v>
          </cell>
          <cell r="GS219">
            <v>0</v>
          </cell>
          <cell r="GT219">
            <v>0</v>
          </cell>
          <cell r="GV219">
            <v>0</v>
          </cell>
          <cell r="GW219">
            <v>0</v>
          </cell>
          <cell r="GY219">
            <v>0</v>
          </cell>
          <cell r="GZ219">
            <v>0</v>
          </cell>
          <cell r="HB219">
            <v>0</v>
          </cell>
          <cell r="HC219">
            <v>0</v>
          </cell>
          <cell r="HE219">
            <v>0</v>
          </cell>
          <cell r="HF219">
            <v>0</v>
          </cell>
          <cell r="HH219">
            <v>0</v>
          </cell>
          <cell r="HI219">
            <v>0</v>
          </cell>
          <cell r="HK219">
            <v>0</v>
          </cell>
          <cell r="HL219">
            <v>0</v>
          </cell>
          <cell r="HN219">
            <v>0</v>
          </cell>
          <cell r="HO219">
            <v>0</v>
          </cell>
          <cell r="HQ219">
            <v>0</v>
          </cell>
          <cell r="HR219">
            <v>0</v>
          </cell>
          <cell r="HT219">
            <v>0</v>
          </cell>
          <cell r="HU219">
            <v>0</v>
          </cell>
          <cell r="HW219">
            <v>0</v>
          </cell>
          <cell r="HX219">
            <v>0</v>
          </cell>
          <cell r="HZ219">
            <v>0</v>
          </cell>
          <cell r="IA219">
            <v>0</v>
          </cell>
          <cell r="IC219">
            <v>0</v>
          </cell>
          <cell r="ID219">
            <v>0</v>
          </cell>
          <cell r="IF219">
            <v>0</v>
          </cell>
        </row>
        <row r="220">
          <cell r="GP220" t="str">
            <v>Instrument Air Receiver</v>
          </cell>
          <cell r="GQ220">
            <v>0</v>
          </cell>
          <cell r="GS220">
            <v>0</v>
          </cell>
          <cell r="GT220">
            <v>0</v>
          </cell>
          <cell r="GV220">
            <v>0</v>
          </cell>
          <cell r="GW220">
            <v>0</v>
          </cell>
          <cell r="GY220">
            <v>0</v>
          </cell>
          <cell r="GZ220">
            <v>0</v>
          </cell>
          <cell r="HB220">
            <v>0</v>
          </cell>
          <cell r="HC220">
            <v>0</v>
          </cell>
          <cell r="HE220">
            <v>0</v>
          </cell>
          <cell r="HF220">
            <v>0</v>
          </cell>
          <cell r="HH220">
            <v>0</v>
          </cell>
          <cell r="HI220">
            <v>0</v>
          </cell>
          <cell r="HK220">
            <v>0</v>
          </cell>
          <cell r="HL220">
            <v>0</v>
          </cell>
          <cell r="HN220">
            <v>0</v>
          </cell>
          <cell r="HO220">
            <v>0</v>
          </cell>
          <cell r="HQ220">
            <v>0</v>
          </cell>
          <cell r="HR220">
            <v>0</v>
          </cell>
          <cell r="HT220">
            <v>0</v>
          </cell>
          <cell r="HU220">
            <v>0</v>
          </cell>
          <cell r="HW220">
            <v>0</v>
          </cell>
          <cell r="HX220">
            <v>0</v>
          </cell>
          <cell r="HZ220">
            <v>0</v>
          </cell>
          <cell r="IA220">
            <v>0</v>
          </cell>
          <cell r="IC220">
            <v>0</v>
          </cell>
          <cell r="ID220">
            <v>0</v>
          </cell>
          <cell r="IF220">
            <v>0</v>
          </cell>
        </row>
        <row r="221">
          <cell r="GP221" t="str">
            <v>Continuous Emissions Monitoring System</v>
          </cell>
          <cell r="GQ221">
            <v>0</v>
          </cell>
          <cell r="GS221">
            <v>0</v>
          </cell>
          <cell r="GT221">
            <v>0</v>
          </cell>
          <cell r="GV221">
            <v>0</v>
          </cell>
          <cell r="GW221">
            <v>0</v>
          </cell>
          <cell r="GY221">
            <v>0</v>
          </cell>
          <cell r="GZ221">
            <v>0</v>
          </cell>
          <cell r="HB221">
            <v>0</v>
          </cell>
          <cell r="HC221">
            <v>0</v>
          </cell>
          <cell r="HE221">
            <v>0</v>
          </cell>
          <cell r="HF221">
            <v>0</v>
          </cell>
          <cell r="HH221">
            <v>0</v>
          </cell>
          <cell r="HI221">
            <v>0</v>
          </cell>
          <cell r="HK221">
            <v>0</v>
          </cell>
          <cell r="HL221">
            <v>0</v>
          </cell>
          <cell r="HN221">
            <v>0</v>
          </cell>
          <cell r="HO221">
            <v>0</v>
          </cell>
          <cell r="HQ221">
            <v>0</v>
          </cell>
          <cell r="HR221">
            <v>0</v>
          </cell>
          <cell r="HT221">
            <v>0</v>
          </cell>
          <cell r="HU221">
            <v>0</v>
          </cell>
          <cell r="HW221">
            <v>0</v>
          </cell>
          <cell r="HX221">
            <v>0</v>
          </cell>
          <cell r="HZ221">
            <v>0</v>
          </cell>
          <cell r="IA221">
            <v>0</v>
          </cell>
          <cell r="IC221">
            <v>0</v>
          </cell>
          <cell r="ID221">
            <v>0</v>
          </cell>
          <cell r="IF221">
            <v>0</v>
          </cell>
        </row>
        <row r="222">
          <cell r="GP222" t="str">
            <v>Bulk Hydrogen Storage</v>
          </cell>
          <cell r="GQ222">
            <v>0</v>
          </cell>
          <cell r="GS222">
            <v>0</v>
          </cell>
          <cell r="GT222">
            <v>0</v>
          </cell>
          <cell r="GV222">
            <v>0</v>
          </cell>
          <cell r="GW222">
            <v>0</v>
          </cell>
          <cell r="GY222">
            <v>0</v>
          </cell>
          <cell r="GZ222">
            <v>0</v>
          </cell>
          <cell r="HB222">
            <v>0</v>
          </cell>
          <cell r="HC222">
            <v>0</v>
          </cell>
          <cell r="HE222">
            <v>0</v>
          </cell>
          <cell r="HF222">
            <v>0</v>
          </cell>
          <cell r="HH222">
            <v>0</v>
          </cell>
          <cell r="HI222">
            <v>0</v>
          </cell>
          <cell r="HK222">
            <v>0</v>
          </cell>
          <cell r="HL222">
            <v>0</v>
          </cell>
          <cell r="HN222">
            <v>0</v>
          </cell>
          <cell r="HO222">
            <v>0</v>
          </cell>
          <cell r="HQ222">
            <v>0</v>
          </cell>
          <cell r="HR222">
            <v>0</v>
          </cell>
          <cell r="HT222">
            <v>0</v>
          </cell>
          <cell r="HU222">
            <v>0</v>
          </cell>
          <cell r="HW222">
            <v>0</v>
          </cell>
          <cell r="HX222">
            <v>0</v>
          </cell>
          <cell r="HZ222">
            <v>0</v>
          </cell>
          <cell r="IA222">
            <v>0</v>
          </cell>
          <cell r="IC222">
            <v>0</v>
          </cell>
          <cell r="ID222">
            <v>0</v>
          </cell>
          <cell r="IF222">
            <v>0</v>
          </cell>
        </row>
        <row r="223">
          <cell r="GP223" t="str">
            <v>Bulk CO2 Storage</v>
          </cell>
          <cell r="GQ223">
            <v>0</v>
          </cell>
          <cell r="GS223">
            <v>0</v>
          </cell>
          <cell r="GT223">
            <v>0</v>
          </cell>
          <cell r="GV223">
            <v>0</v>
          </cell>
          <cell r="GW223">
            <v>0</v>
          </cell>
          <cell r="GY223">
            <v>0</v>
          </cell>
          <cell r="GZ223">
            <v>0</v>
          </cell>
          <cell r="HB223">
            <v>0</v>
          </cell>
          <cell r="HC223">
            <v>0</v>
          </cell>
          <cell r="HE223">
            <v>0</v>
          </cell>
          <cell r="HF223">
            <v>0</v>
          </cell>
          <cell r="HH223">
            <v>0</v>
          </cell>
          <cell r="HI223">
            <v>0</v>
          </cell>
          <cell r="HK223">
            <v>0</v>
          </cell>
          <cell r="HL223">
            <v>0</v>
          </cell>
          <cell r="HN223">
            <v>0</v>
          </cell>
          <cell r="HO223">
            <v>0</v>
          </cell>
          <cell r="HQ223">
            <v>0</v>
          </cell>
          <cell r="HR223">
            <v>0</v>
          </cell>
          <cell r="HT223">
            <v>0</v>
          </cell>
          <cell r="HU223">
            <v>0</v>
          </cell>
          <cell r="HW223">
            <v>0</v>
          </cell>
          <cell r="HX223">
            <v>0</v>
          </cell>
          <cell r="HZ223">
            <v>0</v>
          </cell>
          <cell r="IA223">
            <v>0</v>
          </cell>
          <cell r="IC223">
            <v>0</v>
          </cell>
          <cell r="ID223">
            <v>0</v>
          </cell>
          <cell r="IF223">
            <v>0</v>
          </cell>
        </row>
        <row r="224">
          <cell r="GP224" t="str">
            <v>Bulk Nitrogen Storage</v>
          </cell>
          <cell r="GQ224">
            <v>0</v>
          </cell>
          <cell r="GS224">
            <v>0</v>
          </cell>
          <cell r="GT224">
            <v>0</v>
          </cell>
          <cell r="GV224">
            <v>0</v>
          </cell>
          <cell r="GW224">
            <v>0</v>
          </cell>
          <cell r="GY224">
            <v>0</v>
          </cell>
          <cell r="GZ224">
            <v>0</v>
          </cell>
          <cell r="HB224">
            <v>0</v>
          </cell>
          <cell r="HC224">
            <v>0</v>
          </cell>
          <cell r="HE224">
            <v>0</v>
          </cell>
          <cell r="HF224">
            <v>0</v>
          </cell>
          <cell r="HH224">
            <v>0</v>
          </cell>
          <cell r="HI224">
            <v>0</v>
          </cell>
          <cell r="HK224">
            <v>0</v>
          </cell>
          <cell r="HL224">
            <v>0</v>
          </cell>
          <cell r="HN224">
            <v>0</v>
          </cell>
          <cell r="HO224">
            <v>0</v>
          </cell>
          <cell r="HQ224">
            <v>0</v>
          </cell>
          <cell r="HR224">
            <v>0</v>
          </cell>
          <cell r="HT224">
            <v>0</v>
          </cell>
          <cell r="HU224">
            <v>0</v>
          </cell>
          <cell r="HW224">
            <v>0</v>
          </cell>
          <cell r="HX224">
            <v>0</v>
          </cell>
          <cell r="HZ224">
            <v>0</v>
          </cell>
          <cell r="IA224">
            <v>0</v>
          </cell>
          <cell r="IC224">
            <v>0</v>
          </cell>
          <cell r="ID224">
            <v>0</v>
          </cell>
          <cell r="IF224">
            <v>0</v>
          </cell>
        </row>
        <row r="225">
          <cell r="GP225">
            <v>0</v>
          </cell>
          <cell r="GS225">
            <v>0</v>
          </cell>
          <cell r="GV225">
            <v>0</v>
          </cell>
          <cell r="GY225">
            <v>0</v>
          </cell>
          <cell r="HB225">
            <v>0</v>
          </cell>
          <cell r="HE225">
            <v>0</v>
          </cell>
          <cell r="HH225">
            <v>0</v>
          </cell>
          <cell r="HK225">
            <v>0</v>
          </cell>
          <cell r="HN225">
            <v>0</v>
          </cell>
          <cell r="HQ225">
            <v>0</v>
          </cell>
          <cell r="HT225">
            <v>0</v>
          </cell>
          <cell r="HW225">
            <v>0</v>
          </cell>
          <cell r="HZ225">
            <v>0</v>
          </cell>
          <cell r="IC225">
            <v>0</v>
          </cell>
          <cell r="IF225">
            <v>0</v>
          </cell>
        </row>
        <row r="226">
          <cell r="GP226">
            <v>0</v>
          </cell>
          <cell r="GS226">
            <v>0</v>
          </cell>
          <cell r="GV226">
            <v>0</v>
          </cell>
          <cell r="GY226">
            <v>0</v>
          </cell>
          <cell r="HB226">
            <v>0</v>
          </cell>
          <cell r="HE226">
            <v>0</v>
          </cell>
          <cell r="HH226">
            <v>0</v>
          </cell>
          <cell r="HK226">
            <v>0</v>
          </cell>
          <cell r="HN226">
            <v>0</v>
          </cell>
          <cell r="HQ226">
            <v>0</v>
          </cell>
          <cell r="HT226">
            <v>0</v>
          </cell>
          <cell r="HW226">
            <v>0</v>
          </cell>
          <cell r="HZ226">
            <v>0</v>
          </cell>
          <cell r="IC226">
            <v>0</v>
          </cell>
          <cell r="IF226">
            <v>0</v>
          </cell>
        </row>
        <row r="227">
          <cell r="GP227" t="str">
            <v>Elevator</v>
          </cell>
          <cell r="GQ227">
            <v>0</v>
          </cell>
          <cell r="GS227">
            <v>0</v>
          </cell>
          <cell r="GT227">
            <v>0</v>
          </cell>
          <cell r="GV227">
            <v>0</v>
          </cell>
          <cell r="GW227">
            <v>0</v>
          </cell>
          <cell r="GY227">
            <v>0</v>
          </cell>
          <cell r="GZ227">
            <v>0</v>
          </cell>
          <cell r="HB227">
            <v>0</v>
          </cell>
          <cell r="HC227">
            <v>0</v>
          </cell>
          <cell r="HE227">
            <v>0</v>
          </cell>
          <cell r="HF227">
            <v>0</v>
          </cell>
          <cell r="HH227">
            <v>0</v>
          </cell>
          <cell r="HI227">
            <v>0</v>
          </cell>
          <cell r="HK227">
            <v>0</v>
          </cell>
          <cell r="HL227">
            <v>0</v>
          </cell>
          <cell r="HN227">
            <v>0</v>
          </cell>
          <cell r="HO227">
            <v>0</v>
          </cell>
          <cell r="HQ227">
            <v>0</v>
          </cell>
          <cell r="HR227">
            <v>0</v>
          </cell>
          <cell r="HT227">
            <v>0</v>
          </cell>
          <cell r="HU227">
            <v>0</v>
          </cell>
          <cell r="HW227">
            <v>0</v>
          </cell>
          <cell r="HX227">
            <v>0</v>
          </cell>
          <cell r="HZ227">
            <v>0</v>
          </cell>
          <cell r="IA227">
            <v>0</v>
          </cell>
          <cell r="IC227">
            <v>0</v>
          </cell>
          <cell r="ID227">
            <v>0</v>
          </cell>
          <cell r="IF227">
            <v>0</v>
          </cell>
        </row>
        <row r="228">
          <cell r="GP228" t="str">
            <v>STG Maintenance Gantry Crane</v>
          </cell>
          <cell r="GQ228">
            <v>0</v>
          </cell>
          <cell r="GS228">
            <v>0</v>
          </cell>
          <cell r="GT228">
            <v>0</v>
          </cell>
          <cell r="GV228">
            <v>0</v>
          </cell>
          <cell r="GW228">
            <v>0</v>
          </cell>
          <cell r="GY228">
            <v>0</v>
          </cell>
          <cell r="GZ228">
            <v>0</v>
          </cell>
          <cell r="HB228">
            <v>0</v>
          </cell>
          <cell r="HC228">
            <v>0</v>
          </cell>
          <cell r="HE228">
            <v>0</v>
          </cell>
          <cell r="HF228">
            <v>0</v>
          </cell>
          <cell r="HH228">
            <v>0</v>
          </cell>
          <cell r="HI228">
            <v>0</v>
          </cell>
          <cell r="HK228">
            <v>0</v>
          </cell>
          <cell r="HL228">
            <v>0</v>
          </cell>
          <cell r="HN228">
            <v>0</v>
          </cell>
          <cell r="HO228">
            <v>0</v>
          </cell>
          <cell r="HQ228">
            <v>0</v>
          </cell>
          <cell r="HR228">
            <v>0</v>
          </cell>
          <cell r="HT228">
            <v>0</v>
          </cell>
          <cell r="HU228">
            <v>0</v>
          </cell>
          <cell r="HW228">
            <v>0</v>
          </cell>
          <cell r="HX228">
            <v>0</v>
          </cell>
          <cell r="HZ228">
            <v>0</v>
          </cell>
          <cell r="IA228">
            <v>0</v>
          </cell>
          <cell r="IC228">
            <v>0</v>
          </cell>
          <cell r="ID228">
            <v>0</v>
          </cell>
          <cell r="IF228">
            <v>0</v>
          </cell>
        </row>
        <row r="229">
          <cell r="GP229" t="str">
            <v>GTG Maintenance Gantry Crane</v>
          </cell>
          <cell r="GQ229">
            <v>0</v>
          </cell>
          <cell r="GS229">
            <v>0</v>
          </cell>
          <cell r="GT229">
            <v>0</v>
          </cell>
          <cell r="GV229">
            <v>0</v>
          </cell>
          <cell r="GW229">
            <v>0</v>
          </cell>
          <cell r="GY229">
            <v>0</v>
          </cell>
          <cell r="GZ229">
            <v>0</v>
          </cell>
          <cell r="HB229">
            <v>0</v>
          </cell>
          <cell r="HC229">
            <v>0</v>
          </cell>
          <cell r="HE229">
            <v>0</v>
          </cell>
          <cell r="HF229">
            <v>0</v>
          </cell>
          <cell r="HH229">
            <v>0</v>
          </cell>
          <cell r="HI229">
            <v>0</v>
          </cell>
          <cell r="HK229">
            <v>0</v>
          </cell>
          <cell r="HL229">
            <v>0</v>
          </cell>
          <cell r="HN229">
            <v>0</v>
          </cell>
          <cell r="HO229">
            <v>0</v>
          </cell>
          <cell r="HQ229">
            <v>0</v>
          </cell>
          <cell r="HR229">
            <v>0</v>
          </cell>
          <cell r="HT229">
            <v>0</v>
          </cell>
          <cell r="HU229">
            <v>0</v>
          </cell>
          <cell r="HW229">
            <v>0</v>
          </cell>
          <cell r="HX229">
            <v>0</v>
          </cell>
          <cell r="HZ229">
            <v>0</v>
          </cell>
          <cell r="IA229">
            <v>0</v>
          </cell>
          <cell r="IC229">
            <v>0</v>
          </cell>
          <cell r="ID229">
            <v>0</v>
          </cell>
          <cell r="IF229">
            <v>0</v>
          </cell>
        </row>
        <row r="230">
          <cell r="GP230" t="str">
            <v>Hoist</v>
          </cell>
          <cell r="GQ230">
            <v>0</v>
          </cell>
          <cell r="GS230">
            <v>0</v>
          </cell>
          <cell r="GT230">
            <v>0</v>
          </cell>
          <cell r="GV230">
            <v>0</v>
          </cell>
          <cell r="GW230">
            <v>0</v>
          </cell>
          <cell r="GY230">
            <v>0</v>
          </cell>
          <cell r="GZ230">
            <v>0</v>
          </cell>
          <cell r="HB230">
            <v>0</v>
          </cell>
          <cell r="HC230">
            <v>0</v>
          </cell>
          <cell r="HE230">
            <v>0</v>
          </cell>
          <cell r="HF230">
            <v>0</v>
          </cell>
          <cell r="HH230">
            <v>0</v>
          </cell>
          <cell r="HI230">
            <v>0</v>
          </cell>
          <cell r="HK230">
            <v>0</v>
          </cell>
          <cell r="HL230">
            <v>0</v>
          </cell>
          <cell r="HN230">
            <v>0</v>
          </cell>
          <cell r="HO230">
            <v>0</v>
          </cell>
          <cell r="HQ230">
            <v>0</v>
          </cell>
          <cell r="HR230">
            <v>0</v>
          </cell>
          <cell r="HT230">
            <v>0</v>
          </cell>
          <cell r="HU230">
            <v>0</v>
          </cell>
          <cell r="HW230">
            <v>0</v>
          </cell>
          <cell r="HX230">
            <v>0</v>
          </cell>
          <cell r="HZ230">
            <v>0</v>
          </cell>
          <cell r="IA230">
            <v>0</v>
          </cell>
          <cell r="IC230">
            <v>0</v>
          </cell>
          <cell r="ID230">
            <v>0</v>
          </cell>
          <cell r="IF230">
            <v>0</v>
          </cell>
        </row>
        <row r="231">
          <cell r="GP231">
            <v>0</v>
          </cell>
          <cell r="GQ231">
            <v>0</v>
          </cell>
          <cell r="GS231">
            <v>0</v>
          </cell>
          <cell r="GT231">
            <v>0</v>
          </cell>
          <cell r="GV231">
            <v>0</v>
          </cell>
          <cell r="GW231">
            <v>0</v>
          </cell>
          <cell r="GY231">
            <v>0</v>
          </cell>
          <cell r="GZ231">
            <v>0</v>
          </cell>
          <cell r="HB231">
            <v>0</v>
          </cell>
          <cell r="HC231">
            <v>0</v>
          </cell>
          <cell r="HE231">
            <v>0</v>
          </cell>
          <cell r="HF231">
            <v>0</v>
          </cell>
          <cell r="HH231">
            <v>0</v>
          </cell>
          <cell r="HI231">
            <v>0</v>
          </cell>
          <cell r="HK231">
            <v>0</v>
          </cell>
          <cell r="HL231">
            <v>0</v>
          </cell>
          <cell r="HN231">
            <v>0</v>
          </cell>
          <cell r="HO231">
            <v>0</v>
          </cell>
          <cell r="HQ231">
            <v>0</v>
          </cell>
          <cell r="HR231">
            <v>0</v>
          </cell>
          <cell r="HT231">
            <v>0</v>
          </cell>
          <cell r="HU231">
            <v>0</v>
          </cell>
          <cell r="HW231">
            <v>0</v>
          </cell>
          <cell r="HX231">
            <v>0</v>
          </cell>
          <cell r="HZ231">
            <v>0</v>
          </cell>
          <cell r="IA231">
            <v>0</v>
          </cell>
          <cell r="IC231">
            <v>0</v>
          </cell>
          <cell r="ID231">
            <v>0</v>
          </cell>
          <cell r="IF231">
            <v>0</v>
          </cell>
        </row>
        <row r="232">
          <cell r="GP232" t="str">
            <v>GTG Inlet Chiller</v>
          </cell>
          <cell r="GQ232">
            <v>0</v>
          </cell>
          <cell r="GS232">
            <v>0</v>
          </cell>
          <cell r="GT232">
            <v>0</v>
          </cell>
          <cell r="GV232">
            <v>0</v>
          </cell>
          <cell r="GW232">
            <v>0</v>
          </cell>
          <cell r="GY232">
            <v>0</v>
          </cell>
          <cell r="GZ232">
            <v>0</v>
          </cell>
          <cell r="HB232">
            <v>0</v>
          </cell>
          <cell r="HC232">
            <v>0</v>
          </cell>
          <cell r="HE232">
            <v>0</v>
          </cell>
          <cell r="HF232">
            <v>0</v>
          </cell>
          <cell r="HH232">
            <v>0</v>
          </cell>
          <cell r="HI232">
            <v>0</v>
          </cell>
          <cell r="HK232">
            <v>0</v>
          </cell>
          <cell r="HL232">
            <v>0</v>
          </cell>
          <cell r="HN232">
            <v>0</v>
          </cell>
          <cell r="HO232">
            <v>0</v>
          </cell>
          <cell r="HQ232">
            <v>0</v>
          </cell>
          <cell r="HR232">
            <v>0</v>
          </cell>
          <cell r="HT232">
            <v>0</v>
          </cell>
          <cell r="HU232">
            <v>0</v>
          </cell>
          <cell r="HW232">
            <v>0</v>
          </cell>
          <cell r="HX232">
            <v>0</v>
          </cell>
          <cell r="HZ232">
            <v>0</v>
          </cell>
          <cell r="IA232">
            <v>0</v>
          </cell>
          <cell r="IC232">
            <v>0</v>
          </cell>
          <cell r="ID232">
            <v>0</v>
          </cell>
          <cell r="IF232">
            <v>0</v>
          </cell>
        </row>
        <row r="233">
          <cell r="GP233" t="str">
            <v>Steam Turbine Bypass Valves</v>
          </cell>
          <cell r="GS233">
            <v>0</v>
          </cell>
          <cell r="GV233">
            <v>0</v>
          </cell>
          <cell r="GY233">
            <v>0</v>
          </cell>
          <cell r="HB233">
            <v>0</v>
          </cell>
          <cell r="HE233">
            <v>0</v>
          </cell>
          <cell r="HH233">
            <v>0</v>
          </cell>
          <cell r="HK233">
            <v>0</v>
          </cell>
          <cell r="HN233">
            <v>0</v>
          </cell>
          <cell r="HQ233">
            <v>0</v>
          </cell>
          <cell r="HT233">
            <v>0</v>
          </cell>
          <cell r="HW233">
            <v>0</v>
          </cell>
          <cell r="HZ233">
            <v>0</v>
          </cell>
          <cell r="IC233">
            <v>0</v>
          </cell>
          <cell r="IF233">
            <v>0</v>
          </cell>
        </row>
        <row r="234">
          <cell r="GP234" t="str">
            <v>Fuel Gas Billing Meter</v>
          </cell>
          <cell r="GS234">
            <v>0</v>
          </cell>
          <cell r="GV234">
            <v>0</v>
          </cell>
          <cell r="GY234">
            <v>0</v>
          </cell>
          <cell r="HB234">
            <v>0</v>
          </cell>
          <cell r="HE234">
            <v>0</v>
          </cell>
          <cell r="HH234">
            <v>0</v>
          </cell>
          <cell r="HK234">
            <v>0</v>
          </cell>
          <cell r="HN234">
            <v>0</v>
          </cell>
          <cell r="HQ234">
            <v>0</v>
          </cell>
          <cell r="HT234">
            <v>0</v>
          </cell>
          <cell r="HW234">
            <v>0</v>
          </cell>
          <cell r="HZ234">
            <v>0</v>
          </cell>
          <cell r="IC234">
            <v>0</v>
          </cell>
          <cell r="IF234">
            <v>0</v>
          </cell>
        </row>
        <row r="235">
          <cell r="GP235" t="str">
            <v>Manual Input 1</v>
          </cell>
          <cell r="GS235">
            <v>0</v>
          </cell>
          <cell r="GV235">
            <v>0</v>
          </cell>
          <cell r="GY235">
            <v>0</v>
          </cell>
          <cell r="HB235">
            <v>0</v>
          </cell>
          <cell r="HE235">
            <v>0</v>
          </cell>
          <cell r="HH235">
            <v>0</v>
          </cell>
          <cell r="HK235">
            <v>0</v>
          </cell>
          <cell r="HN235">
            <v>0</v>
          </cell>
          <cell r="HQ235">
            <v>0</v>
          </cell>
          <cell r="HT235">
            <v>0</v>
          </cell>
          <cell r="HW235">
            <v>0</v>
          </cell>
          <cell r="HZ235">
            <v>0</v>
          </cell>
          <cell r="IC235">
            <v>0</v>
          </cell>
          <cell r="IF235">
            <v>0</v>
          </cell>
        </row>
        <row r="236">
          <cell r="GP236" t="str">
            <v>Manual Input 2</v>
          </cell>
          <cell r="GS236">
            <v>0</v>
          </cell>
          <cell r="GV236">
            <v>0</v>
          </cell>
          <cell r="GY236">
            <v>0</v>
          </cell>
          <cell r="HB236">
            <v>0</v>
          </cell>
          <cell r="HE236">
            <v>0</v>
          </cell>
          <cell r="HH236">
            <v>0</v>
          </cell>
          <cell r="HK236">
            <v>0</v>
          </cell>
          <cell r="HN236">
            <v>0</v>
          </cell>
          <cell r="HQ236">
            <v>0</v>
          </cell>
          <cell r="HT236">
            <v>0</v>
          </cell>
          <cell r="HW236">
            <v>0</v>
          </cell>
          <cell r="HZ236">
            <v>0</v>
          </cell>
          <cell r="IC236">
            <v>0</v>
          </cell>
          <cell r="IF236">
            <v>0</v>
          </cell>
        </row>
        <row r="237">
          <cell r="GP237" t="str">
            <v>Manual Input 3</v>
          </cell>
          <cell r="GS237">
            <v>0</v>
          </cell>
          <cell r="GV237">
            <v>0</v>
          </cell>
          <cell r="GY237">
            <v>0</v>
          </cell>
          <cell r="HB237">
            <v>0</v>
          </cell>
          <cell r="HE237">
            <v>0</v>
          </cell>
          <cell r="HH237">
            <v>0</v>
          </cell>
          <cell r="HK237">
            <v>0</v>
          </cell>
          <cell r="HN237">
            <v>0</v>
          </cell>
          <cell r="HQ237">
            <v>0</v>
          </cell>
          <cell r="HT237">
            <v>0</v>
          </cell>
          <cell r="HW237">
            <v>0</v>
          </cell>
          <cell r="HZ237">
            <v>0</v>
          </cell>
          <cell r="IC237">
            <v>0</v>
          </cell>
          <cell r="IF237">
            <v>0</v>
          </cell>
        </row>
        <row r="238">
          <cell r="GP238" t="str">
            <v>Manual Input 4</v>
          </cell>
          <cell r="GS238">
            <v>0</v>
          </cell>
          <cell r="GV238">
            <v>0</v>
          </cell>
          <cell r="GY238">
            <v>0</v>
          </cell>
          <cell r="HB238">
            <v>0</v>
          </cell>
          <cell r="HE238">
            <v>0</v>
          </cell>
          <cell r="HH238">
            <v>0</v>
          </cell>
          <cell r="HK238">
            <v>0</v>
          </cell>
          <cell r="HN238">
            <v>0</v>
          </cell>
          <cell r="HQ238">
            <v>0</v>
          </cell>
          <cell r="HT238">
            <v>0</v>
          </cell>
          <cell r="HW238">
            <v>0</v>
          </cell>
          <cell r="HZ238">
            <v>0</v>
          </cell>
          <cell r="IC238">
            <v>0</v>
          </cell>
          <cell r="IF238">
            <v>0</v>
          </cell>
        </row>
        <row r="239">
          <cell r="GP239" t="str">
            <v>Manual Input 5</v>
          </cell>
          <cell r="GS239">
            <v>0</v>
          </cell>
          <cell r="GV239">
            <v>0</v>
          </cell>
          <cell r="GY239">
            <v>0</v>
          </cell>
          <cell r="HB239">
            <v>0</v>
          </cell>
          <cell r="HE239">
            <v>0</v>
          </cell>
          <cell r="HH239">
            <v>0</v>
          </cell>
          <cell r="HK239">
            <v>0</v>
          </cell>
          <cell r="HN239">
            <v>0</v>
          </cell>
          <cell r="HQ239">
            <v>0</v>
          </cell>
          <cell r="HT239">
            <v>0</v>
          </cell>
          <cell r="HW239">
            <v>0</v>
          </cell>
          <cell r="HZ239">
            <v>0</v>
          </cell>
          <cell r="IC239">
            <v>0</v>
          </cell>
          <cell r="IF239">
            <v>0</v>
          </cell>
        </row>
        <row r="240">
          <cell r="GP240" t="str">
            <v>Manual Input 6</v>
          </cell>
          <cell r="GS240">
            <v>0</v>
          </cell>
          <cell r="GV240">
            <v>0</v>
          </cell>
          <cell r="GY240">
            <v>0</v>
          </cell>
          <cell r="HB240">
            <v>0</v>
          </cell>
          <cell r="HE240">
            <v>0</v>
          </cell>
          <cell r="HH240">
            <v>0</v>
          </cell>
          <cell r="HK240">
            <v>0</v>
          </cell>
          <cell r="HN240">
            <v>0</v>
          </cell>
          <cell r="HQ240">
            <v>0</v>
          </cell>
          <cell r="HT240">
            <v>0</v>
          </cell>
          <cell r="HW240">
            <v>0</v>
          </cell>
          <cell r="HZ240">
            <v>0</v>
          </cell>
          <cell r="IC240">
            <v>0</v>
          </cell>
          <cell r="IF240">
            <v>0</v>
          </cell>
        </row>
        <row r="241">
          <cell r="GP241" t="str">
            <v>Manual Input 7</v>
          </cell>
          <cell r="GS241">
            <v>0</v>
          </cell>
          <cell r="GV241">
            <v>0</v>
          </cell>
          <cell r="GY241">
            <v>0</v>
          </cell>
          <cell r="HB241">
            <v>0</v>
          </cell>
          <cell r="HE241">
            <v>0</v>
          </cell>
          <cell r="HH241">
            <v>0</v>
          </cell>
          <cell r="HK241">
            <v>0</v>
          </cell>
          <cell r="HN241">
            <v>0</v>
          </cell>
          <cell r="HQ241">
            <v>0</v>
          </cell>
          <cell r="HT241">
            <v>0</v>
          </cell>
          <cell r="HW241">
            <v>0</v>
          </cell>
          <cell r="HZ241">
            <v>0</v>
          </cell>
          <cell r="IC241">
            <v>0</v>
          </cell>
          <cell r="IF241">
            <v>0</v>
          </cell>
        </row>
        <row r="242">
          <cell r="GP242" t="str">
            <v>Manual Input 8</v>
          </cell>
          <cell r="GS242">
            <v>0</v>
          </cell>
          <cell r="GV242">
            <v>0</v>
          </cell>
          <cell r="GY242">
            <v>0</v>
          </cell>
          <cell r="HB242">
            <v>0</v>
          </cell>
          <cell r="HE242">
            <v>0</v>
          </cell>
          <cell r="HH242">
            <v>0</v>
          </cell>
          <cell r="HK242">
            <v>0</v>
          </cell>
          <cell r="HN242">
            <v>0</v>
          </cell>
          <cell r="HQ242">
            <v>0</v>
          </cell>
          <cell r="HT242">
            <v>0</v>
          </cell>
          <cell r="HW242">
            <v>0</v>
          </cell>
          <cell r="HZ242">
            <v>0</v>
          </cell>
          <cell r="IC242">
            <v>0</v>
          </cell>
          <cell r="IF242">
            <v>0</v>
          </cell>
        </row>
        <row r="243">
          <cell r="GP243">
            <v>0</v>
          </cell>
          <cell r="GS243">
            <v>0</v>
          </cell>
          <cell r="GV243">
            <v>0</v>
          </cell>
          <cell r="GY243">
            <v>0</v>
          </cell>
          <cell r="HB243">
            <v>0</v>
          </cell>
          <cell r="HE243">
            <v>0</v>
          </cell>
          <cell r="HH243">
            <v>0</v>
          </cell>
          <cell r="HK243">
            <v>0</v>
          </cell>
          <cell r="HN243">
            <v>0</v>
          </cell>
          <cell r="HQ243">
            <v>0</v>
          </cell>
          <cell r="HT243">
            <v>0</v>
          </cell>
          <cell r="HW243">
            <v>0</v>
          </cell>
          <cell r="HZ243">
            <v>0</v>
          </cell>
          <cell r="IC243">
            <v>0</v>
          </cell>
          <cell r="IF243">
            <v>0</v>
          </cell>
        </row>
        <row r="244">
          <cell r="GP244">
            <v>0</v>
          </cell>
          <cell r="GS244">
            <v>0</v>
          </cell>
          <cell r="GV244">
            <v>0</v>
          </cell>
          <cell r="GY244">
            <v>0</v>
          </cell>
          <cell r="HB244">
            <v>0</v>
          </cell>
          <cell r="HE244">
            <v>0</v>
          </cell>
          <cell r="HH244">
            <v>0</v>
          </cell>
          <cell r="HK244">
            <v>0</v>
          </cell>
          <cell r="HN244">
            <v>0</v>
          </cell>
          <cell r="HQ244">
            <v>0</v>
          </cell>
          <cell r="HT244">
            <v>0</v>
          </cell>
          <cell r="HW244">
            <v>0</v>
          </cell>
          <cell r="HZ244">
            <v>0</v>
          </cell>
          <cell r="IC244">
            <v>0</v>
          </cell>
          <cell r="IF244">
            <v>0</v>
          </cell>
        </row>
        <row r="245">
          <cell r="GP245">
            <v>0</v>
          </cell>
          <cell r="GS245">
            <v>0</v>
          </cell>
          <cell r="GV245">
            <v>0</v>
          </cell>
          <cell r="GY245">
            <v>0</v>
          </cell>
          <cell r="HB245">
            <v>0</v>
          </cell>
          <cell r="HE245">
            <v>0</v>
          </cell>
          <cell r="HH245">
            <v>0</v>
          </cell>
          <cell r="HK245">
            <v>0</v>
          </cell>
          <cell r="HN245">
            <v>0</v>
          </cell>
          <cell r="HQ245">
            <v>0</v>
          </cell>
          <cell r="HT245">
            <v>0</v>
          </cell>
          <cell r="HW245">
            <v>0</v>
          </cell>
          <cell r="HZ245">
            <v>0</v>
          </cell>
          <cell r="IC245">
            <v>0</v>
          </cell>
          <cell r="IF245">
            <v>0</v>
          </cell>
        </row>
        <row r="246">
          <cell r="GP246">
            <v>0</v>
          </cell>
          <cell r="GS246">
            <v>0</v>
          </cell>
          <cell r="GV246">
            <v>0</v>
          </cell>
          <cell r="GY246">
            <v>0</v>
          </cell>
          <cell r="HB246">
            <v>0</v>
          </cell>
          <cell r="HE246">
            <v>0</v>
          </cell>
          <cell r="HH246">
            <v>0</v>
          </cell>
          <cell r="HK246">
            <v>0</v>
          </cell>
          <cell r="HN246">
            <v>0</v>
          </cell>
          <cell r="HQ246">
            <v>0</v>
          </cell>
          <cell r="HT246">
            <v>0</v>
          </cell>
          <cell r="HW246">
            <v>0</v>
          </cell>
          <cell r="HZ246">
            <v>0</v>
          </cell>
          <cell r="IC246">
            <v>0</v>
          </cell>
          <cell r="IF246">
            <v>0</v>
          </cell>
        </row>
        <row r="247">
          <cell r="GP247">
            <v>0</v>
          </cell>
          <cell r="GS247">
            <v>0</v>
          </cell>
          <cell r="GV247">
            <v>0</v>
          </cell>
          <cell r="GY247">
            <v>0</v>
          </cell>
          <cell r="HB247">
            <v>0</v>
          </cell>
          <cell r="HE247">
            <v>0</v>
          </cell>
          <cell r="HH247">
            <v>0</v>
          </cell>
          <cell r="HK247">
            <v>0</v>
          </cell>
          <cell r="HN247">
            <v>0</v>
          </cell>
          <cell r="HQ247">
            <v>0</v>
          </cell>
          <cell r="HT247">
            <v>0</v>
          </cell>
          <cell r="HW247">
            <v>0</v>
          </cell>
          <cell r="HZ247">
            <v>0</v>
          </cell>
          <cell r="IC247">
            <v>0</v>
          </cell>
          <cell r="IF247">
            <v>0</v>
          </cell>
        </row>
        <row r="248">
          <cell r="GP248">
            <v>0</v>
          </cell>
          <cell r="GS248">
            <v>0</v>
          </cell>
          <cell r="GV248">
            <v>0</v>
          </cell>
          <cell r="GY248">
            <v>0</v>
          </cell>
          <cell r="HB248">
            <v>0</v>
          </cell>
          <cell r="HE248">
            <v>0</v>
          </cell>
          <cell r="HH248">
            <v>0</v>
          </cell>
          <cell r="HK248">
            <v>0</v>
          </cell>
          <cell r="HN248">
            <v>0</v>
          </cell>
          <cell r="HQ248">
            <v>0</v>
          </cell>
          <cell r="HT248">
            <v>0</v>
          </cell>
          <cell r="HW248">
            <v>0</v>
          </cell>
          <cell r="HZ248">
            <v>0</v>
          </cell>
          <cell r="IC248">
            <v>0</v>
          </cell>
          <cell r="IF248">
            <v>0</v>
          </cell>
        </row>
        <row r="249">
          <cell r="GP249">
            <v>0</v>
          </cell>
          <cell r="GS249">
            <v>0</v>
          </cell>
          <cell r="GV249">
            <v>0</v>
          </cell>
          <cell r="GY249">
            <v>0</v>
          </cell>
          <cell r="HB249">
            <v>0</v>
          </cell>
          <cell r="HE249">
            <v>0</v>
          </cell>
          <cell r="HH249">
            <v>0</v>
          </cell>
          <cell r="HK249">
            <v>0</v>
          </cell>
          <cell r="HN249">
            <v>0</v>
          </cell>
          <cell r="HQ249">
            <v>0</v>
          </cell>
          <cell r="HT249">
            <v>0</v>
          </cell>
          <cell r="HW249">
            <v>0</v>
          </cell>
          <cell r="HZ249">
            <v>0</v>
          </cell>
          <cell r="IC249">
            <v>0</v>
          </cell>
          <cell r="IF249">
            <v>0</v>
          </cell>
        </row>
        <row r="250">
          <cell r="GP250">
            <v>0</v>
          </cell>
          <cell r="GS250">
            <v>0</v>
          </cell>
          <cell r="GV250">
            <v>0</v>
          </cell>
          <cell r="GY250">
            <v>0</v>
          </cell>
          <cell r="HB250">
            <v>0</v>
          </cell>
          <cell r="HE250">
            <v>0</v>
          </cell>
          <cell r="HH250">
            <v>0</v>
          </cell>
          <cell r="HK250">
            <v>0</v>
          </cell>
          <cell r="HN250">
            <v>0</v>
          </cell>
          <cell r="HQ250">
            <v>0</v>
          </cell>
          <cell r="HT250">
            <v>0</v>
          </cell>
          <cell r="HW250">
            <v>0</v>
          </cell>
          <cell r="HZ250">
            <v>0</v>
          </cell>
          <cell r="IC250">
            <v>0</v>
          </cell>
          <cell r="IF250">
            <v>0</v>
          </cell>
        </row>
        <row r="251">
          <cell r="GP251">
            <v>0</v>
          </cell>
          <cell r="GS251">
            <v>0</v>
          </cell>
          <cell r="GV251">
            <v>0</v>
          </cell>
          <cell r="GY251">
            <v>0</v>
          </cell>
          <cell r="HB251">
            <v>0</v>
          </cell>
          <cell r="HE251">
            <v>0</v>
          </cell>
          <cell r="HH251">
            <v>0</v>
          </cell>
          <cell r="HK251">
            <v>0</v>
          </cell>
          <cell r="HN251">
            <v>0</v>
          </cell>
          <cell r="HQ251">
            <v>0</v>
          </cell>
          <cell r="HT251">
            <v>0</v>
          </cell>
          <cell r="HW251">
            <v>0</v>
          </cell>
          <cell r="HZ251">
            <v>0</v>
          </cell>
          <cell r="IC251">
            <v>0</v>
          </cell>
          <cell r="IF251">
            <v>0</v>
          </cell>
        </row>
        <row r="252">
          <cell r="GP252">
            <v>0</v>
          </cell>
          <cell r="GS252">
            <v>0</v>
          </cell>
          <cell r="GV252">
            <v>0</v>
          </cell>
          <cell r="GY252">
            <v>0</v>
          </cell>
          <cell r="HB252">
            <v>0</v>
          </cell>
          <cell r="HE252">
            <v>0</v>
          </cell>
          <cell r="HH252">
            <v>0</v>
          </cell>
          <cell r="HK252">
            <v>0</v>
          </cell>
          <cell r="HN252">
            <v>0</v>
          </cell>
          <cell r="HQ252">
            <v>0</v>
          </cell>
          <cell r="HT252">
            <v>0</v>
          </cell>
          <cell r="HW252">
            <v>0</v>
          </cell>
          <cell r="HZ252">
            <v>0</v>
          </cell>
          <cell r="IC252">
            <v>0</v>
          </cell>
          <cell r="IF252">
            <v>0</v>
          </cell>
        </row>
        <row r="253">
          <cell r="GP253">
            <v>0</v>
          </cell>
          <cell r="GS253">
            <v>0</v>
          </cell>
          <cell r="GV253">
            <v>0</v>
          </cell>
          <cell r="GY253">
            <v>0</v>
          </cell>
          <cell r="HB253">
            <v>0</v>
          </cell>
          <cell r="HE253">
            <v>0</v>
          </cell>
          <cell r="HH253">
            <v>0</v>
          </cell>
          <cell r="HK253">
            <v>0</v>
          </cell>
          <cell r="HN253">
            <v>0</v>
          </cell>
          <cell r="HQ253">
            <v>0</v>
          </cell>
          <cell r="HT253">
            <v>0</v>
          </cell>
          <cell r="HW253">
            <v>0</v>
          </cell>
          <cell r="HZ253">
            <v>0</v>
          </cell>
          <cell r="IC253">
            <v>0</v>
          </cell>
          <cell r="IF253">
            <v>0</v>
          </cell>
        </row>
        <row r="254">
          <cell r="GP254">
            <v>0</v>
          </cell>
          <cell r="GS254">
            <v>0</v>
          </cell>
          <cell r="GV254">
            <v>0</v>
          </cell>
          <cell r="GY254">
            <v>0</v>
          </cell>
          <cell r="HB254">
            <v>0</v>
          </cell>
          <cell r="HE254">
            <v>0</v>
          </cell>
          <cell r="HH254">
            <v>0</v>
          </cell>
          <cell r="HK254">
            <v>0</v>
          </cell>
          <cell r="HN254">
            <v>0</v>
          </cell>
          <cell r="HQ254">
            <v>0</v>
          </cell>
          <cell r="HT254">
            <v>0</v>
          </cell>
          <cell r="HW254">
            <v>0</v>
          </cell>
          <cell r="HZ254">
            <v>0</v>
          </cell>
          <cell r="IC254">
            <v>0</v>
          </cell>
          <cell r="IF254">
            <v>0</v>
          </cell>
        </row>
        <row r="255">
          <cell r="GP255">
            <v>0</v>
          </cell>
          <cell r="GS255">
            <v>0</v>
          </cell>
          <cell r="GV255">
            <v>0</v>
          </cell>
          <cell r="GY255">
            <v>0</v>
          </cell>
          <cell r="HB255">
            <v>0</v>
          </cell>
          <cell r="HE255">
            <v>0</v>
          </cell>
          <cell r="HH255">
            <v>0</v>
          </cell>
          <cell r="HK255">
            <v>0</v>
          </cell>
          <cell r="HN255">
            <v>0</v>
          </cell>
          <cell r="HQ255">
            <v>0</v>
          </cell>
          <cell r="HT255">
            <v>0</v>
          </cell>
          <cell r="HW255">
            <v>0</v>
          </cell>
          <cell r="HZ255">
            <v>0</v>
          </cell>
          <cell r="IC255">
            <v>0</v>
          </cell>
          <cell r="IF255">
            <v>0</v>
          </cell>
        </row>
        <row r="256">
          <cell r="GP256">
            <v>0</v>
          </cell>
          <cell r="GS256">
            <v>0</v>
          </cell>
          <cell r="GV256">
            <v>0</v>
          </cell>
          <cell r="GY256">
            <v>0</v>
          </cell>
          <cell r="HB256">
            <v>0</v>
          </cell>
          <cell r="HE256">
            <v>0</v>
          </cell>
          <cell r="HH256">
            <v>0</v>
          </cell>
          <cell r="HK256">
            <v>0</v>
          </cell>
          <cell r="HN256">
            <v>0</v>
          </cell>
          <cell r="HQ256">
            <v>0</v>
          </cell>
          <cell r="HT256">
            <v>0</v>
          </cell>
          <cell r="HW256">
            <v>0</v>
          </cell>
          <cell r="HZ256">
            <v>0</v>
          </cell>
          <cell r="IC256">
            <v>0</v>
          </cell>
          <cell r="IF256">
            <v>0</v>
          </cell>
        </row>
        <row r="257">
          <cell r="GP257">
            <v>0</v>
          </cell>
          <cell r="GS257">
            <v>0</v>
          </cell>
          <cell r="GV257">
            <v>0</v>
          </cell>
          <cell r="GY257">
            <v>0</v>
          </cell>
          <cell r="HB257">
            <v>0</v>
          </cell>
          <cell r="HE257">
            <v>0</v>
          </cell>
          <cell r="HH257">
            <v>0</v>
          </cell>
          <cell r="HK257">
            <v>0</v>
          </cell>
          <cell r="HN257">
            <v>0</v>
          </cell>
          <cell r="HQ257">
            <v>0</v>
          </cell>
          <cell r="HT257">
            <v>0</v>
          </cell>
          <cell r="HW257">
            <v>0</v>
          </cell>
          <cell r="HZ257">
            <v>0</v>
          </cell>
          <cell r="IC257">
            <v>0</v>
          </cell>
          <cell r="IF257">
            <v>0</v>
          </cell>
        </row>
        <row r="258">
          <cell r="GP258">
            <v>0</v>
          </cell>
          <cell r="GS258">
            <v>0</v>
          </cell>
          <cell r="GV258">
            <v>0</v>
          </cell>
          <cell r="GY258">
            <v>0</v>
          </cell>
          <cell r="HB258">
            <v>0</v>
          </cell>
          <cell r="HE258">
            <v>0</v>
          </cell>
          <cell r="HH258">
            <v>0</v>
          </cell>
          <cell r="HK258">
            <v>0</v>
          </cell>
          <cell r="HN258">
            <v>0</v>
          </cell>
          <cell r="HQ258">
            <v>0</v>
          </cell>
          <cell r="HT258">
            <v>0</v>
          </cell>
          <cell r="HW258">
            <v>0</v>
          </cell>
          <cell r="HZ258">
            <v>0</v>
          </cell>
          <cell r="IC258">
            <v>0</v>
          </cell>
          <cell r="IF258">
            <v>0</v>
          </cell>
        </row>
        <row r="259">
          <cell r="GP259">
            <v>0</v>
          </cell>
          <cell r="GS259">
            <v>0</v>
          </cell>
          <cell r="GV259">
            <v>0</v>
          </cell>
          <cell r="GY259">
            <v>0</v>
          </cell>
          <cell r="HB259">
            <v>0</v>
          </cell>
          <cell r="HE259">
            <v>0</v>
          </cell>
          <cell r="HH259">
            <v>0</v>
          </cell>
          <cell r="HK259">
            <v>0</v>
          </cell>
          <cell r="HN259">
            <v>0</v>
          </cell>
          <cell r="HQ259">
            <v>0</v>
          </cell>
          <cell r="HT259">
            <v>0</v>
          </cell>
          <cell r="HW259">
            <v>0</v>
          </cell>
          <cell r="HZ259">
            <v>0</v>
          </cell>
          <cell r="IC259">
            <v>0</v>
          </cell>
          <cell r="IF259">
            <v>0</v>
          </cell>
        </row>
        <row r="264">
          <cell r="GQ264" t="str">
            <v>Electrical</v>
          </cell>
        </row>
        <row r="268">
          <cell r="GP268" t="str">
            <v>Description</v>
          </cell>
          <cell r="GS268">
            <v>1</v>
          </cell>
          <cell r="GV268">
            <v>2</v>
          </cell>
          <cell r="GY268">
            <v>3</v>
          </cell>
          <cell r="HB268">
            <v>4</v>
          </cell>
          <cell r="HE268">
            <v>5</v>
          </cell>
          <cell r="HH268">
            <v>6</v>
          </cell>
          <cell r="HK268">
            <v>7</v>
          </cell>
          <cell r="HN268">
            <v>8</v>
          </cell>
          <cell r="HQ268">
            <v>9</v>
          </cell>
          <cell r="HT268">
            <v>10</v>
          </cell>
          <cell r="HW268">
            <v>11</v>
          </cell>
          <cell r="HZ268">
            <v>12</v>
          </cell>
          <cell r="IC268">
            <v>13</v>
          </cell>
          <cell r="IF268">
            <v>14</v>
          </cell>
          <cell r="IG268">
            <v>15</v>
          </cell>
          <cell r="IH268">
            <v>16</v>
          </cell>
        </row>
        <row r="269">
          <cell r="GP269" t="str">
            <v>CTG GSU - GE 7241FA.05</v>
          </cell>
          <cell r="GQ269">
            <v>2000</v>
          </cell>
          <cell r="GS269">
            <v>2000</v>
          </cell>
          <cell r="GT269">
            <v>2000</v>
          </cell>
          <cell r="GV269">
            <v>2000</v>
          </cell>
          <cell r="GW269">
            <v>2000</v>
          </cell>
          <cell r="GY269">
            <v>2000</v>
          </cell>
          <cell r="GZ269">
            <v>2000</v>
          </cell>
          <cell r="HB269">
            <v>2000</v>
          </cell>
          <cell r="HC269">
            <v>2000</v>
          </cell>
          <cell r="HE269">
            <v>2000</v>
          </cell>
          <cell r="HF269">
            <v>2000</v>
          </cell>
          <cell r="HH269">
            <v>2000</v>
          </cell>
          <cell r="HI269">
            <v>2000</v>
          </cell>
          <cell r="HK269">
            <v>2000</v>
          </cell>
          <cell r="HL269">
            <v>2000</v>
          </cell>
          <cell r="HN269">
            <v>2000</v>
          </cell>
          <cell r="HO269">
            <v>2000</v>
          </cell>
          <cell r="HQ269">
            <v>2000</v>
          </cell>
          <cell r="HR269">
            <v>2000</v>
          </cell>
          <cell r="HT269">
            <v>2000</v>
          </cell>
          <cell r="HU269">
            <v>2000</v>
          </cell>
          <cell r="HW269">
            <v>2000</v>
          </cell>
          <cell r="HX269">
            <v>2000</v>
          </cell>
          <cell r="HZ269">
            <v>2000</v>
          </cell>
          <cell r="IA269">
            <v>2000</v>
          </cell>
          <cell r="IC269">
            <v>2000</v>
          </cell>
          <cell r="ID269">
            <v>2000</v>
          </cell>
          <cell r="IF269">
            <v>2000</v>
          </cell>
        </row>
        <row r="270">
          <cell r="GP270" t="str">
            <v>CTG Iso Phase Bus</v>
          </cell>
          <cell r="GQ270">
            <v>25</v>
          </cell>
          <cell r="GS270">
            <v>25</v>
          </cell>
          <cell r="GT270">
            <v>25</v>
          </cell>
          <cell r="GV270">
            <v>25</v>
          </cell>
          <cell r="GW270">
            <v>25</v>
          </cell>
          <cell r="GY270">
            <v>25</v>
          </cell>
          <cell r="GZ270">
            <v>25</v>
          </cell>
          <cell r="HB270">
            <v>25</v>
          </cell>
          <cell r="HC270">
            <v>25</v>
          </cell>
          <cell r="HE270">
            <v>25</v>
          </cell>
          <cell r="HF270">
            <v>25</v>
          </cell>
          <cell r="HH270">
            <v>25</v>
          </cell>
          <cell r="HI270">
            <v>25</v>
          </cell>
          <cell r="HK270">
            <v>25</v>
          </cell>
          <cell r="HL270">
            <v>25</v>
          </cell>
          <cell r="HN270">
            <v>25</v>
          </cell>
          <cell r="HO270">
            <v>25</v>
          </cell>
          <cell r="HQ270">
            <v>25</v>
          </cell>
          <cell r="HR270">
            <v>25</v>
          </cell>
          <cell r="HT270">
            <v>25</v>
          </cell>
          <cell r="HU270">
            <v>25</v>
          </cell>
          <cell r="HW270">
            <v>25</v>
          </cell>
          <cell r="HX270">
            <v>25</v>
          </cell>
          <cell r="HZ270">
            <v>25</v>
          </cell>
          <cell r="IA270">
            <v>25</v>
          </cell>
          <cell r="IC270">
            <v>25</v>
          </cell>
          <cell r="ID270">
            <v>25</v>
          </cell>
          <cell r="IF270">
            <v>25</v>
          </cell>
        </row>
        <row r="271">
          <cell r="GP271" t="str">
            <v>CT Generator Breaker</v>
          </cell>
          <cell r="GQ271">
            <v>1000</v>
          </cell>
          <cell r="GS271">
            <v>1000</v>
          </cell>
          <cell r="GT271">
            <v>1000</v>
          </cell>
          <cell r="GV271">
            <v>1000</v>
          </cell>
          <cell r="GW271">
            <v>1000</v>
          </cell>
          <cell r="GY271">
            <v>1000</v>
          </cell>
          <cell r="GZ271">
            <v>1000</v>
          </cell>
          <cell r="HB271">
            <v>1000</v>
          </cell>
          <cell r="HC271">
            <v>1000</v>
          </cell>
          <cell r="HE271">
            <v>1000</v>
          </cell>
          <cell r="HF271">
            <v>1000</v>
          </cell>
          <cell r="HH271">
            <v>1000</v>
          </cell>
          <cell r="HI271">
            <v>1000</v>
          </cell>
          <cell r="HK271">
            <v>1000</v>
          </cell>
          <cell r="HL271">
            <v>1000</v>
          </cell>
          <cell r="HN271">
            <v>1000</v>
          </cell>
          <cell r="HO271">
            <v>1000</v>
          </cell>
          <cell r="HQ271">
            <v>1000</v>
          </cell>
          <cell r="HR271">
            <v>1000</v>
          </cell>
          <cell r="HT271">
            <v>1000</v>
          </cell>
          <cell r="HU271">
            <v>1000</v>
          </cell>
          <cell r="HW271">
            <v>1000</v>
          </cell>
          <cell r="HX271">
            <v>1000</v>
          </cell>
          <cell r="HZ271">
            <v>1000</v>
          </cell>
          <cell r="IA271">
            <v>1000</v>
          </cell>
          <cell r="IC271">
            <v>1000</v>
          </cell>
          <cell r="ID271">
            <v>1000</v>
          </cell>
          <cell r="IF271">
            <v>1000</v>
          </cell>
        </row>
        <row r="272">
          <cell r="GP272">
            <v>0</v>
          </cell>
          <cell r="GS272">
            <v>0</v>
          </cell>
          <cell r="GV272">
            <v>0</v>
          </cell>
          <cell r="GY272">
            <v>0</v>
          </cell>
          <cell r="HB272">
            <v>0</v>
          </cell>
          <cell r="HE272">
            <v>0</v>
          </cell>
          <cell r="HH272">
            <v>0</v>
          </cell>
          <cell r="HK272">
            <v>0</v>
          </cell>
          <cell r="HN272">
            <v>0</v>
          </cell>
          <cell r="HQ272">
            <v>0</v>
          </cell>
          <cell r="HT272">
            <v>0</v>
          </cell>
          <cell r="HW272">
            <v>0</v>
          </cell>
          <cell r="HZ272">
            <v>0</v>
          </cell>
          <cell r="IC272">
            <v>0</v>
          </cell>
          <cell r="IF272">
            <v>0</v>
          </cell>
        </row>
        <row r="273">
          <cell r="GP273" t="str">
            <v>STG Iso Phase Bus</v>
          </cell>
          <cell r="GQ273">
            <v>25</v>
          </cell>
          <cell r="GS273">
            <v>25</v>
          </cell>
          <cell r="GT273">
            <v>25</v>
          </cell>
          <cell r="GV273">
            <v>25</v>
          </cell>
          <cell r="GW273">
            <v>25</v>
          </cell>
          <cell r="GY273">
            <v>25</v>
          </cell>
          <cell r="GZ273">
            <v>25</v>
          </cell>
          <cell r="HB273">
            <v>25</v>
          </cell>
          <cell r="HC273">
            <v>25</v>
          </cell>
          <cell r="HE273">
            <v>25</v>
          </cell>
          <cell r="HF273">
            <v>25</v>
          </cell>
          <cell r="HH273">
            <v>25</v>
          </cell>
          <cell r="HI273">
            <v>25</v>
          </cell>
          <cell r="HK273">
            <v>25</v>
          </cell>
          <cell r="HL273">
            <v>25</v>
          </cell>
          <cell r="HN273">
            <v>25</v>
          </cell>
          <cell r="HO273">
            <v>25</v>
          </cell>
          <cell r="HQ273">
            <v>25</v>
          </cell>
          <cell r="HR273">
            <v>25</v>
          </cell>
          <cell r="HT273">
            <v>25</v>
          </cell>
          <cell r="HU273">
            <v>25</v>
          </cell>
          <cell r="HW273">
            <v>25</v>
          </cell>
          <cell r="HX273">
            <v>25</v>
          </cell>
          <cell r="HZ273">
            <v>25</v>
          </cell>
          <cell r="IA273">
            <v>25</v>
          </cell>
          <cell r="IC273">
            <v>25</v>
          </cell>
          <cell r="ID273">
            <v>25</v>
          </cell>
          <cell r="IF273">
            <v>25</v>
          </cell>
        </row>
        <row r="274">
          <cell r="GP274" t="str">
            <v>ST Generator Breaker</v>
          </cell>
          <cell r="GQ274">
            <v>1000</v>
          </cell>
          <cell r="GS274">
            <v>1000</v>
          </cell>
          <cell r="GT274">
            <v>1000</v>
          </cell>
          <cell r="GV274">
            <v>1000</v>
          </cell>
          <cell r="GW274">
            <v>1000</v>
          </cell>
          <cell r="GY274">
            <v>1000</v>
          </cell>
          <cell r="GZ274">
            <v>1000</v>
          </cell>
          <cell r="HB274">
            <v>1000</v>
          </cell>
          <cell r="HC274">
            <v>1000</v>
          </cell>
          <cell r="HE274">
            <v>1000</v>
          </cell>
          <cell r="HF274">
            <v>1000</v>
          </cell>
          <cell r="HH274">
            <v>1000</v>
          </cell>
          <cell r="HI274">
            <v>1000</v>
          </cell>
          <cell r="HK274">
            <v>1000</v>
          </cell>
          <cell r="HL274">
            <v>1000</v>
          </cell>
          <cell r="HN274">
            <v>1000</v>
          </cell>
          <cell r="HO274">
            <v>1000</v>
          </cell>
          <cell r="HQ274">
            <v>1000</v>
          </cell>
          <cell r="HR274">
            <v>1000</v>
          </cell>
          <cell r="HT274">
            <v>1000</v>
          </cell>
          <cell r="HU274">
            <v>1000</v>
          </cell>
          <cell r="HW274">
            <v>1000</v>
          </cell>
          <cell r="HX274">
            <v>1000</v>
          </cell>
          <cell r="HZ274">
            <v>1000</v>
          </cell>
          <cell r="IA274">
            <v>1000</v>
          </cell>
          <cell r="IC274">
            <v>1000</v>
          </cell>
          <cell r="ID274">
            <v>1000</v>
          </cell>
          <cell r="IF274">
            <v>1000</v>
          </cell>
        </row>
        <row r="275">
          <cell r="GP275" t="str">
            <v>Aux. Transformers</v>
          </cell>
          <cell r="GQ275">
            <v>100</v>
          </cell>
          <cell r="GS275">
            <v>100</v>
          </cell>
          <cell r="GT275">
            <v>100</v>
          </cell>
          <cell r="GV275">
            <v>100</v>
          </cell>
          <cell r="GW275">
            <v>100</v>
          </cell>
          <cell r="GY275">
            <v>100</v>
          </cell>
          <cell r="GZ275">
            <v>100</v>
          </cell>
          <cell r="HB275">
            <v>100</v>
          </cell>
          <cell r="HC275">
            <v>100</v>
          </cell>
          <cell r="HE275">
            <v>100</v>
          </cell>
          <cell r="HF275">
            <v>100</v>
          </cell>
          <cell r="HH275">
            <v>100</v>
          </cell>
          <cell r="HI275">
            <v>100</v>
          </cell>
          <cell r="HK275">
            <v>100</v>
          </cell>
          <cell r="HL275">
            <v>100</v>
          </cell>
          <cell r="HN275">
            <v>100</v>
          </cell>
          <cell r="HO275">
            <v>100</v>
          </cell>
          <cell r="HQ275">
            <v>100</v>
          </cell>
          <cell r="HR275">
            <v>100</v>
          </cell>
          <cell r="HT275">
            <v>100</v>
          </cell>
          <cell r="HU275">
            <v>100</v>
          </cell>
          <cell r="HW275">
            <v>100</v>
          </cell>
          <cell r="HX275">
            <v>100</v>
          </cell>
          <cell r="HZ275">
            <v>100</v>
          </cell>
          <cell r="IA275">
            <v>100</v>
          </cell>
          <cell r="IC275">
            <v>100</v>
          </cell>
          <cell r="ID275">
            <v>100</v>
          </cell>
          <cell r="IF275">
            <v>100</v>
          </cell>
        </row>
        <row r="276">
          <cell r="GP276">
            <v>0</v>
          </cell>
          <cell r="GS276">
            <v>0</v>
          </cell>
          <cell r="GV276">
            <v>0</v>
          </cell>
          <cell r="GY276">
            <v>0</v>
          </cell>
          <cell r="HB276">
            <v>0</v>
          </cell>
          <cell r="HE276">
            <v>0</v>
          </cell>
          <cell r="HH276">
            <v>0</v>
          </cell>
          <cell r="HK276">
            <v>0</v>
          </cell>
          <cell r="HN276">
            <v>0</v>
          </cell>
          <cell r="HQ276">
            <v>0</v>
          </cell>
          <cell r="HT276">
            <v>0</v>
          </cell>
          <cell r="HW276">
            <v>0</v>
          </cell>
          <cell r="HZ276">
            <v>0</v>
          </cell>
          <cell r="IC276">
            <v>0</v>
          </cell>
          <cell r="IF276">
            <v>0</v>
          </cell>
        </row>
        <row r="277">
          <cell r="GP277" t="str">
            <v>PDC</v>
          </cell>
          <cell r="GQ277">
            <v>5</v>
          </cell>
          <cell r="GS277">
            <v>5</v>
          </cell>
          <cell r="GT277">
            <v>5</v>
          </cell>
          <cell r="GV277">
            <v>5</v>
          </cell>
          <cell r="GW277">
            <v>5</v>
          </cell>
          <cell r="GY277">
            <v>5</v>
          </cell>
          <cell r="GZ277">
            <v>5</v>
          </cell>
          <cell r="HB277">
            <v>5</v>
          </cell>
          <cell r="HC277">
            <v>5</v>
          </cell>
          <cell r="HE277">
            <v>5</v>
          </cell>
          <cell r="HF277">
            <v>5</v>
          </cell>
          <cell r="HH277">
            <v>5</v>
          </cell>
          <cell r="HI277">
            <v>5</v>
          </cell>
          <cell r="HK277">
            <v>5</v>
          </cell>
          <cell r="HL277">
            <v>5</v>
          </cell>
          <cell r="HN277">
            <v>5</v>
          </cell>
          <cell r="HO277">
            <v>5</v>
          </cell>
          <cell r="HQ277">
            <v>5</v>
          </cell>
          <cell r="HR277">
            <v>5</v>
          </cell>
          <cell r="HT277">
            <v>5</v>
          </cell>
          <cell r="HU277">
            <v>5</v>
          </cell>
          <cell r="HW277">
            <v>5</v>
          </cell>
          <cell r="HX277">
            <v>5</v>
          </cell>
          <cell r="HZ277">
            <v>5</v>
          </cell>
          <cell r="IA277">
            <v>5</v>
          </cell>
          <cell r="IC277">
            <v>5</v>
          </cell>
          <cell r="ID277">
            <v>5</v>
          </cell>
          <cell r="IF277">
            <v>5</v>
          </cell>
        </row>
        <row r="278">
          <cell r="GP278" t="str">
            <v>480V Non segregated Bus Type 1</v>
          </cell>
          <cell r="GQ278">
            <v>200</v>
          </cell>
          <cell r="GS278">
            <v>200</v>
          </cell>
          <cell r="GT278">
            <v>200</v>
          </cell>
          <cell r="GV278">
            <v>200</v>
          </cell>
          <cell r="GW278">
            <v>200</v>
          </cell>
          <cell r="GY278">
            <v>200</v>
          </cell>
          <cell r="GZ278">
            <v>200</v>
          </cell>
          <cell r="HB278">
            <v>200</v>
          </cell>
          <cell r="HC278">
            <v>200</v>
          </cell>
          <cell r="HE278">
            <v>200</v>
          </cell>
          <cell r="HF278">
            <v>200</v>
          </cell>
          <cell r="HH278">
            <v>200</v>
          </cell>
          <cell r="HI278">
            <v>200</v>
          </cell>
          <cell r="HK278">
            <v>200</v>
          </cell>
          <cell r="HL278">
            <v>200</v>
          </cell>
          <cell r="HN278">
            <v>200</v>
          </cell>
          <cell r="HO278">
            <v>200</v>
          </cell>
          <cell r="HQ278">
            <v>200</v>
          </cell>
          <cell r="HR278">
            <v>200</v>
          </cell>
          <cell r="HT278">
            <v>200</v>
          </cell>
          <cell r="HU278">
            <v>200</v>
          </cell>
          <cell r="HW278">
            <v>200</v>
          </cell>
          <cell r="HX278">
            <v>200</v>
          </cell>
          <cell r="HZ278">
            <v>200</v>
          </cell>
          <cell r="IA278">
            <v>200</v>
          </cell>
          <cell r="IC278">
            <v>200</v>
          </cell>
          <cell r="ID278">
            <v>200</v>
          </cell>
          <cell r="IF278">
            <v>200</v>
          </cell>
        </row>
        <row r="279">
          <cell r="GP279" t="str">
            <v>480V Non segregated Bus Type 2</v>
          </cell>
          <cell r="GQ279">
            <v>200</v>
          </cell>
          <cell r="GS279">
            <v>200</v>
          </cell>
          <cell r="GT279">
            <v>200</v>
          </cell>
          <cell r="GV279">
            <v>200</v>
          </cell>
          <cell r="GW279">
            <v>200</v>
          </cell>
          <cell r="GY279">
            <v>200</v>
          </cell>
          <cell r="GZ279">
            <v>200</v>
          </cell>
          <cell r="HB279">
            <v>200</v>
          </cell>
          <cell r="HC279">
            <v>200</v>
          </cell>
          <cell r="HE279">
            <v>200</v>
          </cell>
          <cell r="HF279">
            <v>200</v>
          </cell>
          <cell r="HH279">
            <v>200</v>
          </cell>
          <cell r="HI279">
            <v>200</v>
          </cell>
          <cell r="HK279">
            <v>200</v>
          </cell>
          <cell r="HL279">
            <v>200</v>
          </cell>
          <cell r="HN279">
            <v>200</v>
          </cell>
          <cell r="HO279">
            <v>200</v>
          </cell>
          <cell r="HQ279">
            <v>200</v>
          </cell>
          <cell r="HR279">
            <v>200</v>
          </cell>
          <cell r="HT279">
            <v>200</v>
          </cell>
          <cell r="HU279">
            <v>200</v>
          </cell>
          <cell r="HW279">
            <v>200</v>
          </cell>
          <cell r="HX279">
            <v>200</v>
          </cell>
          <cell r="HZ279">
            <v>200</v>
          </cell>
          <cell r="IA279">
            <v>200</v>
          </cell>
          <cell r="IC279">
            <v>200</v>
          </cell>
          <cell r="ID279">
            <v>200</v>
          </cell>
          <cell r="IF279">
            <v>200</v>
          </cell>
        </row>
        <row r="280">
          <cell r="GP280" t="str">
            <v>480V Non segregated Bus Type 3</v>
          </cell>
          <cell r="GQ280">
            <v>200</v>
          </cell>
          <cell r="GS280">
            <v>200</v>
          </cell>
          <cell r="GT280">
            <v>200</v>
          </cell>
          <cell r="GV280">
            <v>200</v>
          </cell>
          <cell r="GW280">
            <v>200</v>
          </cell>
          <cell r="GY280">
            <v>200</v>
          </cell>
          <cell r="GZ280">
            <v>200</v>
          </cell>
          <cell r="HB280">
            <v>200</v>
          </cell>
          <cell r="HC280">
            <v>200</v>
          </cell>
          <cell r="HE280">
            <v>200</v>
          </cell>
          <cell r="HF280">
            <v>200</v>
          </cell>
          <cell r="HH280">
            <v>200</v>
          </cell>
          <cell r="HI280">
            <v>200</v>
          </cell>
          <cell r="HK280">
            <v>200</v>
          </cell>
          <cell r="HL280">
            <v>200</v>
          </cell>
          <cell r="HN280">
            <v>200</v>
          </cell>
          <cell r="HO280">
            <v>200</v>
          </cell>
          <cell r="HQ280">
            <v>200</v>
          </cell>
          <cell r="HR280">
            <v>200</v>
          </cell>
          <cell r="HT280">
            <v>200</v>
          </cell>
          <cell r="HU280">
            <v>200</v>
          </cell>
          <cell r="HW280">
            <v>200</v>
          </cell>
          <cell r="HX280">
            <v>200</v>
          </cell>
          <cell r="HZ280">
            <v>200</v>
          </cell>
          <cell r="IA280">
            <v>200</v>
          </cell>
          <cell r="IC280">
            <v>200</v>
          </cell>
          <cell r="ID280">
            <v>200</v>
          </cell>
          <cell r="IF280">
            <v>200</v>
          </cell>
        </row>
        <row r="281">
          <cell r="GP281" t="str">
            <v>480V Non segregated Bus Type 4</v>
          </cell>
          <cell r="GQ281">
            <v>200</v>
          </cell>
          <cell r="GS281">
            <v>200</v>
          </cell>
          <cell r="GT281">
            <v>200</v>
          </cell>
          <cell r="GV281">
            <v>200</v>
          </cell>
          <cell r="GW281">
            <v>200</v>
          </cell>
          <cell r="GY281">
            <v>200</v>
          </cell>
          <cell r="GZ281">
            <v>200</v>
          </cell>
          <cell r="HB281">
            <v>200</v>
          </cell>
          <cell r="HC281">
            <v>200</v>
          </cell>
          <cell r="HE281">
            <v>200</v>
          </cell>
          <cell r="HF281">
            <v>200</v>
          </cell>
          <cell r="HH281">
            <v>200</v>
          </cell>
          <cell r="HI281">
            <v>200</v>
          </cell>
          <cell r="HK281">
            <v>200</v>
          </cell>
          <cell r="HL281">
            <v>200</v>
          </cell>
          <cell r="HN281">
            <v>200</v>
          </cell>
          <cell r="HO281">
            <v>200</v>
          </cell>
          <cell r="HQ281">
            <v>200</v>
          </cell>
          <cell r="HR281">
            <v>200</v>
          </cell>
          <cell r="HT281">
            <v>200</v>
          </cell>
          <cell r="HU281">
            <v>200</v>
          </cell>
          <cell r="HW281">
            <v>200</v>
          </cell>
          <cell r="HX281">
            <v>200</v>
          </cell>
          <cell r="HZ281">
            <v>200</v>
          </cell>
          <cell r="IA281">
            <v>200</v>
          </cell>
          <cell r="IC281">
            <v>200</v>
          </cell>
          <cell r="ID281">
            <v>200</v>
          </cell>
          <cell r="IF281">
            <v>200</v>
          </cell>
        </row>
        <row r="282">
          <cell r="GP282" t="str">
            <v>LV Switchgear</v>
          </cell>
          <cell r="GQ282">
            <v>100</v>
          </cell>
          <cell r="GS282">
            <v>100</v>
          </cell>
          <cell r="GT282">
            <v>100</v>
          </cell>
          <cell r="GV282">
            <v>100</v>
          </cell>
          <cell r="GW282">
            <v>100</v>
          </cell>
          <cell r="GY282">
            <v>100</v>
          </cell>
          <cell r="GZ282">
            <v>100</v>
          </cell>
          <cell r="HB282">
            <v>100</v>
          </cell>
          <cell r="HC282">
            <v>100</v>
          </cell>
          <cell r="HE282">
            <v>100</v>
          </cell>
          <cell r="HF282">
            <v>100</v>
          </cell>
          <cell r="HH282">
            <v>100</v>
          </cell>
          <cell r="HI282">
            <v>100</v>
          </cell>
          <cell r="HK282">
            <v>100</v>
          </cell>
          <cell r="HL282">
            <v>100</v>
          </cell>
          <cell r="HN282">
            <v>100</v>
          </cell>
          <cell r="HO282">
            <v>100</v>
          </cell>
          <cell r="HQ282">
            <v>100</v>
          </cell>
          <cell r="HR282">
            <v>100</v>
          </cell>
          <cell r="HT282">
            <v>100</v>
          </cell>
          <cell r="HU282">
            <v>100</v>
          </cell>
          <cell r="HW282">
            <v>100</v>
          </cell>
          <cell r="HX282">
            <v>100</v>
          </cell>
          <cell r="HZ282">
            <v>100</v>
          </cell>
          <cell r="IA282">
            <v>100</v>
          </cell>
          <cell r="IC282">
            <v>100</v>
          </cell>
          <cell r="ID282">
            <v>100</v>
          </cell>
          <cell r="IF282">
            <v>100</v>
          </cell>
        </row>
        <row r="283">
          <cell r="GP283" t="str">
            <v>MCCs - CTG</v>
          </cell>
          <cell r="GQ283">
            <v>100</v>
          </cell>
          <cell r="GS283">
            <v>100</v>
          </cell>
          <cell r="GT283">
            <v>100</v>
          </cell>
          <cell r="GV283">
            <v>100</v>
          </cell>
          <cell r="GW283">
            <v>100</v>
          </cell>
          <cell r="GY283">
            <v>100</v>
          </cell>
          <cell r="GZ283">
            <v>100</v>
          </cell>
          <cell r="HB283">
            <v>100</v>
          </cell>
          <cell r="HC283">
            <v>100</v>
          </cell>
          <cell r="HE283">
            <v>100</v>
          </cell>
          <cell r="HF283">
            <v>100</v>
          </cell>
          <cell r="HH283">
            <v>100</v>
          </cell>
          <cell r="HI283">
            <v>100</v>
          </cell>
          <cell r="HK283">
            <v>100</v>
          </cell>
          <cell r="HL283">
            <v>100</v>
          </cell>
          <cell r="HN283">
            <v>100</v>
          </cell>
          <cell r="HO283">
            <v>100</v>
          </cell>
          <cell r="HQ283">
            <v>100</v>
          </cell>
          <cell r="HR283">
            <v>100</v>
          </cell>
          <cell r="HT283">
            <v>100</v>
          </cell>
          <cell r="HU283">
            <v>100</v>
          </cell>
          <cell r="HW283">
            <v>100</v>
          </cell>
          <cell r="HX283">
            <v>100</v>
          </cell>
          <cell r="HZ283">
            <v>100</v>
          </cell>
          <cell r="IA283">
            <v>100</v>
          </cell>
          <cell r="IC283">
            <v>100</v>
          </cell>
          <cell r="ID283">
            <v>100</v>
          </cell>
          <cell r="IF283">
            <v>100</v>
          </cell>
        </row>
        <row r="284">
          <cell r="GP284" t="str">
            <v>MCCs - HRSG</v>
          </cell>
          <cell r="GQ284">
            <v>100</v>
          </cell>
          <cell r="GS284">
            <v>100</v>
          </cell>
          <cell r="GT284">
            <v>100</v>
          </cell>
          <cell r="GV284">
            <v>100</v>
          </cell>
          <cell r="GW284">
            <v>100</v>
          </cell>
          <cell r="GY284">
            <v>100</v>
          </cell>
          <cell r="GZ284">
            <v>100</v>
          </cell>
          <cell r="HB284">
            <v>100</v>
          </cell>
          <cell r="HC284">
            <v>100</v>
          </cell>
          <cell r="HE284">
            <v>100</v>
          </cell>
          <cell r="HF284">
            <v>100</v>
          </cell>
          <cell r="HH284">
            <v>100</v>
          </cell>
          <cell r="HI284">
            <v>100</v>
          </cell>
          <cell r="HK284">
            <v>100</v>
          </cell>
          <cell r="HL284">
            <v>100</v>
          </cell>
          <cell r="HN284">
            <v>100</v>
          </cell>
          <cell r="HO284">
            <v>100</v>
          </cell>
          <cell r="HQ284">
            <v>100</v>
          </cell>
          <cell r="HR284">
            <v>100</v>
          </cell>
          <cell r="HT284">
            <v>100</v>
          </cell>
          <cell r="HU284">
            <v>100</v>
          </cell>
          <cell r="HW284">
            <v>100</v>
          </cell>
          <cell r="HX284">
            <v>100</v>
          </cell>
          <cell r="HZ284">
            <v>100</v>
          </cell>
          <cell r="IA284">
            <v>100</v>
          </cell>
          <cell r="IC284">
            <v>100</v>
          </cell>
          <cell r="ID284">
            <v>100</v>
          </cell>
          <cell r="IF284">
            <v>100</v>
          </cell>
        </row>
        <row r="285">
          <cell r="GP285" t="str">
            <v>MCCs - STG</v>
          </cell>
          <cell r="GQ285">
            <v>100</v>
          </cell>
          <cell r="GS285">
            <v>100</v>
          </cell>
          <cell r="GT285">
            <v>100</v>
          </cell>
          <cell r="GV285">
            <v>100</v>
          </cell>
          <cell r="GW285">
            <v>100</v>
          </cell>
          <cell r="GY285">
            <v>100</v>
          </cell>
          <cell r="GZ285">
            <v>100</v>
          </cell>
          <cell r="HB285">
            <v>100</v>
          </cell>
          <cell r="HC285">
            <v>100</v>
          </cell>
          <cell r="HE285">
            <v>100</v>
          </cell>
          <cell r="HF285">
            <v>100</v>
          </cell>
          <cell r="HH285">
            <v>100</v>
          </cell>
          <cell r="HI285">
            <v>100</v>
          </cell>
          <cell r="HK285">
            <v>100</v>
          </cell>
          <cell r="HL285">
            <v>100</v>
          </cell>
          <cell r="HN285">
            <v>100</v>
          </cell>
          <cell r="HO285">
            <v>100</v>
          </cell>
          <cell r="HQ285">
            <v>100</v>
          </cell>
          <cell r="HR285">
            <v>100</v>
          </cell>
          <cell r="HT285">
            <v>100</v>
          </cell>
          <cell r="HU285">
            <v>100</v>
          </cell>
          <cell r="HW285">
            <v>100</v>
          </cell>
          <cell r="HX285">
            <v>100</v>
          </cell>
          <cell r="HZ285">
            <v>100</v>
          </cell>
          <cell r="IA285">
            <v>100</v>
          </cell>
          <cell r="IC285">
            <v>100</v>
          </cell>
          <cell r="ID285">
            <v>100</v>
          </cell>
          <cell r="IF285">
            <v>100</v>
          </cell>
        </row>
        <row r="286">
          <cell r="GP286" t="str">
            <v>MCCs</v>
          </cell>
          <cell r="GQ286">
            <v>100</v>
          </cell>
          <cell r="GS286">
            <v>100</v>
          </cell>
          <cell r="GT286">
            <v>100</v>
          </cell>
          <cell r="GV286">
            <v>100</v>
          </cell>
          <cell r="GW286">
            <v>100</v>
          </cell>
          <cell r="GY286">
            <v>100</v>
          </cell>
          <cell r="GZ286">
            <v>100</v>
          </cell>
          <cell r="HB286">
            <v>100</v>
          </cell>
          <cell r="HC286">
            <v>100</v>
          </cell>
          <cell r="HE286">
            <v>100</v>
          </cell>
          <cell r="HF286">
            <v>100</v>
          </cell>
          <cell r="HH286">
            <v>100</v>
          </cell>
          <cell r="HI286">
            <v>100</v>
          </cell>
          <cell r="HK286">
            <v>100</v>
          </cell>
          <cell r="HL286">
            <v>100</v>
          </cell>
          <cell r="HN286">
            <v>100</v>
          </cell>
          <cell r="HO286">
            <v>100</v>
          </cell>
          <cell r="HQ286">
            <v>100</v>
          </cell>
          <cell r="HR286">
            <v>100</v>
          </cell>
          <cell r="HT286">
            <v>100</v>
          </cell>
          <cell r="HU286">
            <v>100</v>
          </cell>
          <cell r="HW286">
            <v>100</v>
          </cell>
          <cell r="HX286">
            <v>100</v>
          </cell>
          <cell r="HZ286">
            <v>100</v>
          </cell>
          <cell r="IA286">
            <v>100</v>
          </cell>
          <cell r="IC286">
            <v>100</v>
          </cell>
          <cell r="ID286">
            <v>100</v>
          </cell>
          <cell r="IF286">
            <v>100</v>
          </cell>
        </row>
        <row r="287">
          <cell r="GP287" t="str">
            <v xml:space="preserve">Plant Dependant MCCs - </v>
          </cell>
          <cell r="GQ287">
            <v>100</v>
          </cell>
          <cell r="GS287">
            <v>100</v>
          </cell>
          <cell r="GT287">
            <v>100</v>
          </cell>
          <cell r="GV287">
            <v>100</v>
          </cell>
          <cell r="GW287">
            <v>100</v>
          </cell>
          <cell r="GY287">
            <v>100</v>
          </cell>
          <cell r="GZ287">
            <v>100</v>
          </cell>
          <cell r="HB287">
            <v>100</v>
          </cell>
          <cell r="HC287">
            <v>100</v>
          </cell>
          <cell r="HE287">
            <v>100</v>
          </cell>
          <cell r="HF287">
            <v>100</v>
          </cell>
          <cell r="HH287">
            <v>100</v>
          </cell>
          <cell r="HI287">
            <v>100</v>
          </cell>
          <cell r="HK287">
            <v>100</v>
          </cell>
          <cell r="HL287">
            <v>100</v>
          </cell>
          <cell r="HN287">
            <v>100</v>
          </cell>
          <cell r="HO287">
            <v>100</v>
          </cell>
          <cell r="HQ287">
            <v>100</v>
          </cell>
          <cell r="HR287">
            <v>100</v>
          </cell>
          <cell r="HT287">
            <v>100</v>
          </cell>
          <cell r="HU287">
            <v>100</v>
          </cell>
          <cell r="HW287">
            <v>100</v>
          </cell>
          <cell r="HX287">
            <v>100</v>
          </cell>
          <cell r="HZ287">
            <v>100</v>
          </cell>
          <cell r="IA287">
            <v>100</v>
          </cell>
          <cell r="IC287">
            <v>100</v>
          </cell>
          <cell r="ID287">
            <v>100</v>
          </cell>
          <cell r="IF287">
            <v>100</v>
          </cell>
        </row>
        <row r="288">
          <cell r="GP288" t="str">
            <v xml:space="preserve">Plant Dependant MCCs - </v>
          </cell>
          <cell r="GQ288">
            <v>100</v>
          </cell>
          <cell r="GS288">
            <v>100</v>
          </cell>
          <cell r="GT288">
            <v>100</v>
          </cell>
          <cell r="GV288">
            <v>100</v>
          </cell>
          <cell r="GW288">
            <v>100</v>
          </cell>
          <cell r="GY288">
            <v>100</v>
          </cell>
          <cell r="GZ288">
            <v>100</v>
          </cell>
          <cell r="HB288">
            <v>100</v>
          </cell>
          <cell r="HC288">
            <v>100</v>
          </cell>
          <cell r="HE288">
            <v>100</v>
          </cell>
          <cell r="HF288">
            <v>100</v>
          </cell>
          <cell r="HH288">
            <v>100</v>
          </cell>
          <cell r="HI288">
            <v>100</v>
          </cell>
          <cell r="HK288">
            <v>100</v>
          </cell>
          <cell r="HL288">
            <v>100</v>
          </cell>
          <cell r="HN288">
            <v>100</v>
          </cell>
          <cell r="HO288">
            <v>100</v>
          </cell>
          <cell r="HQ288">
            <v>100</v>
          </cell>
          <cell r="HR288">
            <v>100</v>
          </cell>
          <cell r="HT288">
            <v>100</v>
          </cell>
          <cell r="HU288">
            <v>100</v>
          </cell>
          <cell r="HW288">
            <v>100</v>
          </cell>
          <cell r="HX288">
            <v>100</v>
          </cell>
          <cell r="HZ288">
            <v>100</v>
          </cell>
          <cell r="IA288">
            <v>100</v>
          </cell>
          <cell r="IC288">
            <v>100</v>
          </cell>
          <cell r="ID288">
            <v>100</v>
          </cell>
          <cell r="IF288">
            <v>100</v>
          </cell>
        </row>
        <row r="289">
          <cell r="GP289" t="str">
            <v>COOLING TOWER MCCs</v>
          </cell>
          <cell r="GQ289">
            <v>100</v>
          </cell>
          <cell r="GS289">
            <v>100</v>
          </cell>
          <cell r="GT289">
            <v>100</v>
          </cell>
          <cell r="GV289">
            <v>100</v>
          </cell>
          <cell r="GW289">
            <v>100</v>
          </cell>
          <cell r="GY289">
            <v>100</v>
          </cell>
          <cell r="GZ289">
            <v>100</v>
          </cell>
          <cell r="HB289">
            <v>100</v>
          </cell>
          <cell r="HC289">
            <v>100</v>
          </cell>
          <cell r="HE289">
            <v>100</v>
          </cell>
          <cell r="HF289">
            <v>100</v>
          </cell>
          <cell r="HH289">
            <v>100</v>
          </cell>
          <cell r="HI289">
            <v>100</v>
          </cell>
          <cell r="HK289">
            <v>100</v>
          </cell>
          <cell r="HL289">
            <v>100</v>
          </cell>
          <cell r="HN289">
            <v>100</v>
          </cell>
          <cell r="HO289">
            <v>100</v>
          </cell>
          <cell r="HQ289">
            <v>100</v>
          </cell>
          <cell r="HR289">
            <v>100</v>
          </cell>
          <cell r="HT289">
            <v>100</v>
          </cell>
          <cell r="HU289">
            <v>100</v>
          </cell>
          <cell r="HW289">
            <v>100</v>
          </cell>
          <cell r="HX289">
            <v>100</v>
          </cell>
          <cell r="HZ289">
            <v>100</v>
          </cell>
          <cell r="IA289">
            <v>100</v>
          </cell>
          <cell r="IC289">
            <v>100</v>
          </cell>
          <cell r="ID289">
            <v>100</v>
          </cell>
          <cell r="IF289">
            <v>100</v>
          </cell>
        </row>
        <row r="290">
          <cell r="GP290" t="str">
            <v xml:space="preserve">Plant Dependant MCCs - </v>
          </cell>
          <cell r="GQ290">
            <v>100</v>
          </cell>
          <cell r="GS290">
            <v>100</v>
          </cell>
          <cell r="GT290">
            <v>100</v>
          </cell>
          <cell r="GV290">
            <v>100</v>
          </cell>
          <cell r="GW290">
            <v>100</v>
          </cell>
          <cell r="GY290">
            <v>100</v>
          </cell>
          <cell r="GZ290">
            <v>100</v>
          </cell>
          <cell r="HB290">
            <v>100</v>
          </cell>
          <cell r="HC290">
            <v>100</v>
          </cell>
          <cell r="HE290">
            <v>100</v>
          </cell>
          <cell r="HF290">
            <v>100</v>
          </cell>
          <cell r="HH290">
            <v>100</v>
          </cell>
          <cell r="HI290">
            <v>100</v>
          </cell>
          <cell r="HK290">
            <v>100</v>
          </cell>
          <cell r="HL290">
            <v>100</v>
          </cell>
          <cell r="HN290">
            <v>100</v>
          </cell>
          <cell r="HO290">
            <v>100</v>
          </cell>
          <cell r="HQ290">
            <v>100</v>
          </cell>
          <cell r="HR290">
            <v>100</v>
          </cell>
          <cell r="HT290">
            <v>100</v>
          </cell>
          <cell r="HU290">
            <v>100</v>
          </cell>
          <cell r="HW290">
            <v>100</v>
          </cell>
          <cell r="HX290">
            <v>100</v>
          </cell>
          <cell r="HZ290">
            <v>100</v>
          </cell>
          <cell r="IA290">
            <v>100</v>
          </cell>
          <cell r="IC290">
            <v>100</v>
          </cell>
          <cell r="ID290">
            <v>100</v>
          </cell>
          <cell r="IF290">
            <v>100</v>
          </cell>
        </row>
        <row r="291">
          <cell r="GP291" t="str">
            <v xml:space="preserve">Plant Dependant MCCs - </v>
          </cell>
          <cell r="GQ291">
            <v>100</v>
          </cell>
          <cell r="GS291">
            <v>100</v>
          </cell>
          <cell r="GT291">
            <v>100</v>
          </cell>
          <cell r="GV291">
            <v>100</v>
          </cell>
          <cell r="GW291">
            <v>100</v>
          </cell>
          <cell r="GY291">
            <v>100</v>
          </cell>
          <cell r="GZ291">
            <v>100</v>
          </cell>
          <cell r="HB291">
            <v>100</v>
          </cell>
          <cell r="HC291">
            <v>100</v>
          </cell>
          <cell r="HE291">
            <v>100</v>
          </cell>
          <cell r="HF291">
            <v>100</v>
          </cell>
          <cell r="HH291">
            <v>100</v>
          </cell>
          <cell r="HI291">
            <v>100</v>
          </cell>
          <cell r="HK291">
            <v>100</v>
          </cell>
          <cell r="HL291">
            <v>100</v>
          </cell>
          <cell r="HN291">
            <v>100</v>
          </cell>
          <cell r="HO291">
            <v>100</v>
          </cell>
          <cell r="HQ291">
            <v>100</v>
          </cell>
          <cell r="HR291">
            <v>100</v>
          </cell>
          <cell r="HT291">
            <v>100</v>
          </cell>
          <cell r="HU291">
            <v>100</v>
          </cell>
          <cell r="HW291">
            <v>100</v>
          </cell>
          <cell r="HX291">
            <v>100</v>
          </cell>
          <cell r="HZ291">
            <v>100</v>
          </cell>
          <cell r="IA291">
            <v>100</v>
          </cell>
          <cell r="IC291">
            <v>100</v>
          </cell>
          <cell r="ID291">
            <v>100</v>
          </cell>
          <cell r="IF291">
            <v>100</v>
          </cell>
        </row>
        <row r="292">
          <cell r="GP292" t="str">
            <v>Station Service Transformers Type 1</v>
          </cell>
          <cell r="GQ292">
            <v>500</v>
          </cell>
          <cell r="GS292">
            <v>500</v>
          </cell>
          <cell r="GT292">
            <v>500</v>
          </cell>
          <cell r="GV292">
            <v>500</v>
          </cell>
          <cell r="GW292">
            <v>500</v>
          </cell>
          <cell r="GY292">
            <v>500</v>
          </cell>
          <cell r="GZ292">
            <v>500</v>
          </cell>
          <cell r="HB292">
            <v>500</v>
          </cell>
          <cell r="HC292">
            <v>500</v>
          </cell>
          <cell r="HE292">
            <v>500</v>
          </cell>
          <cell r="HF292">
            <v>500</v>
          </cell>
          <cell r="HH292">
            <v>500</v>
          </cell>
          <cell r="HI292">
            <v>500</v>
          </cell>
          <cell r="HK292">
            <v>500</v>
          </cell>
          <cell r="HL292">
            <v>500</v>
          </cell>
          <cell r="HN292">
            <v>500</v>
          </cell>
          <cell r="HO292">
            <v>500</v>
          </cell>
          <cell r="HQ292">
            <v>500</v>
          </cell>
          <cell r="HR292">
            <v>500</v>
          </cell>
          <cell r="HT292">
            <v>500</v>
          </cell>
          <cell r="HU292">
            <v>500</v>
          </cell>
          <cell r="HW292">
            <v>500</v>
          </cell>
          <cell r="HX292">
            <v>500</v>
          </cell>
          <cell r="HZ292">
            <v>500</v>
          </cell>
          <cell r="IA292">
            <v>500</v>
          </cell>
          <cell r="IC292">
            <v>500</v>
          </cell>
          <cell r="ID292">
            <v>500</v>
          </cell>
          <cell r="IF292">
            <v>500</v>
          </cell>
        </row>
        <row r="293">
          <cell r="GP293" t="str">
            <v>Station Service Transformers Type 2</v>
          </cell>
          <cell r="GQ293">
            <v>500</v>
          </cell>
          <cell r="GS293">
            <v>500</v>
          </cell>
          <cell r="GT293">
            <v>500</v>
          </cell>
          <cell r="GV293">
            <v>500</v>
          </cell>
          <cell r="GW293">
            <v>500</v>
          </cell>
          <cell r="GY293">
            <v>500</v>
          </cell>
          <cell r="GZ293">
            <v>500</v>
          </cell>
          <cell r="HB293">
            <v>500</v>
          </cell>
          <cell r="HC293">
            <v>500</v>
          </cell>
          <cell r="HE293">
            <v>500</v>
          </cell>
          <cell r="HF293">
            <v>500</v>
          </cell>
          <cell r="HH293">
            <v>500</v>
          </cell>
          <cell r="HI293">
            <v>500</v>
          </cell>
          <cell r="HK293">
            <v>500</v>
          </cell>
          <cell r="HL293">
            <v>500</v>
          </cell>
          <cell r="HN293">
            <v>500</v>
          </cell>
          <cell r="HO293">
            <v>500</v>
          </cell>
          <cell r="HQ293">
            <v>500</v>
          </cell>
          <cell r="HR293">
            <v>500</v>
          </cell>
          <cell r="HT293">
            <v>500</v>
          </cell>
          <cell r="HU293">
            <v>500</v>
          </cell>
          <cell r="HW293">
            <v>500</v>
          </cell>
          <cell r="HX293">
            <v>500</v>
          </cell>
          <cell r="HZ293">
            <v>500</v>
          </cell>
          <cell r="IA293">
            <v>500</v>
          </cell>
          <cell r="IC293">
            <v>500</v>
          </cell>
          <cell r="ID293">
            <v>500</v>
          </cell>
          <cell r="IF293">
            <v>500</v>
          </cell>
        </row>
        <row r="294">
          <cell r="GP294" t="str">
            <v>Station Service Transformers Type 3</v>
          </cell>
          <cell r="GQ294">
            <v>500</v>
          </cell>
          <cell r="GS294">
            <v>500</v>
          </cell>
          <cell r="GT294">
            <v>500</v>
          </cell>
          <cell r="GV294">
            <v>500</v>
          </cell>
          <cell r="GW294">
            <v>500</v>
          </cell>
          <cell r="GY294">
            <v>500</v>
          </cell>
          <cell r="GZ294">
            <v>500</v>
          </cell>
          <cell r="HB294">
            <v>500</v>
          </cell>
          <cell r="HC294">
            <v>500</v>
          </cell>
          <cell r="HE294">
            <v>500</v>
          </cell>
          <cell r="HF294">
            <v>500</v>
          </cell>
          <cell r="HH294">
            <v>500</v>
          </cell>
          <cell r="HI294">
            <v>500</v>
          </cell>
          <cell r="HK294">
            <v>500</v>
          </cell>
          <cell r="HL294">
            <v>500</v>
          </cell>
          <cell r="HN294">
            <v>500</v>
          </cell>
          <cell r="HO294">
            <v>500</v>
          </cell>
          <cell r="HQ294">
            <v>500</v>
          </cell>
          <cell r="HR294">
            <v>500</v>
          </cell>
          <cell r="HT294">
            <v>500</v>
          </cell>
          <cell r="HU294">
            <v>500</v>
          </cell>
          <cell r="HW294">
            <v>500</v>
          </cell>
          <cell r="HX294">
            <v>500</v>
          </cell>
          <cell r="HZ294">
            <v>500</v>
          </cell>
          <cell r="IA294">
            <v>500</v>
          </cell>
          <cell r="IC294">
            <v>500</v>
          </cell>
          <cell r="ID294">
            <v>500</v>
          </cell>
          <cell r="IF294">
            <v>500</v>
          </cell>
        </row>
        <row r="295">
          <cell r="GP295" t="str">
            <v>Station Service Transformers Type 4</v>
          </cell>
          <cell r="GQ295">
            <v>500</v>
          </cell>
          <cell r="GS295">
            <v>500</v>
          </cell>
          <cell r="GT295">
            <v>500</v>
          </cell>
          <cell r="GV295">
            <v>500</v>
          </cell>
          <cell r="GW295">
            <v>500</v>
          </cell>
          <cell r="GY295">
            <v>500</v>
          </cell>
          <cell r="GZ295">
            <v>500</v>
          </cell>
          <cell r="HB295">
            <v>500</v>
          </cell>
          <cell r="HC295">
            <v>500</v>
          </cell>
          <cell r="HE295">
            <v>500</v>
          </cell>
          <cell r="HF295">
            <v>500</v>
          </cell>
          <cell r="HH295">
            <v>500</v>
          </cell>
          <cell r="HI295">
            <v>500</v>
          </cell>
          <cell r="HK295">
            <v>500</v>
          </cell>
          <cell r="HL295">
            <v>500</v>
          </cell>
          <cell r="HN295">
            <v>500</v>
          </cell>
          <cell r="HO295">
            <v>500</v>
          </cell>
          <cell r="HQ295">
            <v>500</v>
          </cell>
          <cell r="HR295">
            <v>500</v>
          </cell>
          <cell r="HT295">
            <v>500</v>
          </cell>
          <cell r="HU295">
            <v>500</v>
          </cell>
          <cell r="HW295">
            <v>500</v>
          </cell>
          <cell r="HX295">
            <v>500</v>
          </cell>
          <cell r="HZ295">
            <v>500</v>
          </cell>
          <cell r="IA295">
            <v>500</v>
          </cell>
          <cell r="IC295">
            <v>500</v>
          </cell>
          <cell r="ID295">
            <v>500</v>
          </cell>
          <cell r="IF295">
            <v>500</v>
          </cell>
        </row>
        <row r="296">
          <cell r="GP296" t="str">
            <v>Emergency 500 kW Diesel Generator</v>
          </cell>
          <cell r="GQ296">
            <v>2500</v>
          </cell>
          <cell r="GR296">
            <v>2500</v>
          </cell>
          <cell r="GS296">
            <v>2500</v>
          </cell>
          <cell r="GT296">
            <v>2500</v>
          </cell>
          <cell r="GU296">
            <v>2500</v>
          </cell>
          <cell r="GV296">
            <v>2500</v>
          </cell>
          <cell r="GW296">
            <v>2500</v>
          </cell>
          <cell r="GX296">
            <v>2500</v>
          </cell>
          <cell r="GY296">
            <v>2500</v>
          </cell>
          <cell r="GZ296">
            <v>2500</v>
          </cell>
          <cell r="HA296">
            <v>2500</v>
          </cell>
          <cell r="HB296">
            <v>2500</v>
          </cell>
          <cell r="HC296">
            <v>2500</v>
          </cell>
          <cell r="HD296">
            <v>2500</v>
          </cell>
          <cell r="HE296">
            <v>2500</v>
          </cell>
          <cell r="HF296">
            <v>2500</v>
          </cell>
          <cell r="HG296">
            <v>2500</v>
          </cell>
          <cell r="HH296">
            <v>2500</v>
          </cell>
          <cell r="HI296">
            <v>2500</v>
          </cell>
          <cell r="HJ296">
            <v>2500</v>
          </cell>
          <cell r="HK296">
            <v>2500</v>
          </cell>
          <cell r="HL296">
            <v>2500</v>
          </cell>
          <cell r="HM296">
            <v>2500</v>
          </cell>
          <cell r="HN296">
            <v>2500</v>
          </cell>
          <cell r="HO296">
            <v>2500</v>
          </cell>
          <cell r="HP296">
            <v>2500</v>
          </cell>
          <cell r="HQ296">
            <v>2500</v>
          </cell>
          <cell r="HR296">
            <v>2500</v>
          </cell>
          <cell r="HS296">
            <v>2500</v>
          </cell>
          <cell r="HT296">
            <v>2500</v>
          </cell>
          <cell r="HU296">
            <v>2500</v>
          </cell>
          <cell r="HV296">
            <v>2500</v>
          </cell>
          <cell r="HW296">
            <v>2500</v>
          </cell>
          <cell r="HX296">
            <v>2500</v>
          </cell>
          <cell r="HY296">
            <v>2500</v>
          </cell>
          <cell r="HZ296">
            <v>2500</v>
          </cell>
          <cell r="IA296">
            <v>2500</v>
          </cell>
          <cell r="IB296">
            <v>2500</v>
          </cell>
          <cell r="IC296">
            <v>2500</v>
          </cell>
          <cell r="ID296">
            <v>2500</v>
          </cell>
          <cell r="IE296">
            <v>2500</v>
          </cell>
          <cell r="IF296">
            <v>2500</v>
          </cell>
        </row>
        <row r="297">
          <cell r="GP297" t="str">
            <v>Emergency 750 kW Diesel Generator</v>
          </cell>
          <cell r="GQ297">
            <v>2500</v>
          </cell>
          <cell r="GR297">
            <v>3750</v>
          </cell>
          <cell r="GS297">
            <v>3750</v>
          </cell>
          <cell r="GT297">
            <v>2500</v>
          </cell>
          <cell r="GU297">
            <v>3750</v>
          </cell>
          <cell r="GV297">
            <v>3750</v>
          </cell>
          <cell r="GW297">
            <v>2500</v>
          </cell>
          <cell r="GX297">
            <v>3750</v>
          </cell>
          <cell r="GY297">
            <v>3750</v>
          </cell>
          <cell r="GZ297">
            <v>2500</v>
          </cell>
          <cell r="HA297">
            <v>3750</v>
          </cell>
          <cell r="HB297">
            <v>3750</v>
          </cell>
          <cell r="HC297">
            <v>2500</v>
          </cell>
          <cell r="HD297">
            <v>3750</v>
          </cell>
          <cell r="HE297">
            <v>3750</v>
          </cell>
          <cell r="HF297">
            <v>2500</v>
          </cell>
          <cell r="HG297">
            <v>3750</v>
          </cell>
          <cell r="HH297">
            <v>3750</v>
          </cell>
          <cell r="HI297">
            <v>2500</v>
          </cell>
          <cell r="HJ297">
            <v>3750</v>
          </cell>
          <cell r="HK297">
            <v>3750</v>
          </cell>
          <cell r="HL297">
            <v>2500</v>
          </cell>
          <cell r="HM297">
            <v>3750</v>
          </cell>
          <cell r="HN297">
            <v>3750</v>
          </cell>
          <cell r="HO297">
            <v>2500</v>
          </cell>
          <cell r="HP297">
            <v>3750</v>
          </cell>
          <cell r="HQ297">
            <v>3750</v>
          </cell>
          <cell r="HR297">
            <v>2500</v>
          </cell>
          <cell r="HS297">
            <v>3750</v>
          </cell>
          <cell r="HT297">
            <v>3750</v>
          </cell>
          <cell r="HU297">
            <v>2500</v>
          </cell>
          <cell r="HV297">
            <v>3750</v>
          </cell>
          <cell r="HW297">
            <v>3750</v>
          </cell>
          <cell r="HX297">
            <v>2500</v>
          </cell>
          <cell r="HY297">
            <v>3750</v>
          </cell>
          <cell r="HZ297">
            <v>3750</v>
          </cell>
          <cell r="IA297">
            <v>2500</v>
          </cell>
          <cell r="IB297">
            <v>3750</v>
          </cell>
          <cell r="IC297">
            <v>3750</v>
          </cell>
          <cell r="ID297">
            <v>2500</v>
          </cell>
          <cell r="IE297">
            <v>3750</v>
          </cell>
          <cell r="IF297">
            <v>3750</v>
          </cell>
        </row>
        <row r="298">
          <cell r="GP298" t="str">
            <v>Emergency 1000 kW Diesel Generator</v>
          </cell>
          <cell r="GQ298">
            <v>2500</v>
          </cell>
          <cell r="GR298">
            <v>5000</v>
          </cell>
          <cell r="GS298">
            <v>5000</v>
          </cell>
          <cell r="GT298">
            <v>2500</v>
          </cell>
          <cell r="GU298">
            <v>5000</v>
          </cell>
          <cell r="GV298">
            <v>5000</v>
          </cell>
          <cell r="GW298">
            <v>2500</v>
          </cell>
          <cell r="GX298">
            <v>5000</v>
          </cell>
          <cell r="GY298">
            <v>5000</v>
          </cell>
          <cell r="GZ298">
            <v>2500</v>
          </cell>
          <cell r="HA298">
            <v>5000</v>
          </cell>
          <cell r="HB298">
            <v>5000</v>
          </cell>
          <cell r="HC298">
            <v>2500</v>
          </cell>
          <cell r="HD298">
            <v>5000</v>
          </cell>
          <cell r="HE298">
            <v>5000</v>
          </cell>
          <cell r="HF298">
            <v>2500</v>
          </cell>
          <cell r="HG298">
            <v>5000</v>
          </cell>
          <cell r="HH298">
            <v>5000</v>
          </cell>
          <cell r="HI298">
            <v>2500</v>
          </cell>
          <cell r="HJ298">
            <v>5000</v>
          </cell>
          <cell r="HK298">
            <v>5000</v>
          </cell>
          <cell r="HL298">
            <v>2500</v>
          </cell>
          <cell r="HM298">
            <v>5000</v>
          </cell>
          <cell r="HN298">
            <v>5000</v>
          </cell>
          <cell r="HO298">
            <v>2500</v>
          </cell>
          <cell r="HP298">
            <v>5000</v>
          </cell>
          <cell r="HQ298">
            <v>5000</v>
          </cell>
          <cell r="HR298">
            <v>2500</v>
          </cell>
          <cell r="HS298">
            <v>5000</v>
          </cell>
          <cell r="HT298">
            <v>5000</v>
          </cell>
          <cell r="HU298">
            <v>2500</v>
          </cell>
          <cell r="HV298">
            <v>5000</v>
          </cell>
          <cell r="HW298">
            <v>5000</v>
          </cell>
          <cell r="HX298">
            <v>2500</v>
          </cell>
          <cell r="HY298">
            <v>5000</v>
          </cell>
          <cell r="HZ298">
            <v>5000</v>
          </cell>
          <cell r="IA298">
            <v>2500</v>
          </cell>
          <cell r="IB298">
            <v>5000</v>
          </cell>
          <cell r="IC298">
            <v>5000</v>
          </cell>
          <cell r="ID298">
            <v>2500</v>
          </cell>
          <cell r="IE298">
            <v>5000</v>
          </cell>
          <cell r="IF298">
            <v>5000</v>
          </cell>
        </row>
        <row r="299">
          <cell r="GP299" t="str">
            <v>Emergency 1250 kW Diesel Generator</v>
          </cell>
          <cell r="GQ299">
            <v>2500</v>
          </cell>
          <cell r="GR299">
            <v>6250</v>
          </cell>
          <cell r="GS299">
            <v>6250</v>
          </cell>
          <cell r="GT299">
            <v>2500</v>
          </cell>
          <cell r="GU299">
            <v>6250</v>
          </cell>
          <cell r="GV299">
            <v>6250</v>
          </cell>
          <cell r="GW299">
            <v>2500</v>
          </cell>
          <cell r="GX299">
            <v>6250</v>
          </cell>
          <cell r="GY299">
            <v>6250</v>
          </cell>
          <cell r="GZ299">
            <v>2500</v>
          </cell>
          <cell r="HA299">
            <v>6250</v>
          </cell>
          <cell r="HB299">
            <v>6250</v>
          </cell>
          <cell r="HC299">
            <v>2500</v>
          </cell>
          <cell r="HD299">
            <v>6250</v>
          </cell>
          <cell r="HE299">
            <v>6250</v>
          </cell>
          <cell r="HF299">
            <v>2500</v>
          </cell>
          <cell r="HG299">
            <v>6250</v>
          </cell>
          <cell r="HH299">
            <v>6250</v>
          </cell>
          <cell r="HI299">
            <v>2500</v>
          </cell>
          <cell r="HJ299">
            <v>6250</v>
          </cell>
          <cell r="HK299">
            <v>6250</v>
          </cell>
          <cell r="HL299">
            <v>2500</v>
          </cell>
          <cell r="HM299">
            <v>6250</v>
          </cell>
          <cell r="HN299">
            <v>6250</v>
          </cell>
          <cell r="HO299">
            <v>2500</v>
          </cell>
          <cell r="HP299">
            <v>6250</v>
          </cell>
          <cell r="HQ299">
            <v>6250</v>
          </cell>
          <cell r="HR299">
            <v>2500</v>
          </cell>
          <cell r="HS299">
            <v>6250</v>
          </cell>
          <cell r="HT299">
            <v>6250</v>
          </cell>
          <cell r="HU299">
            <v>2500</v>
          </cell>
          <cell r="HV299">
            <v>6250</v>
          </cell>
          <cell r="HW299">
            <v>6250</v>
          </cell>
          <cell r="HX299">
            <v>2500</v>
          </cell>
          <cell r="HY299">
            <v>6250</v>
          </cell>
          <cell r="HZ299">
            <v>6250</v>
          </cell>
          <cell r="IA299">
            <v>2500</v>
          </cell>
          <cell r="IB299">
            <v>6250</v>
          </cell>
          <cell r="IC299">
            <v>6250</v>
          </cell>
          <cell r="ID299">
            <v>2500</v>
          </cell>
          <cell r="IE299">
            <v>6250</v>
          </cell>
          <cell r="IF299">
            <v>6250</v>
          </cell>
        </row>
        <row r="300">
          <cell r="GP300" t="str">
            <v>Emergency 1500 kW Diesel Generator</v>
          </cell>
          <cell r="GQ300">
            <v>2500</v>
          </cell>
          <cell r="GR300">
            <v>7500</v>
          </cell>
          <cell r="GS300">
            <v>7500</v>
          </cell>
          <cell r="GT300">
            <v>2500</v>
          </cell>
          <cell r="GU300">
            <v>7500</v>
          </cell>
          <cell r="GV300">
            <v>7500</v>
          </cell>
          <cell r="GW300">
            <v>2500</v>
          </cell>
          <cell r="GX300">
            <v>7500</v>
          </cell>
          <cell r="GY300">
            <v>7500</v>
          </cell>
          <cell r="GZ300">
            <v>2500</v>
          </cell>
          <cell r="HA300">
            <v>7500</v>
          </cell>
          <cell r="HB300">
            <v>7500</v>
          </cell>
          <cell r="HC300">
            <v>2500</v>
          </cell>
          <cell r="HD300">
            <v>7500</v>
          </cell>
          <cell r="HE300">
            <v>7500</v>
          </cell>
          <cell r="HF300">
            <v>2500</v>
          </cell>
          <cell r="HG300">
            <v>7500</v>
          </cell>
          <cell r="HH300">
            <v>7500</v>
          </cell>
          <cell r="HI300">
            <v>2500</v>
          </cell>
          <cell r="HJ300">
            <v>7500</v>
          </cell>
          <cell r="HK300">
            <v>7500</v>
          </cell>
          <cell r="HL300">
            <v>2500</v>
          </cell>
          <cell r="HM300">
            <v>7500</v>
          </cell>
          <cell r="HN300">
            <v>7500</v>
          </cell>
          <cell r="HO300">
            <v>2500</v>
          </cell>
          <cell r="HP300">
            <v>7500</v>
          </cell>
          <cell r="HQ300">
            <v>7500</v>
          </cell>
          <cell r="HR300">
            <v>2500</v>
          </cell>
          <cell r="HS300">
            <v>7500</v>
          </cell>
          <cell r="HT300">
            <v>7500</v>
          </cell>
          <cell r="HU300">
            <v>2500</v>
          </cell>
          <cell r="HV300">
            <v>7500</v>
          </cell>
          <cell r="HW300">
            <v>7500</v>
          </cell>
          <cell r="HX300">
            <v>2500</v>
          </cell>
          <cell r="HY300">
            <v>7500</v>
          </cell>
          <cell r="HZ300">
            <v>7500</v>
          </cell>
          <cell r="IA300">
            <v>2500</v>
          </cell>
          <cell r="IB300">
            <v>7500</v>
          </cell>
          <cell r="IC300">
            <v>7500</v>
          </cell>
          <cell r="ID300">
            <v>2500</v>
          </cell>
          <cell r="IE300">
            <v>7500</v>
          </cell>
          <cell r="IF300">
            <v>7500</v>
          </cell>
        </row>
        <row r="301">
          <cell r="GP301" t="str">
            <v>Emergency 2000 kW Diesel Generator</v>
          </cell>
          <cell r="GQ301">
            <v>2500</v>
          </cell>
          <cell r="GR301">
            <v>10000</v>
          </cell>
          <cell r="GS301">
            <v>10000</v>
          </cell>
          <cell r="GT301">
            <v>2500</v>
          </cell>
          <cell r="GU301">
            <v>10000</v>
          </cell>
          <cell r="GV301">
            <v>10000</v>
          </cell>
          <cell r="GW301">
            <v>2500</v>
          </cell>
          <cell r="GX301">
            <v>10000</v>
          </cell>
          <cell r="GY301">
            <v>10000</v>
          </cell>
          <cell r="GZ301">
            <v>2500</v>
          </cell>
          <cell r="HA301">
            <v>10000</v>
          </cell>
          <cell r="HB301">
            <v>10000</v>
          </cell>
          <cell r="HC301">
            <v>2500</v>
          </cell>
          <cell r="HD301">
            <v>10000</v>
          </cell>
          <cell r="HE301">
            <v>10000</v>
          </cell>
          <cell r="HF301">
            <v>2500</v>
          </cell>
          <cell r="HG301">
            <v>10000</v>
          </cell>
          <cell r="HH301">
            <v>10000</v>
          </cell>
          <cell r="HI301">
            <v>2500</v>
          </cell>
          <cell r="HJ301">
            <v>10000</v>
          </cell>
          <cell r="HK301">
            <v>10000</v>
          </cell>
          <cell r="HL301">
            <v>2500</v>
          </cell>
          <cell r="HM301">
            <v>10000</v>
          </cell>
          <cell r="HN301">
            <v>10000</v>
          </cell>
          <cell r="HO301">
            <v>2500</v>
          </cell>
          <cell r="HP301">
            <v>10000</v>
          </cell>
          <cell r="HQ301">
            <v>10000</v>
          </cell>
          <cell r="HR301">
            <v>2500</v>
          </cell>
          <cell r="HS301">
            <v>10000</v>
          </cell>
          <cell r="HT301">
            <v>10000</v>
          </cell>
          <cell r="HU301">
            <v>2500</v>
          </cell>
          <cell r="HV301">
            <v>10000</v>
          </cell>
          <cell r="HW301">
            <v>10000</v>
          </cell>
          <cell r="HX301">
            <v>2500</v>
          </cell>
          <cell r="HY301">
            <v>10000</v>
          </cell>
          <cell r="HZ301">
            <v>10000</v>
          </cell>
          <cell r="IA301">
            <v>2500</v>
          </cell>
          <cell r="IB301">
            <v>10000</v>
          </cell>
          <cell r="IC301">
            <v>10000</v>
          </cell>
          <cell r="ID301">
            <v>2500</v>
          </cell>
          <cell r="IE301">
            <v>10000</v>
          </cell>
          <cell r="IF301">
            <v>10000</v>
          </cell>
        </row>
        <row r="302">
          <cell r="GP302" t="str">
            <v>Black Start Diesel Generator</v>
          </cell>
          <cell r="GQ302">
            <v>0</v>
          </cell>
          <cell r="GS302">
            <v>0</v>
          </cell>
          <cell r="GT302">
            <v>0</v>
          </cell>
          <cell r="GV302">
            <v>0</v>
          </cell>
          <cell r="GW302">
            <v>0</v>
          </cell>
          <cell r="GY302">
            <v>0</v>
          </cell>
          <cell r="GZ302">
            <v>0</v>
          </cell>
          <cell r="HB302">
            <v>0</v>
          </cell>
          <cell r="HC302">
            <v>0</v>
          </cell>
          <cell r="HE302">
            <v>0</v>
          </cell>
          <cell r="HF302">
            <v>0</v>
          </cell>
          <cell r="HH302">
            <v>0</v>
          </cell>
          <cell r="HI302">
            <v>0</v>
          </cell>
          <cell r="HK302">
            <v>0</v>
          </cell>
          <cell r="HL302">
            <v>0</v>
          </cell>
          <cell r="HN302">
            <v>0</v>
          </cell>
          <cell r="HO302">
            <v>0</v>
          </cell>
          <cell r="HQ302">
            <v>0</v>
          </cell>
          <cell r="HR302">
            <v>0</v>
          </cell>
          <cell r="HT302">
            <v>0</v>
          </cell>
          <cell r="HU302">
            <v>0</v>
          </cell>
          <cell r="HW302">
            <v>0</v>
          </cell>
          <cell r="HX302">
            <v>0</v>
          </cell>
          <cell r="HZ302">
            <v>0</v>
          </cell>
          <cell r="IA302">
            <v>0</v>
          </cell>
          <cell r="IC302">
            <v>0</v>
          </cell>
          <cell r="ID302">
            <v>0</v>
          </cell>
          <cell r="IF302">
            <v>0</v>
          </cell>
        </row>
        <row r="303">
          <cell r="GP303">
            <v>0</v>
          </cell>
          <cell r="GS303">
            <v>0</v>
          </cell>
          <cell r="GV303">
            <v>0</v>
          </cell>
          <cell r="GY303">
            <v>0</v>
          </cell>
          <cell r="HB303">
            <v>0</v>
          </cell>
          <cell r="HE303">
            <v>0</v>
          </cell>
          <cell r="HH303">
            <v>0</v>
          </cell>
          <cell r="HK303">
            <v>0</v>
          </cell>
          <cell r="HN303">
            <v>0</v>
          </cell>
          <cell r="HQ303">
            <v>0</v>
          </cell>
          <cell r="HT303">
            <v>0</v>
          </cell>
          <cell r="HW303">
            <v>0</v>
          </cell>
          <cell r="HZ303">
            <v>0</v>
          </cell>
          <cell r="IC303">
            <v>0</v>
          </cell>
          <cell r="IF303">
            <v>0</v>
          </cell>
        </row>
        <row r="304">
          <cell r="GP304" t="str">
            <v>MV MCC</v>
          </cell>
          <cell r="GQ304">
            <v>100</v>
          </cell>
          <cell r="GS304">
            <v>100</v>
          </cell>
          <cell r="GT304">
            <v>100</v>
          </cell>
          <cell r="GV304">
            <v>100</v>
          </cell>
          <cell r="GW304">
            <v>100</v>
          </cell>
          <cell r="GY304">
            <v>100</v>
          </cell>
          <cell r="GZ304">
            <v>100</v>
          </cell>
          <cell r="HB304">
            <v>100</v>
          </cell>
          <cell r="HC304">
            <v>100</v>
          </cell>
          <cell r="HE304">
            <v>100</v>
          </cell>
          <cell r="HF304">
            <v>100</v>
          </cell>
          <cell r="HH304">
            <v>100</v>
          </cell>
          <cell r="HI304">
            <v>100</v>
          </cell>
          <cell r="HK304">
            <v>100</v>
          </cell>
          <cell r="HL304">
            <v>100</v>
          </cell>
          <cell r="HN304">
            <v>100</v>
          </cell>
          <cell r="HO304">
            <v>100</v>
          </cell>
          <cell r="HQ304">
            <v>100</v>
          </cell>
          <cell r="HR304">
            <v>100</v>
          </cell>
          <cell r="HT304">
            <v>100</v>
          </cell>
          <cell r="HU304">
            <v>100</v>
          </cell>
          <cell r="HW304">
            <v>100</v>
          </cell>
          <cell r="HX304">
            <v>100</v>
          </cell>
          <cell r="HZ304">
            <v>100</v>
          </cell>
          <cell r="IA304">
            <v>100</v>
          </cell>
          <cell r="IC304">
            <v>100</v>
          </cell>
          <cell r="ID304">
            <v>100</v>
          </cell>
          <cell r="IF304">
            <v>100</v>
          </cell>
        </row>
        <row r="305">
          <cell r="GP305" t="str">
            <v>4.16 kV Non segregated Bus Type 1</v>
          </cell>
          <cell r="GQ305">
            <v>200</v>
          </cell>
          <cell r="GS305">
            <v>200</v>
          </cell>
          <cell r="GT305">
            <v>200</v>
          </cell>
          <cell r="GV305">
            <v>200</v>
          </cell>
          <cell r="GW305">
            <v>200</v>
          </cell>
          <cell r="GY305">
            <v>200</v>
          </cell>
          <cell r="GZ305">
            <v>200</v>
          </cell>
          <cell r="HB305">
            <v>200</v>
          </cell>
          <cell r="HC305">
            <v>200</v>
          </cell>
          <cell r="HE305">
            <v>200</v>
          </cell>
          <cell r="HF305">
            <v>200</v>
          </cell>
          <cell r="HH305">
            <v>200</v>
          </cell>
          <cell r="HI305">
            <v>200</v>
          </cell>
          <cell r="HK305">
            <v>200</v>
          </cell>
          <cell r="HL305">
            <v>200</v>
          </cell>
          <cell r="HN305">
            <v>200</v>
          </cell>
          <cell r="HO305">
            <v>200</v>
          </cell>
          <cell r="HQ305">
            <v>200</v>
          </cell>
          <cell r="HR305">
            <v>200</v>
          </cell>
          <cell r="HT305">
            <v>200</v>
          </cell>
          <cell r="HU305">
            <v>200</v>
          </cell>
          <cell r="HW305">
            <v>200</v>
          </cell>
          <cell r="HX305">
            <v>200</v>
          </cell>
          <cell r="HZ305">
            <v>200</v>
          </cell>
          <cell r="IA305">
            <v>200</v>
          </cell>
          <cell r="IC305">
            <v>200</v>
          </cell>
          <cell r="ID305">
            <v>200</v>
          </cell>
          <cell r="IF305">
            <v>200</v>
          </cell>
        </row>
        <row r="306">
          <cell r="GP306" t="str">
            <v>4.16 kV Non segregated Bus Type 2</v>
          </cell>
          <cell r="GQ306">
            <v>200</v>
          </cell>
          <cell r="GS306">
            <v>200</v>
          </cell>
          <cell r="GT306">
            <v>200</v>
          </cell>
          <cell r="GV306">
            <v>200</v>
          </cell>
          <cell r="GW306">
            <v>200</v>
          </cell>
          <cell r="GY306">
            <v>200</v>
          </cell>
          <cell r="GZ306">
            <v>200</v>
          </cell>
          <cell r="HB306">
            <v>200</v>
          </cell>
          <cell r="HC306">
            <v>200</v>
          </cell>
          <cell r="HE306">
            <v>200</v>
          </cell>
          <cell r="HF306">
            <v>200</v>
          </cell>
          <cell r="HH306">
            <v>200</v>
          </cell>
          <cell r="HI306">
            <v>200</v>
          </cell>
          <cell r="HK306">
            <v>200</v>
          </cell>
          <cell r="HL306">
            <v>200</v>
          </cell>
          <cell r="HN306">
            <v>200</v>
          </cell>
          <cell r="HO306">
            <v>200</v>
          </cell>
          <cell r="HQ306">
            <v>200</v>
          </cell>
          <cell r="HR306">
            <v>200</v>
          </cell>
          <cell r="HT306">
            <v>200</v>
          </cell>
          <cell r="HU306">
            <v>200</v>
          </cell>
          <cell r="HW306">
            <v>200</v>
          </cell>
          <cell r="HX306">
            <v>200</v>
          </cell>
          <cell r="HZ306">
            <v>200</v>
          </cell>
          <cell r="IA306">
            <v>200</v>
          </cell>
          <cell r="IC306">
            <v>200</v>
          </cell>
          <cell r="ID306">
            <v>200</v>
          </cell>
          <cell r="IF306">
            <v>200</v>
          </cell>
        </row>
        <row r="307">
          <cell r="GP307" t="str">
            <v>4.16 kV Non segregated Bus Type 3</v>
          </cell>
          <cell r="GQ307">
            <v>200</v>
          </cell>
          <cell r="GS307">
            <v>200</v>
          </cell>
          <cell r="GT307">
            <v>200</v>
          </cell>
          <cell r="GV307">
            <v>200</v>
          </cell>
          <cell r="GW307">
            <v>200</v>
          </cell>
          <cell r="GY307">
            <v>200</v>
          </cell>
          <cell r="GZ307">
            <v>200</v>
          </cell>
          <cell r="HB307">
            <v>200</v>
          </cell>
          <cell r="HC307">
            <v>200</v>
          </cell>
          <cell r="HE307">
            <v>200</v>
          </cell>
          <cell r="HF307">
            <v>200</v>
          </cell>
          <cell r="HH307">
            <v>200</v>
          </cell>
          <cell r="HI307">
            <v>200</v>
          </cell>
          <cell r="HK307">
            <v>200</v>
          </cell>
          <cell r="HL307">
            <v>200</v>
          </cell>
          <cell r="HN307">
            <v>200</v>
          </cell>
          <cell r="HO307">
            <v>200</v>
          </cell>
          <cell r="HQ307">
            <v>200</v>
          </cell>
          <cell r="HR307">
            <v>200</v>
          </cell>
          <cell r="HT307">
            <v>200</v>
          </cell>
          <cell r="HU307">
            <v>200</v>
          </cell>
          <cell r="HW307">
            <v>200</v>
          </cell>
          <cell r="HX307">
            <v>200</v>
          </cell>
          <cell r="HZ307">
            <v>200</v>
          </cell>
          <cell r="IA307">
            <v>200</v>
          </cell>
          <cell r="IC307">
            <v>200</v>
          </cell>
          <cell r="ID307">
            <v>200</v>
          </cell>
          <cell r="IF307">
            <v>200</v>
          </cell>
        </row>
        <row r="308">
          <cell r="GP308" t="str">
            <v>4.16 kV Non segregated Bus Type 4</v>
          </cell>
          <cell r="GQ308">
            <v>200</v>
          </cell>
          <cell r="GS308">
            <v>200</v>
          </cell>
          <cell r="GT308">
            <v>200</v>
          </cell>
          <cell r="GV308">
            <v>200</v>
          </cell>
          <cell r="GW308">
            <v>200</v>
          </cell>
          <cell r="GY308">
            <v>200</v>
          </cell>
          <cell r="GZ308">
            <v>200</v>
          </cell>
          <cell r="HB308">
            <v>200</v>
          </cell>
          <cell r="HC308">
            <v>200</v>
          </cell>
          <cell r="HE308">
            <v>200</v>
          </cell>
          <cell r="HF308">
            <v>200</v>
          </cell>
          <cell r="HH308">
            <v>200</v>
          </cell>
          <cell r="HI308">
            <v>200</v>
          </cell>
          <cell r="HK308">
            <v>200</v>
          </cell>
          <cell r="HL308">
            <v>200</v>
          </cell>
          <cell r="HN308">
            <v>200</v>
          </cell>
          <cell r="HO308">
            <v>200</v>
          </cell>
          <cell r="HQ308">
            <v>200</v>
          </cell>
          <cell r="HR308">
            <v>200</v>
          </cell>
          <cell r="HT308">
            <v>200</v>
          </cell>
          <cell r="HU308">
            <v>200</v>
          </cell>
          <cell r="HW308">
            <v>200</v>
          </cell>
          <cell r="HX308">
            <v>200</v>
          </cell>
          <cell r="HZ308">
            <v>200</v>
          </cell>
          <cell r="IA308">
            <v>200</v>
          </cell>
          <cell r="IC308">
            <v>200</v>
          </cell>
          <cell r="ID308">
            <v>200</v>
          </cell>
          <cell r="IF308">
            <v>200</v>
          </cell>
        </row>
        <row r="309">
          <cell r="GP309" t="str">
            <v>MV Switchgear</v>
          </cell>
          <cell r="GQ309">
            <v>100</v>
          </cell>
          <cell r="GS309">
            <v>100</v>
          </cell>
          <cell r="GT309">
            <v>100</v>
          </cell>
          <cell r="GV309">
            <v>100</v>
          </cell>
          <cell r="GW309">
            <v>100</v>
          </cell>
          <cell r="GY309">
            <v>100</v>
          </cell>
          <cell r="GZ309">
            <v>100</v>
          </cell>
          <cell r="HB309">
            <v>100</v>
          </cell>
          <cell r="HC309">
            <v>100</v>
          </cell>
          <cell r="HE309">
            <v>100</v>
          </cell>
          <cell r="HF309">
            <v>100</v>
          </cell>
          <cell r="HH309">
            <v>100</v>
          </cell>
          <cell r="HI309">
            <v>100</v>
          </cell>
          <cell r="HK309">
            <v>100</v>
          </cell>
          <cell r="HL309">
            <v>10</v>
          </cell>
          <cell r="HN309">
            <v>10</v>
          </cell>
          <cell r="HO309">
            <v>100</v>
          </cell>
          <cell r="HQ309">
            <v>100</v>
          </cell>
          <cell r="HR309">
            <v>100</v>
          </cell>
          <cell r="HT309">
            <v>100</v>
          </cell>
          <cell r="HU309">
            <v>100</v>
          </cell>
          <cell r="HW309">
            <v>100</v>
          </cell>
          <cell r="HX309">
            <v>100</v>
          </cell>
          <cell r="HZ309">
            <v>100</v>
          </cell>
          <cell r="IA309">
            <v>10</v>
          </cell>
          <cell r="IC309">
            <v>10</v>
          </cell>
          <cell r="ID309">
            <v>100</v>
          </cell>
          <cell r="IF309">
            <v>100</v>
          </cell>
        </row>
        <row r="310">
          <cell r="GP310" t="str">
            <v>STG GSU - Four Case, Four Flow</v>
          </cell>
          <cell r="GQ310">
            <v>2000</v>
          </cell>
          <cell r="GS310">
            <v>2000</v>
          </cell>
          <cell r="GT310">
            <v>2000</v>
          </cell>
          <cell r="GV310">
            <v>2000</v>
          </cell>
          <cell r="GW310">
            <v>2000</v>
          </cell>
          <cell r="GY310">
            <v>2000</v>
          </cell>
          <cell r="GZ310">
            <v>2000</v>
          </cell>
          <cell r="HB310">
            <v>2000</v>
          </cell>
          <cell r="HC310">
            <v>2000</v>
          </cell>
          <cell r="HE310">
            <v>2000</v>
          </cell>
          <cell r="HF310">
            <v>2000</v>
          </cell>
          <cell r="HH310">
            <v>2000</v>
          </cell>
          <cell r="HI310">
            <v>2000</v>
          </cell>
          <cell r="HK310">
            <v>2000</v>
          </cell>
          <cell r="HL310">
            <v>100</v>
          </cell>
          <cell r="HN310">
            <v>100</v>
          </cell>
          <cell r="HO310">
            <v>2000</v>
          </cell>
          <cell r="HQ310">
            <v>2000</v>
          </cell>
          <cell r="HR310">
            <v>2000</v>
          </cell>
          <cell r="HT310">
            <v>2000</v>
          </cell>
          <cell r="HU310">
            <v>2000</v>
          </cell>
          <cell r="HW310">
            <v>2000</v>
          </cell>
          <cell r="HX310">
            <v>2000</v>
          </cell>
          <cell r="HZ310">
            <v>2000</v>
          </cell>
          <cell r="IA310">
            <v>100</v>
          </cell>
          <cell r="IC310">
            <v>100</v>
          </cell>
          <cell r="ID310">
            <v>2000</v>
          </cell>
          <cell r="IF310">
            <v>2000</v>
          </cell>
        </row>
        <row r="311">
          <cell r="GP311" t="str">
            <v>STG GSU - GE - A Series</v>
          </cell>
          <cell r="GQ311">
            <v>1000</v>
          </cell>
          <cell r="GS311">
            <v>1000</v>
          </cell>
          <cell r="GT311">
            <v>1000</v>
          </cell>
          <cell r="GV311">
            <v>1000</v>
          </cell>
          <cell r="GW311">
            <v>1000</v>
          </cell>
          <cell r="GY311">
            <v>1000</v>
          </cell>
          <cell r="GZ311">
            <v>1000</v>
          </cell>
          <cell r="HB311">
            <v>1000</v>
          </cell>
          <cell r="HC311">
            <v>1000</v>
          </cell>
          <cell r="HE311">
            <v>1000</v>
          </cell>
          <cell r="HF311">
            <v>1000</v>
          </cell>
          <cell r="HH311">
            <v>1000</v>
          </cell>
          <cell r="HI311">
            <v>1000</v>
          </cell>
          <cell r="HK311">
            <v>1000</v>
          </cell>
          <cell r="HL311">
            <v>1000</v>
          </cell>
          <cell r="HN311">
            <v>1000</v>
          </cell>
          <cell r="HO311">
            <v>1000</v>
          </cell>
          <cell r="HQ311">
            <v>1000</v>
          </cell>
          <cell r="HR311">
            <v>1000</v>
          </cell>
          <cell r="HT311">
            <v>1000</v>
          </cell>
          <cell r="HU311">
            <v>1000</v>
          </cell>
          <cell r="HW311">
            <v>1000</v>
          </cell>
          <cell r="HX311">
            <v>1000</v>
          </cell>
          <cell r="HZ311">
            <v>1000</v>
          </cell>
          <cell r="IA311">
            <v>1000</v>
          </cell>
          <cell r="IC311">
            <v>1000</v>
          </cell>
          <cell r="ID311">
            <v>1000</v>
          </cell>
          <cell r="IF311">
            <v>1000</v>
          </cell>
        </row>
        <row r="312">
          <cell r="GP312" t="str">
            <v>STG GSU - GE - D Series</v>
          </cell>
          <cell r="GQ312">
            <v>2000</v>
          </cell>
          <cell r="GS312">
            <v>2000</v>
          </cell>
          <cell r="GT312">
            <v>2000</v>
          </cell>
          <cell r="GV312">
            <v>2000</v>
          </cell>
          <cell r="GW312">
            <v>2000</v>
          </cell>
          <cell r="GY312">
            <v>2000</v>
          </cell>
          <cell r="GZ312">
            <v>2000</v>
          </cell>
          <cell r="HB312">
            <v>2000</v>
          </cell>
          <cell r="HC312">
            <v>2000</v>
          </cell>
          <cell r="HE312">
            <v>2000</v>
          </cell>
          <cell r="HF312">
            <v>2000</v>
          </cell>
          <cell r="HH312">
            <v>2000</v>
          </cell>
          <cell r="HI312">
            <v>2000</v>
          </cell>
          <cell r="HK312">
            <v>2000</v>
          </cell>
          <cell r="HL312">
            <v>2000</v>
          </cell>
          <cell r="HN312">
            <v>2000</v>
          </cell>
          <cell r="HO312">
            <v>2000</v>
          </cell>
          <cell r="HQ312">
            <v>2000</v>
          </cell>
          <cell r="HR312">
            <v>2000</v>
          </cell>
          <cell r="HT312">
            <v>2000</v>
          </cell>
          <cell r="HU312">
            <v>2000</v>
          </cell>
          <cell r="HW312">
            <v>2000</v>
          </cell>
          <cell r="HX312">
            <v>2000</v>
          </cell>
          <cell r="HZ312">
            <v>2000</v>
          </cell>
          <cell r="IA312">
            <v>2000</v>
          </cell>
          <cell r="IC312">
            <v>2000</v>
          </cell>
          <cell r="ID312">
            <v>2000</v>
          </cell>
          <cell r="IF312">
            <v>2000</v>
          </cell>
        </row>
        <row r="313">
          <cell r="GP313" t="str">
            <v>STG GSU - GE - G Series</v>
          </cell>
          <cell r="GQ313">
            <v>2000</v>
          </cell>
          <cell r="GS313">
            <v>2000</v>
          </cell>
          <cell r="GT313">
            <v>2000</v>
          </cell>
          <cell r="GV313">
            <v>2000</v>
          </cell>
          <cell r="GW313">
            <v>2000</v>
          </cell>
          <cell r="GY313">
            <v>2000</v>
          </cell>
          <cell r="GZ313">
            <v>2000</v>
          </cell>
          <cell r="HB313">
            <v>2000</v>
          </cell>
          <cell r="HC313">
            <v>2000</v>
          </cell>
          <cell r="HE313">
            <v>2000</v>
          </cell>
          <cell r="HF313">
            <v>2000</v>
          </cell>
          <cell r="HH313">
            <v>2000</v>
          </cell>
          <cell r="HI313">
            <v>2000</v>
          </cell>
          <cell r="HK313">
            <v>2000</v>
          </cell>
          <cell r="HL313">
            <v>2000</v>
          </cell>
          <cell r="HN313">
            <v>2000</v>
          </cell>
          <cell r="HO313">
            <v>2000</v>
          </cell>
          <cell r="HQ313">
            <v>2000</v>
          </cell>
          <cell r="HR313">
            <v>2000</v>
          </cell>
          <cell r="HT313">
            <v>2000</v>
          </cell>
          <cell r="HU313">
            <v>2000</v>
          </cell>
          <cell r="HW313">
            <v>2000</v>
          </cell>
          <cell r="HX313">
            <v>2000</v>
          </cell>
          <cell r="HZ313">
            <v>2000</v>
          </cell>
          <cell r="IA313">
            <v>2000</v>
          </cell>
          <cell r="IC313">
            <v>2000</v>
          </cell>
          <cell r="ID313">
            <v>2000</v>
          </cell>
          <cell r="IF313">
            <v>2000</v>
          </cell>
        </row>
        <row r="314">
          <cell r="GP314" t="str">
            <v>STG GSU - Siemens SST-3000</v>
          </cell>
          <cell r="GQ314">
            <v>2000</v>
          </cell>
          <cell r="GS314">
            <v>2000</v>
          </cell>
          <cell r="GT314">
            <v>2000</v>
          </cell>
          <cell r="GV314">
            <v>2000</v>
          </cell>
          <cell r="GW314">
            <v>2000</v>
          </cell>
          <cell r="GY314">
            <v>2000</v>
          </cell>
          <cell r="GZ314">
            <v>2000</v>
          </cell>
          <cell r="HB314">
            <v>2000</v>
          </cell>
          <cell r="HC314">
            <v>2000</v>
          </cell>
          <cell r="HE314">
            <v>2000</v>
          </cell>
          <cell r="HF314">
            <v>2000</v>
          </cell>
          <cell r="HH314">
            <v>2000</v>
          </cell>
          <cell r="HI314">
            <v>2000</v>
          </cell>
          <cell r="HK314">
            <v>2000</v>
          </cell>
          <cell r="HL314">
            <v>2000</v>
          </cell>
          <cell r="HN314">
            <v>2000</v>
          </cell>
          <cell r="HO314">
            <v>2000</v>
          </cell>
          <cell r="HQ314">
            <v>2000</v>
          </cell>
          <cell r="HR314">
            <v>2000</v>
          </cell>
          <cell r="HT314">
            <v>2000</v>
          </cell>
          <cell r="HU314">
            <v>2000</v>
          </cell>
          <cell r="HW314">
            <v>2000</v>
          </cell>
          <cell r="HX314">
            <v>2000</v>
          </cell>
          <cell r="HZ314">
            <v>2000</v>
          </cell>
          <cell r="IA314">
            <v>2000</v>
          </cell>
          <cell r="IC314">
            <v>2000</v>
          </cell>
          <cell r="ID314">
            <v>2000</v>
          </cell>
          <cell r="IF314">
            <v>2000</v>
          </cell>
        </row>
        <row r="315">
          <cell r="GP315" t="str">
            <v>STG GSU - Siemens SST-5000</v>
          </cell>
          <cell r="GQ315">
            <v>2000</v>
          </cell>
          <cell r="GS315">
            <v>2000</v>
          </cell>
          <cell r="GT315">
            <v>2000</v>
          </cell>
          <cell r="GV315">
            <v>2000</v>
          </cell>
          <cell r="GW315">
            <v>2000</v>
          </cell>
          <cell r="GY315">
            <v>2000</v>
          </cell>
          <cell r="GZ315">
            <v>2000</v>
          </cell>
          <cell r="HB315">
            <v>2000</v>
          </cell>
          <cell r="HC315">
            <v>2000</v>
          </cell>
          <cell r="HE315">
            <v>2000</v>
          </cell>
          <cell r="HF315">
            <v>2000</v>
          </cell>
          <cell r="HH315">
            <v>2000</v>
          </cell>
          <cell r="HI315">
            <v>2000</v>
          </cell>
          <cell r="HK315">
            <v>2000</v>
          </cell>
          <cell r="HL315">
            <v>2000</v>
          </cell>
          <cell r="HN315">
            <v>2000</v>
          </cell>
          <cell r="HO315">
            <v>2000</v>
          </cell>
          <cell r="HQ315">
            <v>2000</v>
          </cell>
          <cell r="HR315">
            <v>2000</v>
          </cell>
          <cell r="HT315">
            <v>2000</v>
          </cell>
          <cell r="HU315">
            <v>2000</v>
          </cell>
          <cell r="HW315">
            <v>2000</v>
          </cell>
          <cell r="HX315">
            <v>2000</v>
          </cell>
          <cell r="HZ315">
            <v>2000</v>
          </cell>
          <cell r="IA315">
            <v>2000</v>
          </cell>
          <cell r="IC315">
            <v>2000</v>
          </cell>
          <cell r="ID315">
            <v>2000</v>
          </cell>
          <cell r="IF315">
            <v>2000</v>
          </cell>
        </row>
        <row r="316">
          <cell r="GP316" t="str">
            <v>STG GSU - Siemens SST-6000</v>
          </cell>
          <cell r="GQ316">
            <v>2000</v>
          </cell>
          <cell r="GS316">
            <v>2000</v>
          </cell>
          <cell r="GT316">
            <v>2000</v>
          </cell>
          <cell r="GV316">
            <v>2000</v>
          </cell>
          <cell r="GW316">
            <v>2000</v>
          </cell>
          <cell r="GY316">
            <v>2000</v>
          </cell>
          <cell r="GZ316">
            <v>2000</v>
          </cell>
          <cell r="HB316">
            <v>2000</v>
          </cell>
          <cell r="HC316">
            <v>2000</v>
          </cell>
          <cell r="HE316">
            <v>2000</v>
          </cell>
          <cell r="HF316">
            <v>2000</v>
          </cell>
          <cell r="HH316">
            <v>2000</v>
          </cell>
          <cell r="HI316">
            <v>2000</v>
          </cell>
          <cell r="HK316">
            <v>2000</v>
          </cell>
          <cell r="HL316">
            <v>2000</v>
          </cell>
          <cell r="HN316">
            <v>2000</v>
          </cell>
          <cell r="HO316">
            <v>2000</v>
          </cell>
          <cell r="HQ316">
            <v>2000</v>
          </cell>
          <cell r="HR316">
            <v>2000</v>
          </cell>
          <cell r="HT316">
            <v>2000</v>
          </cell>
          <cell r="HU316">
            <v>2000</v>
          </cell>
          <cell r="HW316">
            <v>2000</v>
          </cell>
          <cell r="HX316">
            <v>2000</v>
          </cell>
          <cell r="HZ316">
            <v>2000</v>
          </cell>
          <cell r="IA316">
            <v>2000</v>
          </cell>
          <cell r="IC316">
            <v>2000</v>
          </cell>
          <cell r="ID316">
            <v>2000</v>
          </cell>
          <cell r="IF316">
            <v>2000</v>
          </cell>
        </row>
        <row r="317">
          <cell r="GP317" t="str">
            <v>STG GSU - Siemens SST-900</v>
          </cell>
          <cell r="GQ317">
            <v>2000</v>
          </cell>
          <cell r="GS317">
            <v>2000</v>
          </cell>
          <cell r="GT317">
            <v>2000</v>
          </cell>
          <cell r="GV317">
            <v>2000</v>
          </cell>
          <cell r="GW317">
            <v>2000</v>
          </cell>
          <cell r="GY317">
            <v>2000</v>
          </cell>
          <cell r="GZ317">
            <v>2000</v>
          </cell>
          <cell r="HB317">
            <v>2000</v>
          </cell>
          <cell r="HC317">
            <v>2000</v>
          </cell>
          <cell r="HE317">
            <v>2000</v>
          </cell>
          <cell r="HF317">
            <v>2000</v>
          </cell>
          <cell r="HH317">
            <v>2000</v>
          </cell>
          <cell r="HI317">
            <v>2000</v>
          </cell>
          <cell r="HK317">
            <v>2000</v>
          </cell>
          <cell r="HL317">
            <v>2000</v>
          </cell>
          <cell r="HN317">
            <v>2000</v>
          </cell>
          <cell r="HO317">
            <v>2000</v>
          </cell>
          <cell r="HQ317">
            <v>2000</v>
          </cell>
          <cell r="HR317">
            <v>2000</v>
          </cell>
          <cell r="HT317">
            <v>2000</v>
          </cell>
          <cell r="HU317">
            <v>2000</v>
          </cell>
          <cell r="HW317">
            <v>2000</v>
          </cell>
          <cell r="HX317">
            <v>2000</v>
          </cell>
          <cell r="HZ317">
            <v>2000</v>
          </cell>
          <cell r="IA317">
            <v>2000</v>
          </cell>
          <cell r="IC317">
            <v>2000</v>
          </cell>
          <cell r="ID317">
            <v>2000</v>
          </cell>
          <cell r="IF317">
            <v>2000</v>
          </cell>
        </row>
        <row r="318">
          <cell r="GP318" t="str">
            <v>STG GSU - Two Case, Double Flow</v>
          </cell>
          <cell r="GQ318">
            <v>2000</v>
          </cell>
          <cell r="GS318">
            <v>2000</v>
          </cell>
          <cell r="GT318">
            <v>2000</v>
          </cell>
          <cell r="GV318">
            <v>2000</v>
          </cell>
          <cell r="GW318">
            <v>2000</v>
          </cell>
          <cell r="GY318">
            <v>2000</v>
          </cell>
          <cell r="GZ318">
            <v>2000</v>
          </cell>
          <cell r="HB318">
            <v>2000</v>
          </cell>
          <cell r="HC318">
            <v>2000</v>
          </cell>
          <cell r="HE318">
            <v>2000</v>
          </cell>
          <cell r="HF318">
            <v>2000</v>
          </cell>
          <cell r="HH318">
            <v>2000</v>
          </cell>
          <cell r="HI318">
            <v>2000</v>
          </cell>
          <cell r="HK318">
            <v>2000</v>
          </cell>
          <cell r="HL318">
            <v>2000</v>
          </cell>
          <cell r="HN318">
            <v>2000</v>
          </cell>
          <cell r="HO318">
            <v>2000</v>
          </cell>
          <cell r="HQ318">
            <v>2000</v>
          </cell>
          <cell r="HR318">
            <v>2000</v>
          </cell>
          <cell r="HT318">
            <v>2000</v>
          </cell>
          <cell r="HU318">
            <v>2000</v>
          </cell>
          <cell r="HW318">
            <v>2000</v>
          </cell>
          <cell r="HX318">
            <v>2000</v>
          </cell>
          <cell r="HZ318">
            <v>2000</v>
          </cell>
          <cell r="IA318">
            <v>2000</v>
          </cell>
          <cell r="IC318">
            <v>2000</v>
          </cell>
          <cell r="ID318">
            <v>2000</v>
          </cell>
          <cell r="IF318">
            <v>2000</v>
          </cell>
        </row>
        <row r="319">
          <cell r="GP319" t="str">
            <v>STG GSU - Two Case, Single Flow</v>
          </cell>
          <cell r="GQ319">
            <v>1000</v>
          </cell>
          <cell r="GS319">
            <v>1000</v>
          </cell>
          <cell r="GT319">
            <v>1000</v>
          </cell>
          <cell r="GV319">
            <v>1000</v>
          </cell>
          <cell r="GW319">
            <v>1000</v>
          </cell>
          <cell r="GY319">
            <v>1000</v>
          </cell>
          <cell r="GZ319">
            <v>1000</v>
          </cell>
          <cell r="HB319">
            <v>1000</v>
          </cell>
          <cell r="HC319">
            <v>1000</v>
          </cell>
          <cell r="HE319">
            <v>1000</v>
          </cell>
          <cell r="HF319">
            <v>1000</v>
          </cell>
          <cell r="HH319">
            <v>1000</v>
          </cell>
          <cell r="HI319">
            <v>1000</v>
          </cell>
          <cell r="HK319">
            <v>1000</v>
          </cell>
          <cell r="HL319">
            <v>1000</v>
          </cell>
          <cell r="HN319">
            <v>1000</v>
          </cell>
          <cell r="HO319">
            <v>1000</v>
          </cell>
          <cell r="HQ319">
            <v>1000</v>
          </cell>
          <cell r="HR319">
            <v>1000</v>
          </cell>
          <cell r="HT319">
            <v>1000</v>
          </cell>
          <cell r="HU319">
            <v>1000</v>
          </cell>
          <cell r="HW319">
            <v>1000</v>
          </cell>
          <cell r="HX319">
            <v>1000</v>
          </cell>
          <cell r="HZ319">
            <v>1000</v>
          </cell>
          <cell r="IA319">
            <v>1000</v>
          </cell>
          <cell r="IC319">
            <v>1000</v>
          </cell>
          <cell r="ID319">
            <v>1000</v>
          </cell>
          <cell r="IF319">
            <v>1000</v>
          </cell>
        </row>
        <row r="320">
          <cell r="GP320" t="str">
            <v xml:space="preserve">STG GSU - </v>
          </cell>
          <cell r="GS320">
            <v>0</v>
          </cell>
          <cell r="GV320">
            <v>0</v>
          </cell>
          <cell r="GY320">
            <v>0</v>
          </cell>
          <cell r="HB320">
            <v>0</v>
          </cell>
          <cell r="HE320">
            <v>0</v>
          </cell>
          <cell r="HH320">
            <v>0</v>
          </cell>
          <cell r="HK320">
            <v>0</v>
          </cell>
          <cell r="HN320">
            <v>0</v>
          </cell>
          <cell r="HQ320">
            <v>0</v>
          </cell>
          <cell r="HT320">
            <v>0</v>
          </cell>
          <cell r="HW320">
            <v>0</v>
          </cell>
          <cell r="HZ320">
            <v>0</v>
          </cell>
          <cell r="IC320">
            <v>0</v>
          </cell>
          <cell r="IF320">
            <v>0</v>
          </cell>
        </row>
        <row r="321">
          <cell r="GP321" t="str">
            <v xml:space="preserve">STG GSU - </v>
          </cell>
          <cell r="GS321">
            <v>0</v>
          </cell>
          <cell r="GV321">
            <v>0</v>
          </cell>
          <cell r="GY321">
            <v>0</v>
          </cell>
          <cell r="HB321">
            <v>0</v>
          </cell>
          <cell r="HE321">
            <v>0</v>
          </cell>
          <cell r="HH321">
            <v>0</v>
          </cell>
          <cell r="HK321">
            <v>0</v>
          </cell>
          <cell r="HN321">
            <v>0</v>
          </cell>
          <cell r="HQ321">
            <v>0</v>
          </cell>
          <cell r="HT321">
            <v>0</v>
          </cell>
          <cell r="HW321">
            <v>0</v>
          </cell>
          <cell r="HZ321">
            <v>0</v>
          </cell>
          <cell r="IC321">
            <v>0</v>
          </cell>
          <cell r="IF321">
            <v>0</v>
          </cell>
        </row>
        <row r="322">
          <cell r="GP322" t="str">
            <v xml:space="preserve">STG GSU - </v>
          </cell>
          <cell r="GS322">
            <v>0</v>
          </cell>
          <cell r="GV322">
            <v>0</v>
          </cell>
          <cell r="GY322">
            <v>0</v>
          </cell>
          <cell r="HB322">
            <v>0</v>
          </cell>
          <cell r="HE322">
            <v>0</v>
          </cell>
          <cell r="HH322">
            <v>0</v>
          </cell>
          <cell r="HK322">
            <v>0</v>
          </cell>
          <cell r="HN322">
            <v>0</v>
          </cell>
          <cell r="HQ322">
            <v>0</v>
          </cell>
          <cell r="HT322">
            <v>0</v>
          </cell>
          <cell r="HW322">
            <v>0</v>
          </cell>
          <cell r="HZ322">
            <v>0</v>
          </cell>
          <cell r="IC322">
            <v>0</v>
          </cell>
          <cell r="IF322">
            <v>0</v>
          </cell>
        </row>
        <row r="323">
          <cell r="GP323" t="str">
            <v xml:space="preserve">STG GSU - </v>
          </cell>
          <cell r="GS323">
            <v>0</v>
          </cell>
          <cell r="GV323">
            <v>0</v>
          </cell>
          <cell r="GY323">
            <v>0</v>
          </cell>
          <cell r="HB323">
            <v>0</v>
          </cell>
          <cell r="HE323">
            <v>0</v>
          </cell>
          <cell r="HH323">
            <v>0</v>
          </cell>
          <cell r="HK323">
            <v>0</v>
          </cell>
          <cell r="HN323">
            <v>0</v>
          </cell>
          <cell r="HQ323">
            <v>0</v>
          </cell>
          <cell r="HT323">
            <v>0</v>
          </cell>
          <cell r="HW323">
            <v>0</v>
          </cell>
          <cell r="HZ323">
            <v>0</v>
          </cell>
          <cell r="IC323">
            <v>0</v>
          </cell>
          <cell r="IF323">
            <v>0</v>
          </cell>
        </row>
        <row r="324">
          <cell r="GP324">
            <v>0</v>
          </cell>
          <cell r="GS324">
            <v>0</v>
          </cell>
          <cell r="GV324">
            <v>0</v>
          </cell>
          <cell r="GY324">
            <v>0</v>
          </cell>
          <cell r="HB324">
            <v>0</v>
          </cell>
          <cell r="HE324">
            <v>0</v>
          </cell>
          <cell r="HH324">
            <v>0</v>
          </cell>
          <cell r="HK324">
            <v>0</v>
          </cell>
          <cell r="HN324">
            <v>0</v>
          </cell>
          <cell r="HQ324">
            <v>0</v>
          </cell>
          <cell r="HT324">
            <v>0</v>
          </cell>
          <cell r="HW324">
            <v>0</v>
          </cell>
          <cell r="HZ324">
            <v>0</v>
          </cell>
          <cell r="IC324">
            <v>0</v>
          </cell>
          <cell r="IF324">
            <v>0</v>
          </cell>
        </row>
        <row r="325">
          <cell r="GP325">
            <v>0</v>
          </cell>
          <cell r="GS325">
            <v>0</v>
          </cell>
          <cell r="GV325">
            <v>0</v>
          </cell>
          <cell r="GY325">
            <v>0</v>
          </cell>
          <cell r="HB325">
            <v>0</v>
          </cell>
          <cell r="HE325">
            <v>0</v>
          </cell>
          <cell r="HH325">
            <v>0</v>
          </cell>
          <cell r="HK325">
            <v>0</v>
          </cell>
          <cell r="HN325">
            <v>0</v>
          </cell>
          <cell r="HQ325">
            <v>0</v>
          </cell>
          <cell r="HT325">
            <v>0</v>
          </cell>
          <cell r="HW325">
            <v>0</v>
          </cell>
          <cell r="HZ325">
            <v>0</v>
          </cell>
          <cell r="IC325">
            <v>0</v>
          </cell>
          <cell r="IF325">
            <v>0</v>
          </cell>
        </row>
        <row r="326">
          <cell r="GP326">
            <v>0</v>
          </cell>
          <cell r="GS326">
            <v>0</v>
          </cell>
          <cell r="GV326">
            <v>0</v>
          </cell>
          <cell r="GY326">
            <v>0</v>
          </cell>
          <cell r="HB326">
            <v>0</v>
          </cell>
          <cell r="HE326">
            <v>0</v>
          </cell>
          <cell r="HH326">
            <v>0</v>
          </cell>
          <cell r="HK326">
            <v>0</v>
          </cell>
          <cell r="HN326">
            <v>0</v>
          </cell>
          <cell r="HQ326">
            <v>0</v>
          </cell>
          <cell r="HT326">
            <v>0</v>
          </cell>
          <cell r="HW326">
            <v>0</v>
          </cell>
          <cell r="HZ326">
            <v>0</v>
          </cell>
          <cell r="IC326">
            <v>0</v>
          </cell>
          <cell r="IF326">
            <v>0</v>
          </cell>
        </row>
        <row r="327">
          <cell r="GP327">
            <v>0</v>
          </cell>
          <cell r="GS327">
            <v>0</v>
          </cell>
          <cell r="GV327">
            <v>0</v>
          </cell>
          <cell r="GY327">
            <v>0</v>
          </cell>
          <cell r="HB327">
            <v>0</v>
          </cell>
          <cell r="HE327">
            <v>0</v>
          </cell>
          <cell r="HH327">
            <v>0</v>
          </cell>
          <cell r="HK327">
            <v>0</v>
          </cell>
          <cell r="HN327">
            <v>0</v>
          </cell>
          <cell r="HQ327">
            <v>0</v>
          </cell>
          <cell r="HT327">
            <v>0</v>
          </cell>
          <cell r="HW327">
            <v>0</v>
          </cell>
          <cell r="HZ327">
            <v>0</v>
          </cell>
          <cell r="IC327">
            <v>0</v>
          </cell>
          <cell r="IF327">
            <v>0</v>
          </cell>
        </row>
        <row r="328">
          <cell r="GP328">
            <v>0</v>
          </cell>
          <cell r="GS328">
            <v>0</v>
          </cell>
          <cell r="GV328">
            <v>0</v>
          </cell>
          <cell r="GY328">
            <v>0</v>
          </cell>
          <cell r="HB328">
            <v>0</v>
          </cell>
          <cell r="HE328">
            <v>0</v>
          </cell>
          <cell r="HH328">
            <v>0</v>
          </cell>
          <cell r="HK328">
            <v>0</v>
          </cell>
          <cell r="HN328">
            <v>0</v>
          </cell>
          <cell r="HQ328">
            <v>0</v>
          </cell>
          <cell r="HT328">
            <v>0</v>
          </cell>
          <cell r="HW328">
            <v>0</v>
          </cell>
          <cell r="HZ328">
            <v>0</v>
          </cell>
          <cell r="IC328">
            <v>0</v>
          </cell>
          <cell r="IF328">
            <v>0</v>
          </cell>
        </row>
        <row r="329">
          <cell r="GP329">
            <v>0</v>
          </cell>
          <cell r="GS329">
            <v>0</v>
          </cell>
          <cell r="GV329">
            <v>0</v>
          </cell>
          <cell r="GY329">
            <v>0</v>
          </cell>
          <cell r="HB329">
            <v>0</v>
          </cell>
          <cell r="HE329">
            <v>0</v>
          </cell>
          <cell r="HH329">
            <v>0</v>
          </cell>
          <cell r="HK329">
            <v>0</v>
          </cell>
          <cell r="HN329">
            <v>0</v>
          </cell>
          <cell r="HQ329">
            <v>0</v>
          </cell>
          <cell r="HT329">
            <v>0</v>
          </cell>
          <cell r="HW329">
            <v>0</v>
          </cell>
          <cell r="HZ329">
            <v>0</v>
          </cell>
          <cell r="IC329">
            <v>0</v>
          </cell>
          <cell r="IF329">
            <v>0</v>
          </cell>
        </row>
        <row r="330">
          <cell r="GP330">
            <v>0</v>
          </cell>
          <cell r="GS330">
            <v>0</v>
          </cell>
          <cell r="GV330">
            <v>0</v>
          </cell>
          <cell r="GY330">
            <v>0</v>
          </cell>
          <cell r="HB330">
            <v>0</v>
          </cell>
          <cell r="HE330">
            <v>0</v>
          </cell>
          <cell r="HH330">
            <v>0</v>
          </cell>
          <cell r="HK330">
            <v>0</v>
          </cell>
          <cell r="HN330">
            <v>0</v>
          </cell>
          <cell r="HQ330">
            <v>0</v>
          </cell>
          <cell r="HT330">
            <v>0</v>
          </cell>
          <cell r="HW330">
            <v>0</v>
          </cell>
          <cell r="HZ330">
            <v>0</v>
          </cell>
          <cell r="IC330">
            <v>0</v>
          </cell>
          <cell r="IF330">
            <v>0</v>
          </cell>
        </row>
        <row r="331">
          <cell r="GP331">
            <v>0</v>
          </cell>
          <cell r="GS331">
            <v>0</v>
          </cell>
          <cell r="GV331">
            <v>0</v>
          </cell>
          <cell r="GY331">
            <v>0</v>
          </cell>
          <cell r="HB331">
            <v>0</v>
          </cell>
          <cell r="HE331">
            <v>0</v>
          </cell>
          <cell r="HH331">
            <v>0</v>
          </cell>
          <cell r="HK331">
            <v>0</v>
          </cell>
          <cell r="HN331">
            <v>0</v>
          </cell>
          <cell r="HQ331">
            <v>0</v>
          </cell>
          <cell r="HT331">
            <v>0</v>
          </cell>
          <cell r="HW331">
            <v>0</v>
          </cell>
          <cell r="HZ331">
            <v>0</v>
          </cell>
          <cell r="IC331">
            <v>0</v>
          </cell>
          <cell r="IF331">
            <v>0</v>
          </cell>
        </row>
        <row r="335">
          <cell r="GP335" t="str">
            <v>Description</v>
          </cell>
          <cell r="GS335">
            <v>1</v>
          </cell>
          <cell r="GV335">
            <v>2</v>
          </cell>
          <cell r="GY335">
            <v>3</v>
          </cell>
          <cell r="HB335">
            <v>4</v>
          </cell>
          <cell r="HE335">
            <v>5</v>
          </cell>
          <cell r="HH335">
            <v>6</v>
          </cell>
          <cell r="HK335">
            <v>7</v>
          </cell>
          <cell r="HN335">
            <v>8</v>
          </cell>
          <cell r="HQ335">
            <v>9</v>
          </cell>
          <cell r="HT335">
            <v>10</v>
          </cell>
          <cell r="HW335">
            <v>11</v>
          </cell>
          <cell r="HZ335">
            <v>12</v>
          </cell>
          <cell r="IC335">
            <v>13</v>
          </cell>
          <cell r="IF335">
            <v>14</v>
          </cell>
          <cell r="IG335">
            <v>15</v>
          </cell>
          <cell r="IH335">
            <v>16</v>
          </cell>
        </row>
        <row r="336">
          <cell r="GP336" t="str">
            <v>DCS - 2x1 7FA</v>
          </cell>
          <cell r="GQ336">
            <v>2000</v>
          </cell>
          <cell r="GS336">
            <v>2000</v>
          </cell>
          <cell r="GT336">
            <v>2000</v>
          </cell>
          <cell r="GV336">
            <v>2000</v>
          </cell>
          <cell r="GW336">
            <v>2000</v>
          </cell>
          <cell r="GY336">
            <v>2000</v>
          </cell>
          <cell r="GZ336">
            <v>2000</v>
          </cell>
          <cell r="HB336">
            <v>2000</v>
          </cell>
          <cell r="HC336">
            <v>2000</v>
          </cell>
          <cell r="HE336">
            <v>2000</v>
          </cell>
          <cell r="HF336">
            <v>2000</v>
          </cell>
          <cell r="HH336">
            <v>2000</v>
          </cell>
          <cell r="HI336">
            <v>2000</v>
          </cell>
          <cell r="HK336">
            <v>2000</v>
          </cell>
          <cell r="HL336">
            <v>2000</v>
          </cell>
          <cell r="HN336">
            <v>2000</v>
          </cell>
          <cell r="HO336">
            <v>2000</v>
          </cell>
          <cell r="HQ336">
            <v>2000</v>
          </cell>
          <cell r="HR336">
            <v>2000</v>
          </cell>
          <cell r="HT336">
            <v>2000</v>
          </cell>
          <cell r="HU336">
            <v>2000</v>
          </cell>
          <cell r="HW336">
            <v>2000</v>
          </cell>
          <cell r="HX336">
            <v>2000</v>
          </cell>
          <cell r="HZ336">
            <v>2000</v>
          </cell>
          <cell r="IA336">
            <v>2000</v>
          </cell>
          <cell r="IC336">
            <v>2000</v>
          </cell>
          <cell r="ID336">
            <v>2000</v>
          </cell>
          <cell r="IF336">
            <v>2000</v>
          </cell>
        </row>
        <row r="337">
          <cell r="GP337" t="str">
            <v>DCS - LMS100 - (4)</v>
          </cell>
          <cell r="GQ337">
            <v>2000</v>
          </cell>
          <cell r="GS337">
            <v>2000</v>
          </cell>
          <cell r="GT337">
            <v>2000</v>
          </cell>
          <cell r="GV337">
            <v>2000</v>
          </cell>
          <cell r="GW337">
            <v>2000</v>
          </cell>
          <cell r="GY337">
            <v>2000</v>
          </cell>
          <cell r="GZ337">
            <v>2000</v>
          </cell>
          <cell r="HB337">
            <v>2000</v>
          </cell>
          <cell r="HC337">
            <v>2000</v>
          </cell>
          <cell r="HE337">
            <v>2000</v>
          </cell>
          <cell r="HF337">
            <v>2000</v>
          </cell>
          <cell r="HH337">
            <v>2000</v>
          </cell>
          <cell r="HI337">
            <v>2000</v>
          </cell>
          <cell r="HK337">
            <v>2000</v>
          </cell>
          <cell r="HL337">
            <v>2000</v>
          </cell>
          <cell r="HN337">
            <v>2000</v>
          </cell>
          <cell r="HO337">
            <v>2000</v>
          </cell>
          <cell r="HQ337">
            <v>2000</v>
          </cell>
          <cell r="HR337">
            <v>2000</v>
          </cell>
          <cell r="HT337">
            <v>2000</v>
          </cell>
          <cell r="HU337">
            <v>2000</v>
          </cell>
          <cell r="HW337">
            <v>2000</v>
          </cell>
          <cell r="HX337">
            <v>2000</v>
          </cell>
          <cell r="HZ337">
            <v>2000</v>
          </cell>
          <cell r="IA337">
            <v>2000</v>
          </cell>
          <cell r="IC337">
            <v>2000</v>
          </cell>
          <cell r="ID337">
            <v>2000</v>
          </cell>
          <cell r="IF337">
            <v>2000</v>
          </cell>
        </row>
        <row r="338">
          <cell r="GP338" t="str">
            <v>DCS - Trent 60</v>
          </cell>
          <cell r="GQ338">
            <v>1000</v>
          </cell>
          <cell r="GS338">
            <v>1000</v>
          </cell>
          <cell r="GT338">
            <v>1000</v>
          </cell>
          <cell r="GV338">
            <v>1000</v>
          </cell>
          <cell r="GW338">
            <v>1000</v>
          </cell>
          <cell r="GY338">
            <v>1000</v>
          </cell>
          <cell r="GZ338">
            <v>1000</v>
          </cell>
          <cell r="HB338">
            <v>1000</v>
          </cell>
          <cell r="HC338">
            <v>1000</v>
          </cell>
          <cell r="HE338">
            <v>1000</v>
          </cell>
          <cell r="HF338">
            <v>1000</v>
          </cell>
          <cell r="HH338">
            <v>1000</v>
          </cell>
          <cell r="HI338">
            <v>1000</v>
          </cell>
          <cell r="HK338">
            <v>1000</v>
          </cell>
          <cell r="HL338">
            <v>1000</v>
          </cell>
          <cell r="HN338">
            <v>1000</v>
          </cell>
          <cell r="HO338">
            <v>1000</v>
          </cell>
          <cell r="HQ338">
            <v>1000</v>
          </cell>
          <cell r="HR338">
            <v>1000</v>
          </cell>
          <cell r="HT338">
            <v>1000</v>
          </cell>
          <cell r="HU338">
            <v>1000</v>
          </cell>
          <cell r="HW338">
            <v>1000</v>
          </cell>
          <cell r="HX338">
            <v>1000</v>
          </cell>
          <cell r="HZ338">
            <v>1000</v>
          </cell>
          <cell r="IA338">
            <v>1000</v>
          </cell>
          <cell r="IC338">
            <v>1000</v>
          </cell>
          <cell r="ID338">
            <v>1000</v>
          </cell>
          <cell r="IF338">
            <v>1000</v>
          </cell>
        </row>
        <row r="339">
          <cell r="GP339" t="str">
            <v>DCS - LM6000</v>
          </cell>
          <cell r="GQ339">
            <v>1000</v>
          </cell>
          <cell r="GS339">
            <v>1000</v>
          </cell>
          <cell r="GT339">
            <v>1000</v>
          </cell>
          <cell r="GV339">
            <v>1000</v>
          </cell>
          <cell r="GW339">
            <v>1000</v>
          </cell>
          <cell r="GY339">
            <v>1000</v>
          </cell>
          <cell r="GZ339">
            <v>1000</v>
          </cell>
          <cell r="HB339">
            <v>1000</v>
          </cell>
          <cell r="HC339">
            <v>1000</v>
          </cell>
          <cell r="HE339">
            <v>1000</v>
          </cell>
          <cell r="HF339">
            <v>1000</v>
          </cell>
          <cell r="HH339">
            <v>1000</v>
          </cell>
          <cell r="HI339">
            <v>1000</v>
          </cell>
          <cell r="HK339">
            <v>1000</v>
          </cell>
          <cell r="HL339">
            <v>1000</v>
          </cell>
          <cell r="HN339">
            <v>1000</v>
          </cell>
          <cell r="HO339">
            <v>1000</v>
          </cell>
          <cell r="HQ339">
            <v>1000</v>
          </cell>
          <cell r="HR339">
            <v>1000</v>
          </cell>
          <cell r="HT339">
            <v>1000</v>
          </cell>
          <cell r="HU339">
            <v>1000</v>
          </cell>
          <cell r="HW339">
            <v>1000</v>
          </cell>
          <cell r="HX339">
            <v>1000</v>
          </cell>
          <cell r="HZ339">
            <v>1000</v>
          </cell>
          <cell r="IA339">
            <v>1000</v>
          </cell>
          <cell r="IC339">
            <v>1000</v>
          </cell>
          <cell r="ID339">
            <v>1000</v>
          </cell>
          <cell r="IF339">
            <v>1000</v>
          </cell>
        </row>
        <row r="340">
          <cell r="GP340" t="str">
            <v>DCS - GE 7EA (7)</v>
          </cell>
          <cell r="GQ340">
            <v>1000</v>
          </cell>
          <cell r="GS340">
            <v>1000</v>
          </cell>
          <cell r="GT340">
            <v>1000</v>
          </cell>
          <cell r="GV340">
            <v>1000</v>
          </cell>
          <cell r="GW340">
            <v>1000</v>
          </cell>
          <cell r="GY340">
            <v>1000</v>
          </cell>
          <cell r="GZ340">
            <v>1000</v>
          </cell>
          <cell r="HB340">
            <v>1000</v>
          </cell>
          <cell r="HC340">
            <v>1000</v>
          </cell>
          <cell r="HE340">
            <v>1000</v>
          </cell>
          <cell r="HF340">
            <v>1000</v>
          </cell>
          <cell r="HH340">
            <v>1000</v>
          </cell>
          <cell r="HI340">
            <v>1000</v>
          </cell>
          <cell r="HK340">
            <v>1000</v>
          </cell>
          <cell r="HL340">
            <v>1000</v>
          </cell>
          <cell r="HN340">
            <v>1000</v>
          </cell>
          <cell r="HO340">
            <v>1000</v>
          </cell>
          <cell r="HQ340">
            <v>1000</v>
          </cell>
          <cell r="HR340">
            <v>1000</v>
          </cell>
          <cell r="HT340">
            <v>1000</v>
          </cell>
          <cell r="HU340">
            <v>1000</v>
          </cell>
          <cell r="HW340">
            <v>1000</v>
          </cell>
          <cell r="HX340">
            <v>1000</v>
          </cell>
          <cell r="HZ340">
            <v>1000</v>
          </cell>
          <cell r="IA340">
            <v>1000</v>
          </cell>
          <cell r="IC340">
            <v>1000</v>
          </cell>
          <cell r="ID340">
            <v>1000</v>
          </cell>
          <cell r="IF340">
            <v>1000</v>
          </cell>
        </row>
        <row r="341">
          <cell r="GP341" t="str">
            <v>DCS - 3x1 7FA</v>
          </cell>
          <cell r="GQ341">
            <v>2000</v>
          </cell>
          <cell r="GS341">
            <v>2000</v>
          </cell>
          <cell r="GT341">
            <v>2000</v>
          </cell>
          <cell r="GV341">
            <v>2000</v>
          </cell>
          <cell r="GW341">
            <v>2000</v>
          </cell>
          <cell r="GY341">
            <v>2000</v>
          </cell>
          <cell r="GZ341">
            <v>2000</v>
          </cell>
          <cell r="HB341">
            <v>2000</v>
          </cell>
          <cell r="HC341">
            <v>2000</v>
          </cell>
          <cell r="HE341">
            <v>2000</v>
          </cell>
          <cell r="HF341">
            <v>2000</v>
          </cell>
          <cell r="HH341">
            <v>2000</v>
          </cell>
          <cell r="HI341">
            <v>2000</v>
          </cell>
          <cell r="HK341">
            <v>2000</v>
          </cell>
          <cell r="HL341">
            <v>2000</v>
          </cell>
          <cell r="HN341">
            <v>2000</v>
          </cell>
          <cell r="HO341">
            <v>2000</v>
          </cell>
          <cell r="HQ341">
            <v>2000</v>
          </cell>
          <cell r="HR341">
            <v>2000</v>
          </cell>
          <cell r="HT341">
            <v>2000</v>
          </cell>
          <cell r="HU341">
            <v>2000</v>
          </cell>
          <cell r="HW341">
            <v>2000</v>
          </cell>
          <cell r="HX341">
            <v>2000</v>
          </cell>
          <cell r="HZ341">
            <v>2000</v>
          </cell>
          <cell r="IA341">
            <v>2000</v>
          </cell>
          <cell r="IC341">
            <v>2000</v>
          </cell>
          <cell r="ID341">
            <v>2000</v>
          </cell>
          <cell r="IF341">
            <v>2000</v>
          </cell>
        </row>
        <row r="342">
          <cell r="GP342" t="str">
            <v>3x0 Mark VI</v>
          </cell>
          <cell r="GQ342">
            <v>2000</v>
          </cell>
          <cell r="GS342">
            <v>2000</v>
          </cell>
          <cell r="GT342">
            <v>2000</v>
          </cell>
          <cell r="GV342">
            <v>2000</v>
          </cell>
          <cell r="GW342">
            <v>2000</v>
          </cell>
          <cell r="GY342">
            <v>2000</v>
          </cell>
          <cell r="GZ342">
            <v>2000</v>
          </cell>
          <cell r="HB342">
            <v>2000</v>
          </cell>
          <cell r="HC342">
            <v>2000</v>
          </cell>
          <cell r="HE342">
            <v>2000</v>
          </cell>
          <cell r="HF342">
            <v>2000</v>
          </cell>
          <cell r="HH342">
            <v>2000</v>
          </cell>
          <cell r="HI342">
            <v>2000</v>
          </cell>
          <cell r="HK342">
            <v>2000</v>
          </cell>
          <cell r="HL342">
            <v>2000</v>
          </cell>
          <cell r="HN342">
            <v>2000</v>
          </cell>
          <cell r="HO342">
            <v>2000</v>
          </cell>
          <cell r="HQ342">
            <v>2000</v>
          </cell>
          <cell r="HR342">
            <v>2000</v>
          </cell>
          <cell r="HT342">
            <v>2000</v>
          </cell>
          <cell r="HU342">
            <v>2000</v>
          </cell>
          <cell r="HW342">
            <v>2000</v>
          </cell>
          <cell r="HX342">
            <v>2000</v>
          </cell>
          <cell r="HZ342">
            <v>2000</v>
          </cell>
          <cell r="IA342">
            <v>2000</v>
          </cell>
          <cell r="IC342">
            <v>2000</v>
          </cell>
          <cell r="ID342">
            <v>2000</v>
          </cell>
          <cell r="IF342">
            <v>2000</v>
          </cell>
        </row>
        <row r="343">
          <cell r="GP343" t="str">
            <v>DCS - 4x2 7FA</v>
          </cell>
          <cell r="GQ343">
            <v>3000</v>
          </cell>
          <cell r="GS343">
            <v>3000</v>
          </cell>
          <cell r="GT343">
            <v>3000</v>
          </cell>
          <cell r="GV343">
            <v>3000</v>
          </cell>
          <cell r="GW343">
            <v>3000</v>
          </cell>
          <cell r="GY343">
            <v>3000</v>
          </cell>
          <cell r="GZ343">
            <v>3000</v>
          </cell>
          <cell r="HB343">
            <v>3000</v>
          </cell>
          <cell r="HC343">
            <v>3000</v>
          </cell>
          <cell r="HE343">
            <v>3000</v>
          </cell>
          <cell r="HF343">
            <v>3000</v>
          </cell>
          <cell r="HH343">
            <v>3000</v>
          </cell>
          <cell r="HI343">
            <v>3000</v>
          </cell>
          <cell r="HK343">
            <v>3000</v>
          </cell>
          <cell r="HL343">
            <v>3000</v>
          </cell>
          <cell r="HN343">
            <v>3000</v>
          </cell>
          <cell r="HO343">
            <v>3000</v>
          </cell>
          <cell r="HQ343">
            <v>3000</v>
          </cell>
          <cell r="HR343">
            <v>3000</v>
          </cell>
          <cell r="HT343">
            <v>3000</v>
          </cell>
          <cell r="HU343">
            <v>3000</v>
          </cell>
          <cell r="HW343">
            <v>3000</v>
          </cell>
          <cell r="HX343">
            <v>3000</v>
          </cell>
          <cell r="HZ343">
            <v>3000</v>
          </cell>
          <cell r="IA343">
            <v>3000</v>
          </cell>
          <cell r="IC343">
            <v>3000</v>
          </cell>
          <cell r="ID343">
            <v>3000</v>
          </cell>
          <cell r="IF343">
            <v>3000</v>
          </cell>
        </row>
        <row r="344">
          <cell r="GP344" t="str">
            <v>DCS - GE 7EA (1)</v>
          </cell>
          <cell r="GQ344">
            <v>1000</v>
          </cell>
          <cell r="GS344">
            <v>1000</v>
          </cell>
          <cell r="GT344">
            <v>1000</v>
          </cell>
          <cell r="GV344">
            <v>1000</v>
          </cell>
          <cell r="GW344">
            <v>1000</v>
          </cell>
          <cell r="GY344">
            <v>1000</v>
          </cell>
          <cell r="GZ344">
            <v>1000</v>
          </cell>
          <cell r="HB344">
            <v>1000</v>
          </cell>
          <cell r="HC344">
            <v>1000</v>
          </cell>
          <cell r="HE344">
            <v>1000</v>
          </cell>
          <cell r="HF344">
            <v>1000</v>
          </cell>
          <cell r="HH344">
            <v>1000</v>
          </cell>
          <cell r="HI344">
            <v>1000</v>
          </cell>
          <cell r="HK344">
            <v>1000</v>
          </cell>
          <cell r="HL344">
            <v>1000</v>
          </cell>
          <cell r="HN344">
            <v>1000</v>
          </cell>
          <cell r="HO344">
            <v>1000</v>
          </cell>
          <cell r="HQ344">
            <v>1000</v>
          </cell>
          <cell r="HR344">
            <v>1000</v>
          </cell>
          <cell r="HT344">
            <v>1000</v>
          </cell>
          <cell r="HU344">
            <v>1000</v>
          </cell>
          <cell r="HW344">
            <v>1000</v>
          </cell>
          <cell r="HX344">
            <v>1000</v>
          </cell>
          <cell r="HZ344">
            <v>1000</v>
          </cell>
          <cell r="IA344">
            <v>1000</v>
          </cell>
          <cell r="IC344">
            <v>1000</v>
          </cell>
          <cell r="ID344">
            <v>1000</v>
          </cell>
          <cell r="IF344">
            <v>1000</v>
          </cell>
        </row>
        <row r="345">
          <cell r="GP345" t="str">
            <v>DCS - 4x0 7FA</v>
          </cell>
          <cell r="GQ345">
            <v>1000</v>
          </cell>
          <cell r="GS345">
            <v>1000</v>
          </cell>
          <cell r="GT345">
            <v>1000</v>
          </cell>
          <cell r="GV345">
            <v>1000</v>
          </cell>
          <cell r="GW345">
            <v>1000</v>
          </cell>
          <cell r="GY345">
            <v>1000</v>
          </cell>
          <cell r="GZ345">
            <v>1000</v>
          </cell>
          <cell r="HB345">
            <v>1000</v>
          </cell>
          <cell r="HC345">
            <v>1000</v>
          </cell>
          <cell r="HE345">
            <v>1000</v>
          </cell>
          <cell r="HF345">
            <v>1000</v>
          </cell>
          <cell r="HH345">
            <v>1000</v>
          </cell>
          <cell r="HI345">
            <v>1000</v>
          </cell>
          <cell r="HK345">
            <v>1000</v>
          </cell>
          <cell r="HL345">
            <v>1000</v>
          </cell>
          <cell r="HN345">
            <v>1000</v>
          </cell>
          <cell r="HO345">
            <v>1000</v>
          </cell>
          <cell r="HQ345">
            <v>1000</v>
          </cell>
          <cell r="HR345">
            <v>1000</v>
          </cell>
          <cell r="HT345">
            <v>1000</v>
          </cell>
          <cell r="HU345">
            <v>1000</v>
          </cell>
          <cell r="HW345">
            <v>1000</v>
          </cell>
          <cell r="HX345">
            <v>1000</v>
          </cell>
          <cell r="HZ345">
            <v>1000</v>
          </cell>
          <cell r="IA345">
            <v>1000</v>
          </cell>
          <cell r="IC345">
            <v>1000</v>
          </cell>
          <cell r="ID345">
            <v>1000</v>
          </cell>
          <cell r="IF345">
            <v>1000</v>
          </cell>
        </row>
        <row r="346">
          <cell r="GP346" t="str">
            <v>DCS - 2x0 7FA</v>
          </cell>
          <cell r="GQ346">
            <v>1000</v>
          </cell>
          <cell r="GS346">
            <v>1000</v>
          </cell>
          <cell r="GT346">
            <v>1000</v>
          </cell>
          <cell r="GV346">
            <v>1000</v>
          </cell>
          <cell r="GW346">
            <v>1000</v>
          </cell>
          <cell r="GY346">
            <v>1000</v>
          </cell>
          <cell r="GZ346">
            <v>1000</v>
          </cell>
          <cell r="HB346">
            <v>1000</v>
          </cell>
          <cell r="HC346">
            <v>1000</v>
          </cell>
          <cell r="HE346">
            <v>1000</v>
          </cell>
          <cell r="HF346">
            <v>1000</v>
          </cell>
          <cell r="HH346">
            <v>1000</v>
          </cell>
          <cell r="HI346">
            <v>1000</v>
          </cell>
          <cell r="HK346">
            <v>1000</v>
          </cell>
          <cell r="HL346">
            <v>1000</v>
          </cell>
          <cell r="HN346">
            <v>1000</v>
          </cell>
          <cell r="HO346">
            <v>1000</v>
          </cell>
          <cell r="HQ346">
            <v>1000</v>
          </cell>
          <cell r="HR346">
            <v>1000</v>
          </cell>
          <cell r="HT346">
            <v>1000</v>
          </cell>
          <cell r="HU346">
            <v>1000</v>
          </cell>
          <cell r="HW346">
            <v>1000</v>
          </cell>
          <cell r="HX346">
            <v>1000</v>
          </cell>
          <cell r="HZ346">
            <v>1000</v>
          </cell>
          <cell r="IA346">
            <v>1000</v>
          </cell>
          <cell r="IC346">
            <v>1000</v>
          </cell>
          <cell r="ID346">
            <v>1000</v>
          </cell>
          <cell r="IF346">
            <v>1000</v>
          </cell>
        </row>
        <row r="347">
          <cell r="GP347" t="str">
            <v>DCS - 3x0 7FA</v>
          </cell>
          <cell r="GQ347">
            <v>1000</v>
          </cell>
          <cell r="GS347">
            <v>1000</v>
          </cell>
          <cell r="GT347">
            <v>1000</v>
          </cell>
          <cell r="GV347">
            <v>1000</v>
          </cell>
          <cell r="GW347">
            <v>1000</v>
          </cell>
          <cell r="GY347">
            <v>1000</v>
          </cell>
          <cell r="GZ347">
            <v>1000</v>
          </cell>
          <cell r="HB347">
            <v>1000</v>
          </cell>
          <cell r="HC347">
            <v>1000</v>
          </cell>
          <cell r="HE347">
            <v>1000</v>
          </cell>
          <cell r="HF347">
            <v>1000</v>
          </cell>
          <cell r="HH347">
            <v>1000</v>
          </cell>
          <cell r="HI347">
            <v>1000</v>
          </cell>
          <cell r="HK347">
            <v>1000</v>
          </cell>
          <cell r="HL347">
            <v>1000</v>
          </cell>
          <cell r="HN347">
            <v>1000</v>
          </cell>
          <cell r="HO347">
            <v>1000</v>
          </cell>
          <cell r="HQ347">
            <v>1000</v>
          </cell>
          <cell r="HR347">
            <v>1000</v>
          </cell>
          <cell r="HT347">
            <v>1000</v>
          </cell>
          <cell r="HU347">
            <v>1000</v>
          </cell>
          <cell r="HW347">
            <v>1000</v>
          </cell>
          <cell r="HX347">
            <v>1000</v>
          </cell>
          <cell r="HZ347">
            <v>1000</v>
          </cell>
          <cell r="IA347">
            <v>1000</v>
          </cell>
          <cell r="IC347">
            <v>1000</v>
          </cell>
          <cell r="ID347">
            <v>1000</v>
          </cell>
          <cell r="IF347">
            <v>1000</v>
          </cell>
        </row>
        <row r="348">
          <cell r="GP348" t="str">
            <v>DCS - LMS100 - (5)</v>
          </cell>
          <cell r="GQ348">
            <v>2000</v>
          </cell>
          <cell r="GS348">
            <v>2000</v>
          </cell>
          <cell r="GT348">
            <v>2000</v>
          </cell>
          <cell r="GV348">
            <v>2000</v>
          </cell>
          <cell r="GW348">
            <v>2000</v>
          </cell>
          <cell r="GY348">
            <v>2000</v>
          </cell>
          <cell r="GZ348">
            <v>2000</v>
          </cell>
          <cell r="HB348">
            <v>2000</v>
          </cell>
          <cell r="HC348">
            <v>2000</v>
          </cell>
          <cell r="HE348">
            <v>2000</v>
          </cell>
          <cell r="HF348">
            <v>2000</v>
          </cell>
          <cell r="HH348">
            <v>2000</v>
          </cell>
          <cell r="HI348">
            <v>2000</v>
          </cell>
          <cell r="HK348">
            <v>2000</v>
          </cell>
          <cell r="HL348">
            <v>2000</v>
          </cell>
          <cell r="HN348">
            <v>2000</v>
          </cell>
          <cell r="HO348">
            <v>2000</v>
          </cell>
          <cell r="HQ348">
            <v>2000</v>
          </cell>
          <cell r="HR348">
            <v>2000</v>
          </cell>
          <cell r="HT348">
            <v>2000</v>
          </cell>
          <cell r="HU348">
            <v>2000</v>
          </cell>
          <cell r="HW348">
            <v>2000</v>
          </cell>
          <cell r="HX348">
            <v>2000</v>
          </cell>
          <cell r="HZ348">
            <v>2000</v>
          </cell>
          <cell r="IA348">
            <v>2000</v>
          </cell>
          <cell r="IC348">
            <v>2000</v>
          </cell>
          <cell r="ID348">
            <v>2000</v>
          </cell>
          <cell r="IF348">
            <v>2000</v>
          </cell>
        </row>
        <row r="349">
          <cell r="GP349" t="str">
            <v>DCS - LMS100 Upgrade Existing</v>
          </cell>
          <cell r="GS349">
            <v>0</v>
          </cell>
          <cell r="GV349">
            <v>0</v>
          </cell>
          <cell r="GY349">
            <v>0</v>
          </cell>
          <cell r="HB349">
            <v>0</v>
          </cell>
          <cell r="HE349">
            <v>0</v>
          </cell>
          <cell r="HH349">
            <v>0</v>
          </cell>
          <cell r="HK349">
            <v>0</v>
          </cell>
          <cell r="HN349">
            <v>0</v>
          </cell>
          <cell r="HQ349">
            <v>0</v>
          </cell>
          <cell r="HT349">
            <v>0</v>
          </cell>
          <cell r="HW349">
            <v>0</v>
          </cell>
          <cell r="HZ349">
            <v>0</v>
          </cell>
          <cell r="IC349">
            <v>0</v>
          </cell>
          <cell r="IF349">
            <v>0</v>
          </cell>
        </row>
        <row r="350">
          <cell r="GP350" t="str">
            <v xml:space="preserve">DCS - 1x1 F </v>
          </cell>
          <cell r="GQ350">
            <v>2000</v>
          </cell>
          <cell r="GS350">
            <v>2000</v>
          </cell>
          <cell r="GT350">
            <v>2000</v>
          </cell>
          <cell r="GV350">
            <v>2000</v>
          </cell>
          <cell r="GW350">
            <v>2000</v>
          </cell>
          <cell r="GY350">
            <v>2000</v>
          </cell>
          <cell r="GZ350">
            <v>2000</v>
          </cell>
          <cell r="HB350">
            <v>2000</v>
          </cell>
          <cell r="HC350">
            <v>2000</v>
          </cell>
          <cell r="HE350">
            <v>2000</v>
          </cell>
          <cell r="HF350">
            <v>2000</v>
          </cell>
          <cell r="HH350">
            <v>2000</v>
          </cell>
          <cell r="HI350">
            <v>2000</v>
          </cell>
          <cell r="HK350">
            <v>2000</v>
          </cell>
          <cell r="HL350">
            <v>2000</v>
          </cell>
          <cell r="HN350">
            <v>2000</v>
          </cell>
          <cell r="HO350">
            <v>2000</v>
          </cell>
          <cell r="HQ350">
            <v>2000</v>
          </cell>
          <cell r="HR350">
            <v>2000</v>
          </cell>
          <cell r="HT350">
            <v>2000</v>
          </cell>
          <cell r="HU350">
            <v>2000</v>
          </cell>
          <cell r="HW350">
            <v>2000</v>
          </cell>
          <cell r="HX350">
            <v>2000</v>
          </cell>
          <cell r="HZ350">
            <v>2000</v>
          </cell>
          <cell r="IA350">
            <v>2000</v>
          </cell>
          <cell r="IC350">
            <v>2000</v>
          </cell>
          <cell r="ID350">
            <v>2000</v>
          </cell>
          <cell r="IF350">
            <v>2000</v>
          </cell>
        </row>
      </sheetData>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ipa.illinois.gov/content/dam/soi/en/web/ipa/documents/appendix-b-20-oct-2023-11am.xlsx"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26.bin"/><Relationship Id="rId1" Type="http://schemas.openxmlformats.org/officeDocument/2006/relationships/hyperlink" Target="https://www.solar.com/learn/federal-solar-tax-credit-steps-down/"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https://ipa.illinois.gov/content/dam/soi/en/web/ipa/documents/20241022-600pm-appendix-e-aurora-report-1-19-24.pdf" TargetMode="Externa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6.xml.rels><?xml version="1.0" encoding="UTF-8" standalone="yes"?>
<Relationships xmlns="http://schemas.openxmlformats.org/package/2006/relationships"><Relationship Id="rId3" Type="http://schemas.openxmlformats.org/officeDocument/2006/relationships/hyperlink" Target="https://doi.org/10.2172/1891204" TargetMode="External"/><Relationship Id="rId7" Type="http://schemas.openxmlformats.org/officeDocument/2006/relationships/printerSettings" Target="../printerSettings/printerSettings40.bin"/><Relationship Id="rId2" Type="http://schemas.openxmlformats.org/officeDocument/2006/relationships/hyperlink" Target="https://doi.org/10.2172/1891204" TargetMode="External"/><Relationship Id="rId1" Type="http://schemas.openxmlformats.org/officeDocument/2006/relationships/hyperlink" Target="https://atb.nrel.gov/electricity/2022/utility-scale_battery_storage" TargetMode="External"/><Relationship Id="rId6" Type="http://schemas.openxmlformats.org/officeDocument/2006/relationships/hyperlink" Target="https://www.nrel.gov/docs/fy23osti/85332.pdf" TargetMode="External"/><Relationship Id="rId5" Type="http://schemas.openxmlformats.org/officeDocument/2006/relationships/hyperlink" Target="https://www.nrel.gov/docs/fy23osti/85332.pdf" TargetMode="External"/><Relationship Id="rId4" Type="http://schemas.openxmlformats.org/officeDocument/2006/relationships/hyperlink" Target="https://www.nrel.gov/docs/fy23osti/85332.pdf" TargetMode="External"/></Relationships>
</file>

<file path=xl/worksheets/_rels/sheet37.xml.rels><?xml version="1.0" encoding="UTF-8" standalone="yes"?>
<Relationships xmlns="http://schemas.openxmlformats.org/package/2006/relationships"><Relationship Id="rId3" Type="http://schemas.openxmlformats.org/officeDocument/2006/relationships/hyperlink" Target="https://doi.org/10.2172/1891204" TargetMode="External"/><Relationship Id="rId2" Type="http://schemas.openxmlformats.org/officeDocument/2006/relationships/hyperlink" Target="https://doi.org/10.2172/1891204" TargetMode="External"/><Relationship Id="rId1" Type="http://schemas.openxmlformats.org/officeDocument/2006/relationships/hyperlink" Target="https://atb.nrel.gov/electricity/2022/commercial_battery_storage" TargetMode="External"/><Relationship Id="rId6" Type="http://schemas.openxmlformats.org/officeDocument/2006/relationships/printerSettings" Target="../printerSettings/printerSettings41.bin"/><Relationship Id="rId5" Type="http://schemas.openxmlformats.org/officeDocument/2006/relationships/hyperlink" Target="https://www.nrel.gov/docs/fy21osti/78694.pdf" TargetMode="External"/><Relationship Id="rId4" Type="http://schemas.openxmlformats.org/officeDocument/2006/relationships/hyperlink" Target="https://www.nrel.gov/docs/fy21osti/78694.pdf" TargetMode="External"/></Relationships>
</file>

<file path=xl/worksheets/_rels/sheet38.xml.rels><?xml version="1.0" encoding="UTF-8" standalone="yes"?>
<Relationships xmlns="http://schemas.openxmlformats.org/package/2006/relationships"><Relationship Id="rId8" Type="http://schemas.openxmlformats.org/officeDocument/2006/relationships/printerSettings" Target="../printerSettings/printerSettings42.bin"/><Relationship Id="rId3" Type="http://schemas.openxmlformats.org/officeDocument/2006/relationships/hyperlink" Target="https://www.nrel.gov/docs/fy21osti/78694.pdf" TargetMode="External"/><Relationship Id="rId7" Type="http://schemas.openxmlformats.org/officeDocument/2006/relationships/hyperlink" Target="https://www.nrel.gov/docs/fy21osti/78694.pdf" TargetMode="External"/><Relationship Id="rId2" Type="http://schemas.openxmlformats.org/officeDocument/2006/relationships/hyperlink" Target="https://www.nrel.gov/docs/fy21osti/78694.pdf" TargetMode="External"/><Relationship Id="rId1" Type="http://schemas.openxmlformats.org/officeDocument/2006/relationships/hyperlink" Target="https://atb.nrel.gov/electricity/2022/residential_battery_storage" TargetMode="External"/><Relationship Id="rId6" Type="http://schemas.openxmlformats.org/officeDocument/2006/relationships/hyperlink" Target="https://www.nrel.gov/docs/fy21osti/78694.pdf" TargetMode="External"/><Relationship Id="rId5" Type="http://schemas.openxmlformats.org/officeDocument/2006/relationships/hyperlink" Target="https://doi.org/10.2172/1891204" TargetMode="External"/><Relationship Id="rId4" Type="http://schemas.openxmlformats.org/officeDocument/2006/relationships/hyperlink" Target="https://doi.org/10.2172/1891204" TargetMode="Externa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4.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5.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4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50.bin"/><Relationship Id="rId1" Type="http://schemas.openxmlformats.org/officeDocument/2006/relationships/hyperlink" Target="https://www.nrel.gov/docs/fy23osti/84605.pdf" TargetMode="Externa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1.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5.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6.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5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59.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6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3B7C8-617D-4733-87B3-47288C48BE91}">
  <sheetPr codeName="Sheet1"/>
  <dimension ref="B1:D69"/>
  <sheetViews>
    <sheetView zoomScale="115" zoomScaleNormal="115" workbookViewId="0">
      <pane xSplit="2" ySplit="6" topLeftCell="C44" activePane="bottomRight" state="frozen"/>
      <selection pane="topRight" activeCell="C1" sqref="C1"/>
      <selection pane="bottomLeft" activeCell="A7" sqref="A7"/>
      <selection pane="bottomRight" activeCell="B59" sqref="B59"/>
    </sheetView>
  </sheetViews>
  <sheetFormatPr defaultRowHeight="15" x14ac:dyDescent="0.25"/>
  <cols>
    <col min="1" max="1" width="3.28515625" style="3" customWidth="1"/>
    <col min="2" max="2" width="28.28515625" style="3" bestFit="1" customWidth="1"/>
    <col min="3" max="3" width="33.28515625" style="3" customWidth="1"/>
    <col min="4" max="4" width="23" style="3" bestFit="1" customWidth="1"/>
    <col min="5" max="16384" width="9.140625" style="3"/>
  </cols>
  <sheetData>
    <row r="1" spans="2:4" ht="7.5" customHeight="1" x14ac:dyDescent="0.25"/>
    <row r="2" spans="2:4" ht="7.5" customHeight="1" x14ac:dyDescent="0.25"/>
    <row r="3" spans="2:4" ht="18.75" x14ac:dyDescent="0.3">
      <c r="B3" s="36" t="s">
        <v>611</v>
      </c>
    </row>
    <row r="4" spans="2:4" ht="3" customHeight="1" thickBot="1" x14ac:dyDescent="0.3">
      <c r="B4" s="238"/>
      <c r="C4" s="169"/>
      <c r="D4" s="169"/>
    </row>
    <row r="5" spans="2:4" ht="6.75" customHeight="1" thickTop="1" x14ac:dyDescent="0.25">
      <c r="B5" s="239"/>
    </row>
    <row r="6" spans="2:4" x14ac:dyDescent="0.25">
      <c r="B6" s="240" t="s">
        <v>612</v>
      </c>
      <c r="C6" s="3" t="s">
        <v>613</v>
      </c>
      <c r="D6" s="3" t="s">
        <v>154</v>
      </c>
    </row>
    <row r="7" spans="2:4" ht="6" customHeight="1" x14ac:dyDescent="0.25">
      <c r="B7" s="175"/>
      <c r="C7" s="175"/>
      <c r="D7" s="175"/>
    </row>
    <row r="8" spans="2:4" ht="6" customHeight="1" x14ac:dyDescent="0.25"/>
    <row r="9" spans="2:4" x14ac:dyDescent="0.25">
      <c r="B9" s="4" t="s">
        <v>666</v>
      </c>
      <c r="C9" s="15" t="s">
        <v>667</v>
      </c>
    </row>
    <row r="10" spans="2:4" x14ac:dyDescent="0.25">
      <c r="B10" s="3" t="s">
        <v>614</v>
      </c>
      <c r="C10" s="15" t="s">
        <v>667</v>
      </c>
      <c r="D10" s="14"/>
    </row>
    <row r="11" spans="2:4" x14ac:dyDescent="0.25">
      <c r="B11" s="3" t="s">
        <v>3</v>
      </c>
      <c r="C11" s="15" t="s">
        <v>667</v>
      </c>
      <c r="D11" s="14"/>
    </row>
    <row r="12" spans="2:4" x14ac:dyDescent="0.25">
      <c r="B12" s="3" t="s">
        <v>615</v>
      </c>
      <c r="C12" s="15" t="s">
        <v>667</v>
      </c>
      <c r="D12" s="14"/>
    </row>
    <row r="13" spans="2:4" x14ac:dyDescent="0.25">
      <c r="B13" s="3" t="s">
        <v>616</v>
      </c>
      <c r="C13" s="248" t="s">
        <v>668</v>
      </c>
    </row>
    <row r="14" spans="2:4" x14ac:dyDescent="0.25">
      <c r="B14" s="3" t="s">
        <v>617</v>
      </c>
      <c r="C14" s="249" t="s">
        <v>668</v>
      </c>
      <c r="D14" s="4"/>
    </row>
    <row r="15" spans="2:4" x14ac:dyDescent="0.25">
      <c r="B15" s="3" t="s">
        <v>618</v>
      </c>
      <c r="C15" s="248" t="s">
        <v>668</v>
      </c>
    </row>
    <row r="16" spans="2:4" x14ac:dyDescent="0.25">
      <c r="B16" s="3" t="s">
        <v>619</v>
      </c>
      <c r="C16" s="248" t="s">
        <v>668</v>
      </c>
    </row>
    <row r="17" spans="2:4" x14ac:dyDescent="0.25">
      <c r="B17" s="3" t="s">
        <v>620</v>
      </c>
      <c r="C17" s="248" t="s">
        <v>668</v>
      </c>
    </row>
    <row r="18" spans="2:4" x14ac:dyDescent="0.25">
      <c r="B18" s="3" t="s">
        <v>621</v>
      </c>
      <c r="C18" s="249" t="s">
        <v>668</v>
      </c>
      <c r="D18" s="14"/>
    </row>
    <row r="19" spans="2:4" x14ac:dyDescent="0.25">
      <c r="B19" s="3" t="s">
        <v>622</v>
      </c>
      <c r="C19" s="249" t="s">
        <v>668</v>
      </c>
    </row>
    <row r="20" spans="2:4" x14ac:dyDescent="0.25">
      <c r="B20" s="3" t="s">
        <v>623</v>
      </c>
      <c r="C20" s="249" t="s">
        <v>668</v>
      </c>
      <c r="D20" s="4"/>
    </row>
    <row r="21" spans="2:4" x14ac:dyDescent="0.25">
      <c r="B21" s="3" t="s">
        <v>624</v>
      </c>
      <c r="C21" s="248" t="s">
        <v>668</v>
      </c>
      <c r="D21" s="4"/>
    </row>
    <row r="22" spans="2:4" x14ac:dyDescent="0.25">
      <c r="B22" s="3" t="s">
        <v>625</v>
      </c>
      <c r="C22" s="248" t="s">
        <v>668</v>
      </c>
    </row>
    <row r="23" spans="2:4" x14ac:dyDescent="0.25">
      <c r="B23" s="3" t="s">
        <v>626</v>
      </c>
      <c r="C23" s="248" t="s">
        <v>668</v>
      </c>
    </row>
    <row r="24" spans="2:4" x14ac:dyDescent="0.25">
      <c r="B24" s="3" t="s">
        <v>627</v>
      </c>
      <c r="C24" s="241" t="s">
        <v>669</v>
      </c>
    </row>
    <row r="25" spans="2:4" x14ac:dyDescent="0.25">
      <c r="B25" s="3" t="s">
        <v>628</v>
      </c>
      <c r="C25" s="241" t="s">
        <v>669</v>
      </c>
    </row>
    <row r="26" spans="2:4" x14ac:dyDescent="0.25">
      <c r="B26" s="3" t="s">
        <v>629</v>
      </c>
      <c r="C26" s="241" t="s">
        <v>669</v>
      </c>
    </row>
    <row r="27" spans="2:4" x14ac:dyDescent="0.25">
      <c r="B27" s="3" t="s">
        <v>630</v>
      </c>
      <c r="C27" s="241" t="s">
        <v>669</v>
      </c>
    </row>
    <row r="28" spans="2:4" x14ac:dyDescent="0.25">
      <c r="B28" s="3" t="s">
        <v>631</v>
      </c>
      <c r="C28" s="241" t="s">
        <v>669</v>
      </c>
      <c r="D28" s="14"/>
    </row>
    <row r="29" spans="2:4" x14ac:dyDescent="0.25">
      <c r="B29" s="3" t="s">
        <v>632</v>
      </c>
      <c r="C29" s="241" t="s">
        <v>669</v>
      </c>
    </row>
    <row r="30" spans="2:4" x14ac:dyDescent="0.25">
      <c r="B30" s="3" t="s">
        <v>633</v>
      </c>
      <c r="C30" s="241" t="s">
        <v>669</v>
      </c>
    </row>
    <row r="31" spans="2:4" x14ac:dyDescent="0.25">
      <c r="B31" s="3" t="s">
        <v>634</v>
      </c>
      <c r="C31" s="250" t="s">
        <v>674</v>
      </c>
    </row>
    <row r="32" spans="2:4" x14ac:dyDescent="0.25">
      <c r="B32" s="3" t="s">
        <v>15</v>
      </c>
      <c r="C32" s="250" t="s">
        <v>674</v>
      </c>
    </row>
    <row r="33" spans="2:3" x14ac:dyDescent="0.25">
      <c r="B33" s="3" t="s">
        <v>635</v>
      </c>
      <c r="C33" s="250" t="s">
        <v>674</v>
      </c>
    </row>
    <row r="34" spans="2:3" x14ac:dyDescent="0.25">
      <c r="B34" s="3" t="s">
        <v>636</v>
      </c>
      <c r="C34" s="250" t="s">
        <v>674</v>
      </c>
    </row>
    <row r="35" spans="2:3" x14ac:dyDescent="0.25">
      <c r="B35" s="3" t="s">
        <v>637</v>
      </c>
      <c r="C35" s="250" t="s">
        <v>674</v>
      </c>
    </row>
    <row r="36" spans="2:3" x14ac:dyDescent="0.25">
      <c r="B36" s="3" t="s">
        <v>638</v>
      </c>
      <c r="C36" s="251" t="s">
        <v>670</v>
      </c>
    </row>
    <row r="37" spans="2:3" x14ac:dyDescent="0.25">
      <c r="B37" s="3" t="s">
        <v>639</v>
      </c>
      <c r="C37" s="251" t="s">
        <v>670</v>
      </c>
    </row>
    <row r="38" spans="2:3" x14ac:dyDescent="0.25">
      <c r="B38" s="3" t="s">
        <v>640</v>
      </c>
      <c r="C38" s="251" t="s">
        <v>670</v>
      </c>
    </row>
    <row r="39" spans="2:3" x14ac:dyDescent="0.25">
      <c r="B39" s="3" t="s">
        <v>641</v>
      </c>
      <c r="C39" s="251" t="s">
        <v>670</v>
      </c>
    </row>
    <row r="40" spans="2:3" x14ac:dyDescent="0.25">
      <c r="B40" s="3" t="s">
        <v>642</v>
      </c>
      <c r="C40" s="252" t="s">
        <v>671</v>
      </c>
    </row>
    <row r="41" spans="2:3" x14ac:dyDescent="0.25">
      <c r="B41" s="3" t="s">
        <v>643</v>
      </c>
      <c r="C41" s="252" t="s">
        <v>671</v>
      </c>
    </row>
    <row r="42" spans="2:3" x14ac:dyDescent="0.25">
      <c r="B42" s="3" t="s">
        <v>644</v>
      </c>
      <c r="C42" s="252" t="s">
        <v>671</v>
      </c>
    </row>
    <row r="43" spans="2:3" x14ac:dyDescent="0.25">
      <c r="B43" s="3" t="s">
        <v>645</v>
      </c>
      <c r="C43" s="252" t="s">
        <v>671</v>
      </c>
    </row>
    <row r="44" spans="2:3" x14ac:dyDescent="0.25">
      <c r="B44" s="3" t="s">
        <v>646</v>
      </c>
      <c r="C44" s="252" t="s">
        <v>671</v>
      </c>
    </row>
    <row r="45" spans="2:3" x14ac:dyDescent="0.25">
      <c r="B45" s="3" t="s">
        <v>647</v>
      </c>
      <c r="C45" s="252" t="s">
        <v>671</v>
      </c>
    </row>
    <row r="46" spans="2:3" x14ac:dyDescent="0.25">
      <c r="B46" s="3" t="s">
        <v>648</v>
      </c>
      <c r="C46" s="252" t="s">
        <v>671</v>
      </c>
    </row>
    <row r="47" spans="2:3" x14ac:dyDescent="0.25">
      <c r="B47" s="3" t="s">
        <v>272</v>
      </c>
      <c r="C47" s="252" t="s">
        <v>671</v>
      </c>
    </row>
    <row r="48" spans="2:3" x14ac:dyDescent="0.25">
      <c r="B48" s="3" t="s">
        <v>649</v>
      </c>
      <c r="C48" s="252" t="s">
        <v>671</v>
      </c>
    </row>
    <row r="49" spans="2:3" x14ac:dyDescent="0.25">
      <c r="B49" s="3" t="s">
        <v>650</v>
      </c>
      <c r="C49" s="252" t="s">
        <v>671</v>
      </c>
    </row>
    <row r="50" spans="2:3" x14ac:dyDescent="0.25">
      <c r="B50" s="3" t="s">
        <v>651</v>
      </c>
      <c r="C50" s="252" t="s">
        <v>671</v>
      </c>
    </row>
    <row r="51" spans="2:3" x14ac:dyDescent="0.25">
      <c r="B51" s="3" t="s">
        <v>652</v>
      </c>
      <c r="C51" s="252" t="s">
        <v>671</v>
      </c>
    </row>
    <row r="52" spans="2:3" x14ac:dyDescent="0.25">
      <c r="B52" s="3" t="s">
        <v>653</v>
      </c>
      <c r="C52" s="252" t="s">
        <v>671</v>
      </c>
    </row>
    <row r="53" spans="2:3" x14ac:dyDescent="0.25">
      <c r="B53" s="3" t="s">
        <v>654</v>
      </c>
      <c r="C53" s="252" t="s">
        <v>671</v>
      </c>
    </row>
    <row r="54" spans="2:3" x14ac:dyDescent="0.25">
      <c r="B54" s="3" t="s">
        <v>655</v>
      </c>
      <c r="C54" s="254" t="s">
        <v>672</v>
      </c>
    </row>
    <row r="55" spans="2:3" x14ac:dyDescent="0.25">
      <c r="B55" s="3" t="s">
        <v>656</v>
      </c>
      <c r="C55" s="254" t="s">
        <v>672</v>
      </c>
    </row>
    <row r="56" spans="2:3" x14ac:dyDescent="0.25">
      <c r="B56" s="3" t="s">
        <v>657</v>
      </c>
      <c r="C56" s="254" t="s">
        <v>672</v>
      </c>
    </row>
    <row r="57" spans="2:3" x14ac:dyDescent="0.25">
      <c r="B57" s="3" t="s">
        <v>389</v>
      </c>
      <c r="C57" s="254" t="s">
        <v>672</v>
      </c>
    </row>
    <row r="58" spans="2:3" x14ac:dyDescent="0.25">
      <c r="B58" s="3" t="s">
        <v>779</v>
      </c>
      <c r="C58" s="254" t="s">
        <v>672</v>
      </c>
    </row>
    <row r="59" spans="2:3" x14ac:dyDescent="0.25">
      <c r="B59" s="3" t="s">
        <v>658</v>
      </c>
      <c r="C59" s="254" t="s">
        <v>672</v>
      </c>
    </row>
    <row r="60" spans="2:3" x14ac:dyDescent="0.25">
      <c r="B60" s="3" t="s">
        <v>659</v>
      </c>
      <c r="C60" s="253" t="s">
        <v>673</v>
      </c>
    </row>
    <row r="61" spans="2:3" x14ac:dyDescent="0.25">
      <c r="B61" s="3" t="s">
        <v>660</v>
      </c>
      <c r="C61" s="253" t="s">
        <v>673</v>
      </c>
    </row>
    <row r="62" spans="2:3" x14ac:dyDescent="0.25">
      <c r="B62" s="3" t="s">
        <v>661</v>
      </c>
      <c r="C62" s="253" t="s">
        <v>673</v>
      </c>
    </row>
    <row r="63" spans="2:3" x14ac:dyDescent="0.25">
      <c r="B63" s="3" t="s">
        <v>51</v>
      </c>
      <c r="C63" s="253" t="s">
        <v>673</v>
      </c>
    </row>
    <row r="64" spans="2:3" x14ac:dyDescent="0.25">
      <c r="B64" s="3" t="s">
        <v>662</v>
      </c>
      <c r="C64" s="253" t="s">
        <v>673</v>
      </c>
    </row>
    <row r="65" spans="2:4" x14ac:dyDescent="0.25">
      <c r="B65" s="3" t="s">
        <v>663</v>
      </c>
      <c r="C65" s="253" t="s">
        <v>673</v>
      </c>
    </row>
    <row r="66" spans="2:4" x14ac:dyDescent="0.25">
      <c r="B66" s="3" t="s">
        <v>664</v>
      </c>
      <c r="C66" s="253" t="s">
        <v>673</v>
      </c>
    </row>
    <row r="67" spans="2:4" x14ac:dyDescent="0.25">
      <c r="B67" s="3" t="s">
        <v>52</v>
      </c>
      <c r="C67" s="253" t="s">
        <v>673</v>
      </c>
    </row>
    <row r="68" spans="2:4" ht="3" customHeight="1" thickBot="1" x14ac:dyDescent="0.3">
      <c r="B68" s="169"/>
      <c r="C68" s="169"/>
      <c r="D68" s="169"/>
    </row>
    <row r="69" spans="2:4" ht="8.25" customHeight="1" thickTop="1" x14ac:dyDescent="0.25"/>
  </sheetData>
  <printOptions horizontalCentered="1" verticalCentered="1"/>
  <pageMargins left="0.7" right="0.7" top="0.75" bottom="0.75" header="0.3" footer="0.3"/>
  <pageSetup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FA16B-57A0-4DAF-A74A-A1189F2F8063}">
  <sheetPr codeName="Sheet15">
    <tabColor rgb="FF00B050"/>
  </sheetPr>
  <dimension ref="A1:H13"/>
  <sheetViews>
    <sheetView zoomScaleNormal="100" workbookViewId="0"/>
  </sheetViews>
  <sheetFormatPr defaultRowHeight="15" x14ac:dyDescent="0.25"/>
  <cols>
    <col min="1" max="2" width="12" style="3" customWidth="1"/>
    <col min="3" max="8" width="15" style="7" customWidth="1"/>
    <col min="9" max="16384" width="9.140625" style="3"/>
  </cols>
  <sheetData>
    <row r="1" spans="1:8" x14ac:dyDescent="0.25">
      <c r="A1" s="31" t="s">
        <v>111</v>
      </c>
    </row>
    <row r="2" spans="1:8" x14ac:dyDescent="0.25">
      <c r="A2" s="31" t="s">
        <v>610</v>
      </c>
      <c r="B2" s="31"/>
      <c r="C2" s="442"/>
    </row>
    <row r="3" spans="1:8" ht="9" customHeight="1" thickBot="1" x14ac:dyDescent="0.3">
      <c r="A3" s="581"/>
      <c r="B3" s="581"/>
      <c r="C3" s="582"/>
      <c r="D3" s="583"/>
      <c r="E3" s="583"/>
      <c r="F3" s="583"/>
      <c r="G3" s="583"/>
      <c r="H3" s="583"/>
    </row>
    <row r="4" spans="1:8" ht="8.25" customHeight="1" thickTop="1" x14ac:dyDescent="0.25">
      <c r="A4" s="10"/>
      <c r="B4" s="10"/>
      <c r="C4" s="584"/>
      <c r="D4" s="16"/>
      <c r="E4" s="16"/>
      <c r="F4" s="16"/>
      <c r="G4" s="16"/>
      <c r="H4" s="16"/>
    </row>
    <row r="5" spans="1:8" ht="30" x14ac:dyDescent="0.25">
      <c r="A5" s="585" t="s">
        <v>2</v>
      </c>
      <c r="B5" s="586" t="s">
        <v>23</v>
      </c>
      <c r="C5" s="586" t="s">
        <v>3</v>
      </c>
      <c r="D5" s="586" t="s">
        <v>4</v>
      </c>
      <c r="E5" s="176" t="s">
        <v>102</v>
      </c>
      <c r="F5" s="586" t="s">
        <v>5</v>
      </c>
      <c r="G5" s="587" t="s">
        <v>12</v>
      </c>
      <c r="H5" s="586" t="s">
        <v>100</v>
      </c>
    </row>
    <row r="6" spans="1:8" x14ac:dyDescent="0.25">
      <c r="A6" s="588"/>
      <c r="B6" s="588"/>
      <c r="C6" s="597" t="s">
        <v>105</v>
      </c>
      <c r="D6" s="597"/>
      <c r="E6" s="597"/>
      <c r="F6" s="597"/>
      <c r="G6" s="597"/>
      <c r="H6" s="589" t="s">
        <v>106</v>
      </c>
    </row>
    <row r="7" spans="1:8" ht="6.75" customHeight="1" x14ac:dyDescent="0.25">
      <c r="A7" s="590"/>
      <c r="B7" s="590"/>
      <c r="C7" s="591"/>
      <c r="D7" s="591"/>
      <c r="E7" s="591"/>
      <c r="F7" s="591"/>
      <c r="G7" s="591"/>
      <c r="H7" s="592"/>
    </row>
    <row r="8" spans="1:8" x14ac:dyDescent="0.25">
      <c r="A8" s="593" t="s">
        <v>7</v>
      </c>
      <c r="B8" s="594">
        <f>SUM(OSW_Annual!K42:L42)/thousand</f>
        <v>1730410.0499793573</v>
      </c>
      <c r="C8" s="594">
        <f>OSW_Annual!C42/thousand</f>
        <v>558103.69999999995</v>
      </c>
      <c r="D8" s="594">
        <f>OSW_Annual!D42/thousand</f>
        <v>173668.98898928575</v>
      </c>
      <c r="E8" s="167">
        <f>SUM(C8:D8)-B8</f>
        <v>-998637.36099007155</v>
      </c>
      <c r="F8" s="594">
        <f>OSW_Annual!E42/thousand</f>
        <v>301629.34916261962</v>
      </c>
      <c r="G8" s="594">
        <f>E8+F8</f>
        <v>-697008.01182745188</v>
      </c>
      <c r="H8" s="594">
        <f>OSW_Annual!F42/thousand</f>
        <v>13665.744000000001</v>
      </c>
    </row>
    <row r="9" spans="1:8" x14ac:dyDescent="0.25">
      <c r="A9" s="593" t="s">
        <v>8</v>
      </c>
      <c r="B9" s="594">
        <f>SUM(Storage_Annual!K42:L42)/thousand</f>
        <v>33916273.308489345</v>
      </c>
      <c r="C9" s="594">
        <f>Storage_Annual!C42/thousand</f>
        <v>3082900.1809999999</v>
      </c>
      <c r="D9" s="594">
        <f>Storage_Annual!D42/thousand</f>
        <v>22127646.396603525</v>
      </c>
      <c r="E9" s="167">
        <f t="shared" ref="E9:E11" si="0">SUM(C9:D9)-B9</f>
        <v>-8705726.7308858186</v>
      </c>
      <c r="F9" s="594">
        <f>Storage_Annual!E42/thousand</f>
        <v>739110.57509748172</v>
      </c>
      <c r="G9" s="594">
        <f t="shared" ref="G9:G11" si="1">E9+F9</f>
        <v>-7966616.1557883369</v>
      </c>
      <c r="H9" s="594">
        <f>Storage_Annual!F42/thousand</f>
        <v>160849.31670999998</v>
      </c>
    </row>
    <row r="10" spans="1:8" x14ac:dyDescent="0.25">
      <c r="A10" s="593" t="s">
        <v>9</v>
      </c>
      <c r="B10" s="594">
        <f>SUM(SooGreen_Annual!M42)/thousand</f>
        <v>29643047.105530556</v>
      </c>
      <c r="C10" s="594">
        <f>SooGreen_Annual!C42/thousand</f>
        <v>9348274.9016864076</v>
      </c>
      <c r="D10" s="594">
        <f>SooGreen_Annual!D42/thousand</f>
        <v>7072805.5767458891</v>
      </c>
      <c r="E10" s="167">
        <f t="shared" si="0"/>
        <v>-13221966.627098259</v>
      </c>
      <c r="F10" s="594">
        <f>SooGreen_Annual!E42/thousand</f>
        <v>5858041.9722655797</v>
      </c>
      <c r="G10" s="594">
        <f t="shared" si="1"/>
        <v>-7363924.6548326788</v>
      </c>
      <c r="H10" s="594">
        <f>SooGreen_Annual!F42/thousand</f>
        <v>256891.1479850873</v>
      </c>
    </row>
    <row r="11" spans="1:8" x14ac:dyDescent="0.25">
      <c r="A11" s="593" t="s">
        <v>10</v>
      </c>
      <c r="B11" s="594">
        <f>SUM(B8:B10)</f>
        <v>65289730.463999256</v>
      </c>
      <c r="C11" s="594">
        <f>All_Annual!C42/thousand</f>
        <v>13023447.455496406</v>
      </c>
      <c r="D11" s="594">
        <f>All_Annual!D42/thousand</f>
        <v>29374120.962338701</v>
      </c>
      <c r="E11" s="167">
        <f t="shared" si="0"/>
        <v>-22892162.046164148</v>
      </c>
      <c r="F11" s="594">
        <f>All_Annual!E42/thousand</f>
        <v>6224719.0183999212</v>
      </c>
      <c r="G11" s="594">
        <f t="shared" si="1"/>
        <v>-16667443.027764227</v>
      </c>
      <c r="H11" s="594">
        <f>All_Annual!F42/thousand</f>
        <v>430468.68202775734</v>
      </c>
    </row>
    <row r="12" spans="1:8" ht="7.5" customHeight="1" thickBot="1" x14ac:dyDescent="0.3">
      <c r="A12" s="595"/>
      <c r="B12" s="595"/>
      <c r="C12" s="596"/>
      <c r="D12" s="596"/>
      <c r="E12" s="596"/>
      <c r="F12" s="596"/>
      <c r="G12" s="596"/>
      <c r="H12" s="596"/>
    </row>
    <row r="13" spans="1:8" ht="6" customHeight="1" thickTop="1" x14ac:dyDescent="0.25"/>
  </sheetData>
  <autoFilter ref="A5:H11" xr:uid="{7AD51013-3C01-452B-9E2F-74633C0FE00B}"/>
  <mergeCells count="1">
    <mergeCell ref="C6:G6"/>
  </mergeCells>
  <pageMargins left="0.7" right="0.7" top="0.75" bottom="0.75" header="0.3" footer="0.3"/>
  <pageSetup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64506-2B6F-4717-A676-A6EC879B2597}">
  <sheetPr codeName="Sheet19">
    <tabColor rgb="FF00B050"/>
    <pageSetUpPr fitToPage="1"/>
  </sheetPr>
  <dimension ref="A2:I30"/>
  <sheetViews>
    <sheetView zoomScale="85" zoomScaleNormal="85" workbookViewId="0"/>
  </sheetViews>
  <sheetFormatPr defaultRowHeight="15" x14ac:dyDescent="0.25"/>
  <cols>
    <col min="1" max="1" width="20.7109375" style="3" customWidth="1"/>
    <col min="2" max="7" width="15.140625" style="3" customWidth="1"/>
    <col min="8" max="8" width="9.140625" style="3"/>
    <col min="9" max="9" width="18.42578125" style="3" bestFit="1" customWidth="1"/>
    <col min="10" max="16384" width="9.140625" style="3"/>
  </cols>
  <sheetData>
    <row r="2" spans="1:7" x14ac:dyDescent="0.25">
      <c r="A2" s="2" t="s">
        <v>103</v>
      </c>
    </row>
    <row r="3" spans="1:7" ht="15.75" thickBot="1" x14ac:dyDescent="0.3">
      <c r="A3" s="169"/>
      <c r="B3" s="169"/>
      <c r="C3" s="169"/>
      <c r="D3" s="169"/>
      <c r="E3" s="169"/>
      <c r="F3" s="169"/>
      <c r="G3" s="169"/>
    </row>
    <row r="4" spans="1:7" ht="15.75" thickTop="1" x14ac:dyDescent="0.25">
      <c r="C4" s="179"/>
    </row>
    <row r="5" spans="1:7" ht="30" x14ac:dyDescent="0.25">
      <c r="A5" s="178" t="s">
        <v>2</v>
      </c>
      <c r="B5" s="177" t="s">
        <v>23</v>
      </c>
      <c r="C5" s="177" t="s">
        <v>3</v>
      </c>
      <c r="D5" s="177" t="s">
        <v>4</v>
      </c>
      <c r="E5" s="176" t="s">
        <v>102</v>
      </c>
      <c r="F5" s="177" t="s">
        <v>5</v>
      </c>
      <c r="G5" s="176" t="s">
        <v>101</v>
      </c>
    </row>
    <row r="6" spans="1:7" x14ac:dyDescent="0.25">
      <c r="A6" s="175"/>
      <c r="B6" s="174"/>
      <c r="C6" s="174"/>
      <c r="D6" s="174"/>
      <c r="E6" s="173"/>
      <c r="F6" s="174"/>
      <c r="G6" s="173"/>
    </row>
    <row r="7" spans="1:7" x14ac:dyDescent="0.25">
      <c r="C7" s="172"/>
      <c r="D7" s="172"/>
      <c r="E7" s="172"/>
      <c r="F7" s="172"/>
      <c r="G7" s="172"/>
    </row>
    <row r="8" spans="1:7" x14ac:dyDescent="0.25">
      <c r="A8" s="4" t="s">
        <v>492</v>
      </c>
      <c r="B8" s="167">
        <f>Battery_Comm_Resi_Annual!O43</f>
        <v>3957810143.8806362</v>
      </c>
      <c r="C8" s="167">
        <f>Battery_Comm_Resi_Annual!G43</f>
        <v>302828209.72950274</v>
      </c>
      <c r="D8" s="167">
        <f>Battery_Comm_Resi_Annual!H43</f>
        <v>1889423188.510473</v>
      </c>
      <c r="E8" s="167">
        <f>SUM(C8:D8)-B8</f>
        <v>-1765558745.6406603</v>
      </c>
      <c r="F8" s="167">
        <f>Battery_Comm_Resi_Annual!I43</f>
        <v>81149624.968903333</v>
      </c>
      <c r="G8" s="167">
        <f>E8+F8</f>
        <v>-1684409120.671757</v>
      </c>
    </row>
    <row r="9" spans="1:7" x14ac:dyDescent="0.25">
      <c r="A9" s="4" t="s">
        <v>491</v>
      </c>
      <c r="B9" s="167">
        <f>B8/$B$13</f>
        <v>197890507.1940318</v>
      </c>
      <c r="C9" s="167">
        <f>C8/$B$13</f>
        <v>15141410.486475136</v>
      </c>
      <c r="D9" s="167">
        <f>D8/$B$13</f>
        <v>94471159.425523654</v>
      </c>
      <c r="E9" s="167">
        <f>SUM(C9:D9)-B9</f>
        <v>-88277937.282033011</v>
      </c>
      <c r="F9" s="167">
        <f>F8/$B$13</f>
        <v>4057481.2484451667</v>
      </c>
      <c r="G9" s="167">
        <f>E9+F9</f>
        <v>-84220456.033587843</v>
      </c>
    </row>
    <row r="10" spans="1:7" ht="15.75" thickBot="1" x14ac:dyDescent="0.3">
      <c r="A10" s="169"/>
      <c r="B10" s="169"/>
      <c r="C10" s="169"/>
      <c r="D10" s="169"/>
      <c r="E10" s="169"/>
      <c r="F10" s="169"/>
      <c r="G10" s="169"/>
    </row>
    <row r="11" spans="1:7" ht="15.75" thickTop="1" x14ac:dyDescent="0.25"/>
    <row r="13" spans="1:7" x14ac:dyDescent="0.25">
      <c r="A13" s="3" t="s">
        <v>104</v>
      </c>
      <c r="B13" s="181">
        <v>20</v>
      </c>
    </row>
    <row r="14" spans="1:7" x14ac:dyDescent="0.25">
      <c r="B14" s="180"/>
    </row>
    <row r="15" spans="1:7" ht="23.25" x14ac:dyDescent="0.35">
      <c r="A15" s="237" t="s">
        <v>490</v>
      </c>
    </row>
    <row r="16" spans="1:7" x14ac:dyDescent="0.25">
      <c r="A16" s="2" t="s">
        <v>108</v>
      </c>
    </row>
    <row r="17" spans="1:9" ht="4.5" customHeight="1" thickBot="1" x14ac:dyDescent="0.3">
      <c r="A17" s="169"/>
      <c r="B17" s="169"/>
      <c r="C17" s="169"/>
      <c r="D17" s="169"/>
      <c r="E17" s="169"/>
      <c r="F17" s="169"/>
      <c r="G17" s="169"/>
    </row>
    <row r="18" spans="1:9" ht="6.75" customHeight="1" thickTop="1" x14ac:dyDescent="0.25">
      <c r="C18" s="179"/>
    </row>
    <row r="19" spans="1:9" ht="30" x14ac:dyDescent="0.25">
      <c r="A19" s="178" t="s">
        <v>489</v>
      </c>
      <c r="B19" s="177" t="s">
        <v>23</v>
      </c>
      <c r="C19" s="177" t="s">
        <v>3</v>
      </c>
      <c r="D19" s="177" t="s">
        <v>4</v>
      </c>
      <c r="E19" s="176" t="s">
        <v>102</v>
      </c>
      <c r="F19" s="177" t="s">
        <v>5</v>
      </c>
      <c r="G19" s="176" t="s">
        <v>12</v>
      </c>
    </row>
    <row r="20" spans="1:9" ht="5.25" customHeight="1" x14ac:dyDescent="0.25">
      <c r="A20" s="175"/>
      <c r="B20" s="174"/>
      <c r="C20" s="174"/>
      <c r="D20" s="174"/>
      <c r="E20" s="173"/>
      <c r="F20" s="174"/>
      <c r="G20" s="173"/>
    </row>
    <row r="21" spans="1:9" ht="5.25" customHeight="1" x14ac:dyDescent="0.25">
      <c r="C21" s="172"/>
      <c r="D21" s="172"/>
      <c r="E21" s="172"/>
      <c r="F21" s="172"/>
      <c r="G21" s="172"/>
    </row>
    <row r="22" spans="1:9" x14ac:dyDescent="0.25">
      <c r="A22" s="4" t="s">
        <v>488</v>
      </c>
      <c r="B22" s="167">
        <f>B9/10^3</f>
        <v>197890.50719403182</v>
      </c>
      <c r="C22" s="167">
        <f>C9/10^3</f>
        <v>15141.410486475135</v>
      </c>
      <c r="D22" s="167">
        <f>D9/10^3</f>
        <v>94471.159425523656</v>
      </c>
      <c r="E22" s="167">
        <f>E9/10^3</f>
        <v>-88277.937282033017</v>
      </c>
      <c r="F22" s="167">
        <f>F9/10^3</f>
        <v>4057.4812484451668</v>
      </c>
      <c r="G22" s="167">
        <f>E22+F22</f>
        <v>-84220.456033587849</v>
      </c>
      <c r="I22" s="7" t="s">
        <v>6</v>
      </c>
    </row>
    <row r="23" spans="1:9" x14ac:dyDescent="0.25">
      <c r="A23" s="4" t="s">
        <v>487</v>
      </c>
      <c r="B23" s="171">
        <f>B9/$I$23</f>
        <v>7.9969921912385153</v>
      </c>
      <c r="C23" s="171">
        <f>C9/$I$23</f>
        <v>0.61188251595087362</v>
      </c>
      <c r="D23" s="171">
        <f>D9/$I$23</f>
        <v>3.8176925964538952</v>
      </c>
      <c r="E23" s="171">
        <f>SUM(C23:D23)-B23</f>
        <v>-3.5674170788337465</v>
      </c>
      <c r="F23" s="171">
        <f>F9/$I$23</f>
        <v>0.16396767242653917</v>
      </c>
      <c r="G23" s="171">
        <f>E23+F23</f>
        <v>-3.4034494064072072</v>
      </c>
      <c r="I23" s="170">
        <f>Battery_Comm_Resi_Annual!J43</f>
        <v>24745617.159766663</v>
      </c>
    </row>
    <row r="24" spans="1:9" ht="5.25" customHeight="1" thickBot="1" x14ac:dyDescent="0.3">
      <c r="A24" s="169"/>
      <c r="B24" s="168"/>
      <c r="C24" s="168"/>
      <c r="D24" s="168"/>
      <c r="E24" s="168"/>
      <c r="F24" s="168"/>
      <c r="G24" s="168"/>
    </row>
    <row r="25" spans="1:9" ht="3.75" customHeight="1" thickTop="1" x14ac:dyDescent="0.25">
      <c r="B25" s="167"/>
      <c r="C25" s="167"/>
      <c r="D25" s="167"/>
      <c r="E25" s="167"/>
      <c r="F25" s="167"/>
      <c r="G25" s="167"/>
    </row>
    <row r="26" spans="1:9" x14ac:dyDescent="0.25">
      <c r="B26" s="167"/>
      <c r="C26" s="167"/>
      <c r="D26" s="167"/>
      <c r="E26" s="167"/>
      <c r="F26" s="167"/>
      <c r="G26" s="167"/>
    </row>
    <row r="30" spans="1:9" x14ac:dyDescent="0.25">
      <c r="D30" s="167"/>
      <c r="E30" s="167"/>
      <c r="F30" s="167"/>
      <c r="G30" s="167"/>
    </row>
  </sheetData>
  <printOptions horizontalCentered="1" verticalCentered="1"/>
  <pageMargins left="0.7" right="0.7" top="0.75" bottom="0.75" header="0.3" footer="0.3"/>
  <pageSetup orientation="landscape"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B59F9-4542-4641-9B37-DB0F4B7BD760}">
  <sheetPr codeName="Sheet20">
    <tabColor rgb="FF00B050"/>
    <pageSetUpPr fitToPage="1"/>
  </sheetPr>
  <dimension ref="A2:G27"/>
  <sheetViews>
    <sheetView zoomScale="85" zoomScaleNormal="85" workbookViewId="0"/>
  </sheetViews>
  <sheetFormatPr defaultRowHeight="15" x14ac:dyDescent="0.25"/>
  <cols>
    <col min="1" max="1" width="11.28515625" style="3" customWidth="1"/>
    <col min="2" max="7" width="15.140625" style="3" customWidth="1"/>
    <col min="8" max="16384" width="9.140625" style="3"/>
  </cols>
  <sheetData>
    <row r="2" spans="1:7" x14ac:dyDescent="0.25">
      <c r="A2" s="2" t="s">
        <v>103</v>
      </c>
    </row>
    <row r="3" spans="1:7" ht="15.75" thickBot="1" x14ac:dyDescent="0.3">
      <c r="A3" s="169"/>
      <c r="B3" s="169"/>
      <c r="C3" s="169"/>
      <c r="D3" s="169"/>
      <c r="E3" s="169"/>
      <c r="F3" s="169"/>
      <c r="G3" s="169"/>
    </row>
    <row r="4" spans="1:7" ht="6.75" customHeight="1" thickTop="1" x14ac:dyDescent="0.25">
      <c r="C4" s="179"/>
    </row>
    <row r="5" spans="1:7" ht="30" x14ac:dyDescent="0.25">
      <c r="A5" s="178" t="s">
        <v>2</v>
      </c>
      <c r="B5" s="177" t="s">
        <v>23</v>
      </c>
      <c r="C5" s="177" t="s">
        <v>3</v>
      </c>
      <c r="D5" s="177" t="s">
        <v>4</v>
      </c>
      <c r="E5" s="176" t="s">
        <v>102</v>
      </c>
      <c r="F5" s="177" t="s">
        <v>5</v>
      </c>
      <c r="G5" s="176" t="s">
        <v>101</v>
      </c>
    </row>
    <row r="6" spans="1:7" ht="5.25" customHeight="1" x14ac:dyDescent="0.25">
      <c r="A6" s="175"/>
      <c r="B6" s="174"/>
      <c r="C6" s="174"/>
      <c r="D6" s="174"/>
      <c r="E6" s="173"/>
      <c r="F6" s="174"/>
      <c r="G6" s="173"/>
    </row>
    <row r="7" spans="1:7" ht="5.25" customHeight="1" x14ac:dyDescent="0.25">
      <c r="C7" s="172"/>
      <c r="D7" s="172"/>
      <c r="E7" s="172"/>
      <c r="F7" s="172"/>
      <c r="G7" s="172"/>
    </row>
    <row r="8" spans="1:7" x14ac:dyDescent="0.25">
      <c r="A8" s="3" t="s">
        <v>7</v>
      </c>
      <c r="B8" s="167">
        <f>'Report_Figure 24_Data'!G3</f>
        <v>1098454108.6406276</v>
      </c>
      <c r="C8" s="167">
        <f>'Report_Figure 24_Data'!B3</f>
        <v>352359950.56768531</v>
      </c>
      <c r="D8" s="167">
        <f>'Report_Figure 24_Data'!C3</f>
        <v>104581523.36618562</v>
      </c>
      <c r="E8" s="167">
        <f>SUM(C8:D8)-B8</f>
        <v>-641512634.70675671</v>
      </c>
      <c r="F8" s="167">
        <f>'Report_Figure 24_Data'!D3</f>
        <v>177504642.4517839</v>
      </c>
      <c r="G8" s="167">
        <f>E8+F8</f>
        <v>-464007992.25497282</v>
      </c>
    </row>
    <row r="9" spans="1:7" x14ac:dyDescent="0.25">
      <c r="A9" s="3" t="s">
        <v>8</v>
      </c>
      <c r="B9" s="167">
        <f>'Report_Figure 24_Data'!G4</f>
        <v>21003199135.454369</v>
      </c>
      <c r="C9" s="167">
        <f>'Report_Figure 24_Data'!B4</f>
        <v>1925517789.6515417</v>
      </c>
      <c r="D9" s="167">
        <f>'Report_Figure 24_Data'!C4</f>
        <v>13380498086.199961</v>
      </c>
      <c r="E9" s="167">
        <f t="shared" ref="E9:E11" si="0">SUM(C9:D9)-B9</f>
        <v>-5697183259.6028671</v>
      </c>
      <c r="F9" s="167">
        <f>'Report_Figure 24_Data'!D4</f>
        <v>452328709.44430816</v>
      </c>
      <c r="G9" s="167">
        <f t="shared" ref="G9:G11" si="1">E9+F9</f>
        <v>-5244854550.1585588</v>
      </c>
    </row>
    <row r="10" spans="1:7" x14ac:dyDescent="0.25">
      <c r="A10" s="3" t="s">
        <v>9</v>
      </c>
      <c r="B10" s="167">
        <f>'Report_Figure 24_Data'!G5</f>
        <v>19170014150.089909</v>
      </c>
      <c r="C10" s="167">
        <f>'Report_Figure 24_Data'!B5</f>
        <v>5919798508.0397139</v>
      </c>
      <c r="D10" s="167">
        <f>'Report_Figure 24_Data'!C5</f>
        <v>4259164436.8619652</v>
      </c>
      <c r="E10" s="167">
        <f t="shared" si="0"/>
        <v>-8991051205.1882286</v>
      </c>
      <c r="F10" s="167">
        <f>'Report_Figure 24_Data'!D5</f>
        <v>3566109981.6709867</v>
      </c>
      <c r="G10" s="167">
        <f t="shared" si="1"/>
        <v>-5424941223.5172424</v>
      </c>
    </row>
    <row r="11" spans="1:7" x14ac:dyDescent="0.25">
      <c r="A11" s="3" t="s">
        <v>10</v>
      </c>
      <c r="B11" s="167">
        <f>'Report_Figure 24_Data'!G6</f>
        <v>41271667394.184906</v>
      </c>
      <c r="C11" s="167">
        <f>'Report_Figure 24_Data'!B6</f>
        <v>8223378785.0413322</v>
      </c>
      <c r="D11" s="167">
        <f>'Report_Figure 24_Data'!C6</f>
        <v>17744244046.428112</v>
      </c>
      <c r="E11" s="167">
        <f t="shared" si="0"/>
        <v>-15304044562.715462</v>
      </c>
      <c r="F11" s="167">
        <f>'Report_Figure 24_Data'!D6</f>
        <v>3769808091.3193884</v>
      </c>
      <c r="G11" s="167">
        <f t="shared" si="1"/>
        <v>-11534236471.396072</v>
      </c>
    </row>
    <row r="12" spans="1:7" ht="2.25" customHeight="1" thickBot="1" x14ac:dyDescent="0.3">
      <c r="A12" s="169"/>
      <c r="B12" s="169"/>
      <c r="C12" s="169"/>
      <c r="D12" s="169"/>
      <c r="E12" s="169"/>
      <c r="F12" s="169"/>
      <c r="G12" s="169"/>
    </row>
    <row r="13" spans="1:7" ht="15.75" thickTop="1" x14ac:dyDescent="0.25"/>
    <row r="15" spans="1:7" x14ac:dyDescent="0.25">
      <c r="A15" s="31" t="s">
        <v>110</v>
      </c>
    </row>
    <row r="16" spans="1:7" x14ac:dyDescent="0.25">
      <c r="A16" s="2" t="s">
        <v>108</v>
      </c>
    </row>
    <row r="17" spans="1:7" ht="4.5" customHeight="1" thickBot="1" x14ac:dyDescent="0.3">
      <c r="A17" s="169"/>
      <c r="B17" s="169"/>
      <c r="C17" s="169"/>
      <c r="D17" s="169"/>
      <c r="E17" s="169"/>
      <c r="F17" s="169"/>
      <c r="G17" s="169"/>
    </row>
    <row r="18" spans="1:7" ht="6.75" customHeight="1" thickTop="1" x14ac:dyDescent="0.25">
      <c r="C18" s="179"/>
    </row>
    <row r="19" spans="1:7" ht="30" x14ac:dyDescent="0.25">
      <c r="A19" s="178" t="s">
        <v>2</v>
      </c>
      <c r="B19" s="177" t="s">
        <v>23</v>
      </c>
      <c r="C19" s="177" t="s">
        <v>3</v>
      </c>
      <c r="D19" s="177" t="s">
        <v>4</v>
      </c>
      <c r="E19" s="176" t="s">
        <v>102</v>
      </c>
      <c r="F19" s="177" t="s">
        <v>5</v>
      </c>
      <c r="G19" s="176" t="s">
        <v>12</v>
      </c>
    </row>
    <row r="20" spans="1:7" ht="5.25" customHeight="1" x14ac:dyDescent="0.25">
      <c r="A20" s="175"/>
      <c r="B20" s="174"/>
      <c r="C20" s="174"/>
      <c r="D20" s="174"/>
      <c r="E20" s="173"/>
      <c r="F20" s="174"/>
      <c r="G20" s="173"/>
    </row>
    <row r="21" spans="1:7" ht="5.25" customHeight="1" x14ac:dyDescent="0.25">
      <c r="C21" s="172"/>
      <c r="D21" s="172"/>
      <c r="E21" s="172"/>
      <c r="F21" s="172"/>
      <c r="G21" s="172"/>
    </row>
    <row r="22" spans="1:7" x14ac:dyDescent="0.25">
      <c r="A22" s="3" t="s">
        <v>7</v>
      </c>
      <c r="B22" s="167">
        <f t="shared" ref="B22:D25" si="2">B8/Years/thousand</f>
        <v>54922.705432031376</v>
      </c>
      <c r="C22" s="167">
        <f t="shared" si="2"/>
        <v>17617.997528384265</v>
      </c>
      <c r="D22" s="167">
        <f t="shared" si="2"/>
        <v>5229.0761683092805</v>
      </c>
      <c r="E22" s="167">
        <f>SUM(C22:D22)-B22</f>
        <v>-32075.631735337833</v>
      </c>
      <c r="F22" s="167">
        <f>F8/Years/thousand</f>
        <v>8875.2321225891956</v>
      </c>
      <c r="G22" s="167">
        <f>E22+F22</f>
        <v>-23200.399612748639</v>
      </c>
    </row>
    <row r="23" spans="1:7" x14ac:dyDescent="0.25">
      <c r="A23" s="3" t="s">
        <v>8</v>
      </c>
      <c r="B23" s="167">
        <f t="shared" si="2"/>
        <v>1050159.9567727183</v>
      </c>
      <c r="C23" s="167">
        <f t="shared" si="2"/>
        <v>96275.889482577084</v>
      </c>
      <c r="D23" s="167">
        <f t="shared" si="2"/>
        <v>669024.90430999803</v>
      </c>
      <c r="E23" s="167">
        <f t="shared" ref="E23:E25" si="3">SUM(C23:D23)-B23</f>
        <v>-284859.16298014321</v>
      </c>
      <c r="F23" s="167">
        <f>F9/Years/thousand</f>
        <v>22616.435472215406</v>
      </c>
      <c r="G23" s="167">
        <f t="shared" ref="G23:G25" si="4">E23+F23</f>
        <v>-262242.7275079278</v>
      </c>
    </row>
    <row r="24" spans="1:7" x14ac:dyDescent="0.25">
      <c r="A24" s="3" t="s">
        <v>9</v>
      </c>
      <c r="B24" s="167">
        <f t="shared" si="2"/>
        <v>958500.7075044954</v>
      </c>
      <c r="C24" s="167">
        <f t="shared" si="2"/>
        <v>295989.9254019857</v>
      </c>
      <c r="D24" s="167">
        <f t="shared" si="2"/>
        <v>212958.22184309826</v>
      </c>
      <c r="E24" s="167">
        <f t="shared" si="3"/>
        <v>-449552.56025941146</v>
      </c>
      <c r="F24" s="167">
        <f>F10/Years/thousand</f>
        <v>178305.49908354931</v>
      </c>
      <c r="G24" s="167">
        <f t="shared" si="4"/>
        <v>-271247.06117586215</v>
      </c>
    </row>
    <row r="25" spans="1:7" x14ac:dyDescent="0.25">
      <c r="A25" s="3" t="s">
        <v>10</v>
      </c>
      <c r="B25" s="167">
        <f t="shared" si="2"/>
        <v>2063583.3697092452</v>
      </c>
      <c r="C25" s="167">
        <f t="shared" si="2"/>
        <v>411168.9392520666</v>
      </c>
      <c r="D25" s="167">
        <f t="shared" si="2"/>
        <v>887212.20232140564</v>
      </c>
      <c r="E25" s="167">
        <f t="shared" si="3"/>
        <v>-765202.22813577298</v>
      </c>
      <c r="F25" s="167">
        <f>F11/Years/thousand</f>
        <v>188490.40456596939</v>
      </c>
      <c r="G25" s="167">
        <f t="shared" si="4"/>
        <v>-576711.82356980362</v>
      </c>
    </row>
    <row r="26" spans="1:7" ht="2.25" customHeight="1" thickBot="1" x14ac:dyDescent="0.3">
      <c r="A26" s="169"/>
      <c r="B26" s="169"/>
      <c r="C26" s="169"/>
      <c r="D26" s="169"/>
      <c r="E26" s="169"/>
      <c r="F26" s="169"/>
      <c r="G26" s="169"/>
    </row>
    <row r="27" spans="1:7" ht="6" customHeight="1" thickTop="1" x14ac:dyDescent="0.25"/>
  </sheetData>
  <printOptions horizontalCentered="1" verticalCentered="1"/>
  <pageMargins left="0.7" right="0.7" top="0.75" bottom="0.75" header="0.3" footer="0.3"/>
  <pageSetup orientation="landscape"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96A3F-A498-404C-96B3-FF7A62755814}">
  <sheetPr codeName="Sheet21"/>
  <dimension ref="A1:AC45"/>
  <sheetViews>
    <sheetView zoomScale="85" zoomScaleNormal="85" workbookViewId="0">
      <pane xSplit="1" ySplit="10" topLeftCell="B11" activePane="bottomRight" state="frozen"/>
      <selection pane="topRight"/>
      <selection pane="bottomLeft"/>
      <selection pane="bottomRight"/>
    </sheetView>
  </sheetViews>
  <sheetFormatPr defaultRowHeight="15" outlineLevelRow="1" x14ac:dyDescent="0.25"/>
  <cols>
    <col min="1" max="1" width="13.5703125" style="3" customWidth="1"/>
    <col min="2" max="2" width="10.28515625" style="3" bestFit="1" customWidth="1"/>
    <col min="3" max="4" width="16.7109375" style="3" customWidth="1"/>
    <col min="5" max="5" width="21.28515625" style="3" bestFit="1" customWidth="1"/>
    <col min="6" max="27" width="16.42578125" style="3" customWidth="1"/>
    <col min="28" max="29" width="16.42578125" style="7" customWidth="1"/>
    <col min="30" max="16384" width="9.140625" style="3"/>
  </cols>
  <sheetData>
    <row r="1" spans="1:29" ht="18.75" x14ac:dyDescent="0.3">
      <c r="A1" s="233" t="s">
        <v>41</v>
      </c>
      <c r="C1" s="31"/>
    </row>
    <row r="2" spans="1:29" ht="19.5" thickBot="1" x14ac:dyDescent="0.35">
      <c r="A2" s="169"/>
      <c r="B2" s="169"/>
      <c r="C2" s="231"/>
      <c r="D2" s="169"/>
      <c r="E2" s="169"/>
      <c r="F2" s="169"/>
      <c r="G2" s="169"/>
      <c r="H2" s="169"/>
      <c r="I2" s="169"/>
      <c r="J2" s="169"/>
      <c r="K2" s="169"/>
      <c r="L2" s="169"/>
      <c r="M2" s="169"/>
      <c r="N2" s="169"/>
      <c r="O2" s="169"/>
      <c r="P2" s="169"/>
      <c r="Q2" s="169"/>
      <c r="R2" s="533"/>
      <c r="S2" s="533"/>
      <c r="T2" s="533"/>
      <c r="U2" s="533"/>
      <c r="V2" s="533"/>
      <c r="W2" s="533"/>
      <c r="X2" s="533"/>
      <c r="Y2" s="533"/>
      <c r="Z2" s="533"/>
      <c r="AA2" s="169"/>
      <c r="AB2" s="186"/>
      <c r="AC2" s="186"/>
    </row>
    <row r="3" spans="1:29" ht="9" customHeight="1" thickTop="1" x14ac:dyDescent="0.3">
      <c r="C3" s="230"/>
      <c r="D3" s="228"/>
      <c r="E3" s="228"/>
      <c r="F3" s="227"/>
      <c r="G3" s="229"/>
      <c r="H3" s="228"/>
      <c r="I3" s="228"/>
      <c r="J3" s="227"/>
      <c r="K3" s="228"/>
      <c r="L3" s="227"/>
      <c r="M3" s="229"/>
      <c r="N3" s="227"/>
      <c r="O3" s="228"/>
      <c r="P3" s="228"/>
      <c r="Q3" s="227"/>
      <c r="R3" s="534"/>
      <c r="S3" s="534"/>
      <c r="T3" s="534"/>
      <c r="U3" s="534"/>
      <c r="V3" s="534"/>
      <c r="W3" s="534"/>
      <c r="X3" s="534"/>
      <c r="Y3" s="534"/>
      <c r="Z3" s="535"/>
      <c r="AA3" s="180"/>
    </row>
    <row r="4" spans="1:29" ht="18.75" x14ac:dyDescent="0.3">
      <c r="C4" s="31"/>
      <c r="F4" s="201"/>
      <c r="G4" s="202"/>
      <c r="J4" s="201"/>
      <c r="L4" s="201"/>
      <c r="M4" s="202"/>
      <c r="N4" s="201"/>
      <c r="Q4" s="201"/>
      <c r="R4" s="598" t="s">
        <v>523</v>
      </c>
      <c r="S4" s="599"/>
      <c r="T4" s="599"/>
      <c r="U4" s="599"/>
      <c r="V4" s="599"/>
      <c r="W4" s="599"/>
      <c r="X4" s="599"/>
      <c r="Y4" s="599"/>
      <c r="Z4" s="600"/>
      <c r="AA4" s="180"/>
    </row>
    <row r="5" spans="1:29" x14ac:dyDescent="0.25">
      <c r="C5" s="603" t="s">
        <v>17</v>
      </c>
      <c r="D5" s="604"/>
      <c r="E5" s="604"/>
      <c r="F5" s="605"/>
      <c r="G5" s="606" t="s">
        <v>18</v>
      </c>
      <c r="H5" s="601"/>
      <c r="I5" s="601"/>
      <c r="J5" s="602"/>
      <c r="K5" s="606" t="s">
        <v>64</v>
      </c>
      <c r="L5" s="601"/>
      <c r="M5" s="606" t="s">
        <v>19</v>
      </c>
      <c r="N5" s="602"/>
      <c r="O5" s="601" t="s">
        <v>20</v>
      </c>
      <c r="P5" s="601"/>
      <c r="Q5" s="602"/>
      <c r="R5" s="601" t="s">
        <v>524</v>
      </c>
      <c r="S5" s="601"/>
      <c r="T5" s="601"/>
      <c r="U5" s="601"/>
      <c r="V5" s="601" t="s">
        <v>525</v>
      </c>
      <c r="W5" s="601"/>
      <c r="X5" s="601" t="s">
        <v>526</v>
      </c>
      <c r="Y5" s="601"/>
      <c r="Z5" s="602"/>
      <c r="AA5" s="244" t="s">
        <v>527</v>
      </c>
      <c r="AB5" s="226"/>
      <c r="AC5" s="226"/>
    </row>
    <row r="6" spans="1:29" x14ac:dyDescent="0.25">
      <c r="B6" s="3" t="s">
        <v>42</v>
      </c>
      <c r="C6" s="219" t="s">
        <v>3</v>
      </c>
      <c r="D6" s="219" t="s">
        <v>4</v>
      </c>
      <c r="E6" s="222" t="s">
        <v>5</v>
      </c>
      <c r="F6" s="224" t="s">
        <v>6</v>
      </c>
      <c r="G6" s="221" t="s">
        <v>3</v>
      </c>
      <c r="H6" s="219" t="s">
        <v>4</v>
      </c>
      <c r="I6" s="222" t="s">
        <v>5</v>
      </c>
      <c r="J6" s="224" t="s">
        <v>6</v>
      </c>
      <c r="K6" s="223" t="s">
        <v>21</v>
      </c>
      <c r="L6" s="222" t="s">
        <v>22</v>
      </c>
      <c r="M6" s="223" t="s">
        <v>21</v>
      </c>
      <c r="N6" s="224" t="s">
        <v>22</v>
      </c>
      <c r="O6" s="222" t="s">
        <v>23</v>
      </c>
      <c r="P6" s="222" t="s">
        <v>24</v>
      </c>
      <c r="Q6" s="225" t="s">
        <v>25</v>
      </c>
      <c r="R6" s="219" t="s">
        <v>3</v>
      </c>
      <c r="S6" s="219" t="s">
        <v>4</v>
      </c>
      <c r="T6" s="222" t="s">
        <v>5</v>
      </c>
      <c r="U6" s="222" t="s">
        <v>6</v>
      </c>
      <c r="V6" s="222" t="s">
        <v>21</v>
      </c>
      <c r="W6" s="222" t="s">
        <v>22</v>
      </c>
      <c r="X6" s="222" t="s">
        <v>23</v>
      </c>
      <c r="Y6" s="222" t="s">
        <v>24</v>
      </c>
      <c r="Z6" s="225" t="s">
        <v>25</v>
      </c>
      <c r="AA6" s="222" t="s">
        <v>528</v>
      </c>
      <c r="AB6" s="7" t="s">
        <v>26</v>
      </c>
      <c r="AC6" s="182" t="s">
        <v>27</v>
      </c>
    </row>
    <row r="7" spans="1:29" x14ac:dyDescent="0.25">
      <c r="B7" s="3" t="s">
        <v>28</v>
      </c>
      <c r="C7" s="219" t="s">
        <v>29</v>
      </c>
      <c r="D7" s="219" t="s">
        <v>29</v>
      </c>
      <c r="E7" s="219" t="s">
        <v>29</v>
      </c>
      <c r="F7" s="224" t="s">
        <v>6</v>
      </c>
      <c r="G7" s="221" t="s">
        <v>29</v>
      </c>
      <c r="H7" s="219" t="s">
        <v>29</v>
      </c>
      <c r="I7" s="219" t="s">
        <v>29</v>
      </c>
      <c r="J7" s="224" t="s">
        <v>6</v>
      </c>
      <c r="K7" s="223" t="s">
        <v>29</v>
      </c>
      <c r="L7" s="222" t="s">
        <v>29</v>
      </c>
      <c r="M7" s="221" t="s">
        <v>29</v>
      </c>
      <c r="N7" s="220" t="s">
        <v>29</v>
      </c>
      <c r="O7" s="219" t="s">
        <v>29</v>
      </c>
      <c r="P7" s="219" t="s">
        <v>29</v>
      </c>
      <c r="Q7" s="220" t="s">
        <v>29</v>
      </c>
      <c r="R7" s="219" t="s">
        <v>29</v>
      </c>
      <c r="S7" s="219" t="s">
        <v>29</v>
      </c>
      <c r="T7" s="219" t="s">
        <v>29</v>
      </c>
      <c r="U7" s="222" t="s">
        <v>6</v>
      </c>
      <c r="V7" s="219" t="s">
        <v>29</v>
      </c>
      <c r="W7" s="219" t="s">
        <v>29</v>
      </c>
      <c r="X7" s="219" t="s">
        <v>29</v>
      </c>
      <c r="Y7" s="219" t="s">
        <v>29</v>
      </c>
      <c r="Z7" s="220" t="s">
        <v>29</v>
      </c>
      <c r="AA7" s="222"/>
      <c r="AC7" s="182"/>
    </row>
    <row r="8" spans="1:29" hidden="1" outlineLevel="1" x14ac:dyDescent="0.25">
      <c r="B8" s="3">
        <v>1</v>
      </c>
      <c r="C8" s="219">
        <f>1+B8</f>
        <v>2</v>
      </c>
      <c r="D8" s="219">
        <f t="shared" ref="D8:Z8" si="0">1+C8</f>
        <v>3</v>
      </c>
      <c r="E8" s="219">
        <f t="shared" si="0"/>
        <v>4</v>
      </c>
      <c r="F8" s="220">
        <f t="shared" si="0"/>
        <v>5</v>
      </c>
      <c r="G8" s="221">
        <f t="shared" si="0"/>
        <v>6</v>
      </c>
      <c r="H8" s="219">
        <f t="shared" si="0"/>
        <v>7</v>
      </c>
      <c r="I8" s="219">
        <f t="shared" si="0"/>
        <v>8</v>
      </c>
      <c r="J8" s="220">
        <f t="shared" si="0"/>
        <v>9</v>
      </c>
      <c r="K8" s="221">
        <f>1+J8</f>
        <v>10</v>
      </c>
      <c r="L8" s="219">
        <f>1+K8</f>
        <v>11</v>
      </c>
      <c r="M8" s="221">
        <f>1+L8</f>
        <v>12</v>
      </c>
      <c r="N8" s="220">
        <f t="shared" si="0"/>
        <v>13</v>
      </c>
      <c r="O8" s="219">
        <f t="shared" si="0"/>
        <v>14</v>
      </c>
      <c r="P8" s="219">
        <f t="shared" si="0"/>
        <v>15</v>
      </c>
      <c r="Q8" s="220">
        <f t="shared" si="0"/>
        <v>16</v>
      </c>
      <c r="R8" s="219">
        <f t="shared" si="0"/>
        <v>17</v>
      </c>
      <c r="S8" s="219">
        <f t="shared" si="0"/>
        <v>18</v>
      </c>
      <c r="T8" s="219">
        <f t="shared" si="0"/>
        <v>19</v>
      </c>
      <c r="U8" s="219">
        <f t="shared" si="0"/>
        <v>20</v>
      </c>
      <c r="V8" s="219">
        <f t="shared" si="0"/>
        <v>21</v>
      </c>
      <c r="W8" s="219">
        <f t="shared" si="0"/>
        <v>22</v>
      </c>
      <c r="X8" s="219">
        <f t="shared" si="0"/>
        <v>23</v>
      </c>
      <c r="Y8" s="219">
        <f t="shared" si="0"/>
        <v>24</v>
      </c>
      <c r="Z8" s="220">
        <f t="shared" si="0"/>
        <v>25</v>
      </c>
      <c r="AA8" s="222"/>
      <c r="AC8" s="182"/>
    </row>
    <row r="9" spans="1:29" collapsed="1" x14ac:dyDescent="0.25">
      <c r="B9" s="180" t="str">
        <f>"["&amp;B8&amp;"]"</f>
        <v>[1]</v>
      </c>
      <c r="C9" s="180" t="str">
        <f t="shared" ref="C9:Z9" si="1">"["&amp;C8&amp;"]"</f>
        <v>[2]</v>
      </c>
      <c r="D9" s="180" t="str">
        <f t="shared" si="1"/>
        <v>[3]</v>
      </c>
      <c r="E9" s="180" t="str">
        <f t="shared" si="1"/>
        <v>[4]</v>
      </c>
      <c r="F9" s="218" t="str">
        <f t="shared" si="1"/>
        <v>[5]</v>
      </c>
      <c r="G9" s="217" t="str">
        <f t="shared" si="1"/>
        <v>[6]</v>
      </c>
      <c r="H9" s="180" t="str">
        <f t="shared" si="1"/>
        <v>[7]</v>
      </c>
      <c r="I9" s="180" t="str">
        <f t="shared" si="1"/>
        <v>[8]</v>
      </c>
      <c r="J9" s="218" t="str">
        <f t="shared" si="1"/>
        <v>[9]</v>
      </c>
      <c r="K9" s="217" t="str">
        <f t="shared" si="1"/>
        <v>[10]</v>
      </c>
      <c r="L9" s="219" t="str">
        <f t="shared" si="1"/>
        <v>[11]</v>
      </c>
      <c r="M9" s="217" t="str">
        <f t="shared" si="1"/>
        <v>[12]</v>
      </c>
      <c r="N9" s="218" t="str">
        <f t="shared" si="1"/>
        <v>[13]</v>
      </c>
      <c r="O9" s="180" t="str">
        <f t="shared" si="1"/>
        <v>[14]</v>
      </c>
      <c r="P9" s="180" t="str">
        <f t="shared" si="1"/>
        <v>[15]</v>
      </c>
      <c r="Q9" s="218" t="str">
        <f t="shared" si="1"/>
        <v>[16]</v>
      </c>
      <c r="R9" s="180" t="str">
        <f t="shared" si="1"/>
        <v>[17]</v>
      </c>
      <c r="S9" s="180" t="str">
        <f t="shared" si="1"/>
        <v>[18]</v>
      </c>
      <c r="T9" s="180" t="str">
        <f t="shared" si="1"/>
        <v>[19]</v>
      </c>
      <c r="U9" s="180" t="str">
        <f t="shared" si="1"/>
        <v>[20]</v>
      </c>
      <c r="V9" s="180" t="str">
        <f t="shared" si="1"/>
        <v>[21]</v>
      </c>
      <c r="W9" s="180" t="str">
        <f t="shared" si="1"/>
        <v>[22]</v>
      </c>
      <c r="X9" s="180" t="str">
        <f t="shared" si="1"/>
        <v>[23]</v>
      </c>
      <c r="Y9" s="180" t="str">
        <f t="shared" si="1"/>
        <v>[24]</v>
      </c>
      <c r="Z9" s="218" t="str">
        <f t="shared" si="1"/>
        <v>[25]</v>
      </c>
      <c r="AA9" s="222"/>
      <c r="AC9" s="182"/>
    </row>
    <row r="10" spans="1:29" ht="4.5" customHeight="1" x14ac:dyDescent="0.25">
      <c r="A10" s="175"/>
      <c r="B10" s="211"/>
      <c r="C10" s="211"/>
      <c r="D10" s="211"/>
      <c r="E10" s="211"/>
      <c r="F10" s="215"/>
      <c r="G10" s="216"/>
      <c r="H10" s="211"/>
      <c r="I10" s="211"/>
      <c r="J10" s="215"/>
      <c r="K10" s="217"/>
      <c r="L10" s="180"/>
      <c r="M10" s="216"/>
      <c r="N10" s="215"/>
      <c r="O10" s="211"/>
      <c r="P10" s="211"/>
      <c r="Q10" s="215"/>
      <c r="R10" s="211"/>
      <c r="S10" s="211"/>
      <c r="T10" s="211"/>
      <c r="U10" s="211"/>
      <c r="V10" s="211"/>
      <c r="W10" s="211"/>
      <c r="X10" s="211"/>
      <c r="Y10" s="211"/>
      <c r="Z10" s="215"/>
      <c r="AA10" s="536"/>
      <c r="AB10" s="207"/>
      <c r="AC10" s="214"/>
    </row>
    <row r="11" spans="1:29" ht="4.5" customHeight="1" x14ac:dyDescent="0.25">
      <c r="C11" s="4"/>
      <c r="D11" s="4"/>
      <c r="E11" s="183"/>
      <c r="F11" s="212"/>
      <c r="G11" s="213"/>
      <c r="H11" s="183"/>
      <c r="I11" s="183"/>
      <c r="J11" s="212"/>
      <c r="K11" s="183"/>
      <c r="L11" s="183"/>
      <c r="M11" s="213"/>
      <c r="N11" s="212"/>
      <c r="O11" s="183"/>
      <c r="P11" s="183"/>
      <c r="Q11" s="212"/>
      <c r="R11" s="183"/>
      <c r="S11" s="183"/>
      <c r="T11" s="183"/>
      <c r="U11" s="183"/>
      <c r="V11" s="183"/>
      <c r="W11" s="183"/>
      <c r="X11" s="183"/>
      <c r="Y11" s="183"/>
      <c r="Z11" s="212"/>
      <c r="AA11" s="222"/>
      <c r="AB11" s="182"/>
      <c r="AC11" s="182"/>
    </row>
    <row r="12" spans="1:29" hidden="1" outlineLevel="1" x14ac:dyDescent="0.25">
      <c r="A12" s="180">
        <v>2022</v>
      </c>
      <c r="B12" s="180"/>
      <c r="C12" s="4"/>
      <c r="D12" s="4"/>
      <c r="E12" s="183"/>
      <c r="F12" s="212"/>
      <c r="G12" s="213"/>
      <c r="H12" s="183"/>
      <c r="I12" s="183"/>
      <c r="J12" s="212"/>
      <c r="K12" s="183"/>
      <c r="L12" s="183"/>
      <c r="M12" s="213"/>
      <c r="N12" s="212"/>
      <c r="O12" s="183"/>
      <c r="P12" s="183"/>
      <c r="Q12" s="212"/>
      <c r="R12" s="183"/>
      <c r="S12" s="183"/>
      <c r="T12" s="183"/>
      <c r="U12" s="183"/>
      <c r="V12" s="183"/>
      <c r="W12" s="183"/>
      <c r="X12" s="183"/>
      <c r="Y12" s="183"/>
      <c r="Z12" s="212"/>
      <c r="AA12" s="183"/>
      <c r="AB12" s="7">
        <v>0</v>
      </c>
      <c r="AC12" s="203">
        <v>1</v>
      </c>
    </row>
    <row r="13" spans="1:29" hidden="1" outlineLevel="1" x14ac:dyDescent="0.25">
      <c r="A13" s="180">
        <v>2023</v>
      </c>
      <c r="B13" s="180"/>
      <c r="C13" s="4"/>
      <c r="D13" s="4"/>
      <c r="E13" s="183"/>
      <c r="F13" s="212"/>
      <c r="G13" s="213"/>
      <c r="H13" s="183"/>
      <c r="I13" s="183"/>
      <c r="J13" s="212"/>
      <c r="K13" s="183"/>
      <c r="L13" s="183"/>
      <c r="M13" s="213"/>
      <c r="N13" s="212"/>
      <c r="O13" s="183"/>
      <c r="P13" s="183"/>
      <c r="Q13" s="212"/>
      <c r="R13" s="183"/>
      <c r="S13" s="183"/>
      <c r="T13" s="183"/>
      <c r="U13" s="183"/>
      <c r="V13" s="183"/>
      <c r="W13" s="183"/>
      <c r="X13" s="183"/>
      <c r="Y13" s="183"/>
      <c r="Z13" s="212"/>
      <c r="AA13" s="183"/>
      <c r="AB13" s="7">
        <v>3.7600000000000001E-2</v>
      </c>
      <c r="AC13" s="203">
        <f>AC12*(1+AB13)</f>
        <v>1.0376000000000001</v>
      </c>
    </row>
    <row r="14" spans="1:29" hidden="1" outlineLevel="1" x14ac:dyDescent="0.25">
      <c r="A14" s="180">
        <v>2024</v>
      </c>
      <c r="B14" s="180"/>
      <c r="C14" s="4"/>
      <c r="D14" s="4"/>
      <c r="E14" s="183"/>
      <c r="F14" s="212"/>
      <c r="G14" s="213"/>
      <c r="H14" s="183"/>
      <c r="I14" s="183"/>
      <c r="J14" s="212"/>
      <c r="K14" s="183"/>
      <c r="L14" s="183"/>
      <c r="M14" s="213"/>
      <c r="N14" s="212"/>
      <c r="O14" s="183"/>
      <c r="P14" s="183"/>
      <c r="Q14" s="212"/>
      <c r="R14" s="183"/>
      <c r="S14" s="183"/>
      <c r="T14" s="183"/>
      <c r="U14" s="183"/>
      <c r="V14" s="183"/>
      <c r="W14" s="183"/>
      <c r="X14" s="183"/>
      <c r="Y14" s="183"/>
      <c r="Z14" s="212"/>
      <c r="AA14" s="183"/>
      <c r="AB14" s="7">
        <v>2.5000000000000001E-2</v>
      </c>
      <c r="AC14" s="203">
        <f t="shared" ref="AC14:AC39" si="2">AC13*(1+AB14)</f>
        <v>1.0635399999999999</v>
      </c>
    </row>
    <row r="15" spans="1:29" hidden="1" outlineLevel="1" x14ac:dyDescent="0.25">
      <c r="A15" s="180">
        <v>2025</v>
      </c>
      <c r="B15" s="180"/>
      <c r="C15" s="4"/>
      <c r="D15" s="4"/>
      <c r="E15" s="183"/>
      <c r="F15" s="212"/>
      <c r="G15" s="213"/>
      <c r="H15" s="183"/>
      <c r="I15" s="183"/>
      <c r="J15" s="212"/>
      <c r="K15" s="183"/>
      <c r="L15" s="183"/>
      <c r="M15" s="213"/>
      <c r="N15" s="212"/>
      <c r="O15" s="183"/>
      <c r="P15" s="183"/>
      <c r="Q15" s="212"/>
      <c r="R15" s="183"/>
      <c r="S15" s="183"/>
      <c r="T15" s="183"/>
      <c r="U15" s="183"/>
      <c r="V15" s="183"/>
      <c r="W15" s="183"/>
      <c r="X15" s="183"/>
      <c r="Y15" s="183"/>
      <c r="Z15" s="212"/>
      <c r="AA15" s="183"/>
      <c r="AB15" s="7">
        <f>$AB$14</f>
        <v>2.5000000000000001E-2</v>
      </c>
      <c r="AC15" s="203">
        <f t="shared" si="2"/>
        <v>1.0901284999999998</v>
      </c>
    </row>
    <row r="16" spans="1:29" hidden="1" outlineLevel="1" x14ac:dyDescent="0.25">
      <c r="A16" s="180">
        <v>2026</v>
      </c>
      <c r="B16" s="180"/>
      <c r="C16" s="4"/>
      <c r="D16" s="4"/>
      <c r="E16" s="183"/>
      <c r="F16" s="212"/>
      <c r="G16" s="213"/>
      <c r="H16" s="183"/>
      <c r="I16" s="183"/>
      <c r="J16" s="212"/>
      <c r="K16" s="183"/>
      <c r="L16" s="183"/>
      <c r="M16" s="213"/>
      <c r="N16" s="212"/>
      <c r="O16" s="183"/>
      <c r="P16" s="183"/>
      <c r="Q16" s="212"/>
      <c r="R16" s="183"/>
      <c r="S16" s="183"/>
      <c r="T16" s="183"/>
      <c r="U16" s="183"/>
      <c r="V16" s="183"/>
      <c r="W16" s="183"/>
      <c r="X16" s="183"/>
      <c r="Y16" s="183"/>
      <c r="Z16" s="212"/>
      <c r="AA16" s="183"/>
      <c r="AB16" s="7">
        <f t="shared" ref="AB16:AB39" si="3">$AB$14</f>
        <v>2.5000000000000001E-2</v>
      </c>
      <c r="AC16" s="203">
        <f t="shared" si="2"/>
        <v>1.1173817124999996</v>
      </c>
    </row>
    <row r="17" spans="1:29" hidden="1" outlineLevel="1" x14ac:dyDescent="0.25">
      <c r="A17" s="180">
        <v>2027</v>
      </c>
      <c r="B17" s="180"/>
      <c r="C17" s="4"/>
      <c r="D17" s="4"/>
      <c r="E17" s="183"/>
      <c r="F17" s="212"/>
      <c r="G17" s="213"/>
      <c r="H17" s="183"/>
      <c r="I17" s="183"/>
      <c r="J17" s="212"/>
      <c r="K17" s="183"/>
      <c r="L17" s="183"/>
      <c r="M17" s="213"/>
      <c r="N17" s="212"/>
      <c r="O17" s="183"/>
      <c r="P17" s="183"/>
      <c r="Q17" s="212"/>
      <c r="R17" s="183"/>
      <c r="S17" s="183"/>
      <c r="T17" s="183"/>
      <c r="U17" s="183"/>
      <c r="V17" s="183"/>
      <c r="W17" s="183"/>
      <c r="X17" s="183"/>
      <c r="Y17" s="183"/>
      <c r="Z17" s="212"/>
      <c r="AA17" s="183"/>
      <c r="AB17" s="7">
        <f t="shared" si="3"/>
        <v>2.5000000000000001E-2</v>
      </c>
      <c r="AC17" s="203">
        <f t="shared" si="2"/>
        <v>1.1453162553124996</v>
      </c>
    </row>
    <row r="18" spans="1:29" hidden="1" outlineLevel="1" x14ac:dyDescent="0.25">
      <c r="A18" s="180">
        <v>2028</v>
      </c>
      <c r="B18" s="180"/>
      <c r="C18" s="4"/>
      <c r="D18" s="4"/>
      <c r="E18" s="183"/>
      <c r="F18" s="212"/>
      <c r="G18" s="213"/>
      <c r="H18" s="183"/>
      <c r="I18" s="183"/>
      <c r="J18" s="212"/>
      <c r="K18" s="183"/>
      <c r="L18" s="183"/>
      <c r="M18" s="213"/>
      <c r="N18" s="212"/>
      <c r="O18" s="183"/>
      <c r="P18" s="183"/>
      <c r="Q18" s="212"/>
      <c r="R18" s="183"/>
      <c r="S18" s="183"/>
      <c r="T18" s="183"/>
      <c r="U18" s="183"/>
      <c r="V18" s="183"/>
      <c r="W18" s="183"/>
      <c r="X18" s="183"/>
      <c r="Y18" s="183"/>
      <c r="Z18" s="212"/>
      <c r="AA18" s="183"/>
      <c r="AB18" s="7">
        <f t="shared" si="3"/>
        <v>2.5000000000000001E-2</v>
      </c>
      <c r="AC18" s="203">
        <f t="shared" si="2"/>
        <v>1.1739491616953119</v>
      </c>
    </row>
    <row r="19" spans="1:29" hidden="1" outlineLevel="1" x14ac:dyDescent="0.25">
      <c r="A19" s="180">
        <v>2029</v>
      </c>
      <c r="B19" s="180"/>
      <c r="C19" s="4"/>
      <c r="D19" s="4"/>
      <c r="E19" s="183"/>
      <c r="F19" s="212"/>
      <c r="G19" s="213"/>
      <c r="H19" s="183"/>
      <c r="I19" s="183"/>
      <c r="J19" s="212"/>
      <c r="K19" s="183"/>
      <c r="L19" s="183"/>
      <c r="M19" s="202"/>
      <c r="N19" s="212"/>
      <c r="O19" s="183"/>
      <c r="P19" s="183"/>
      <c r="Q19" s="212"/>
      <c r="R19" s="183"/>
      <c r="S19" s="183"/>
      <c r="T19" s="183"/>
      <c r="U19" s="183"/>
      <c r="V19" s="183"/>
      <c r="W19" s="183"/>
      <c r="X19" s="183"/>
      <c r="Y19" s="183"/>
      <c r="Z19" s="212"/>
      <c r="AA19" s="183"/>
      <c r="AB19" s="7">
        <f t="shared" si="3"/>
        <v>2.5000000000000001E-2</v>
      </c>
      <c r="AC19" s="203">
        <f t="shared" si="2"/>
        <v>1.2032978907376946</v>
      </c>
    </row>
    <row r="20" spans="1:29" collapsed="1" x14ac:dyDescent="0.25">
      <c r="A20" s="180">
        <v>2030</v>
      </c>
      <c r="B20" s="180">
        <v>1</v>
      </c>
      <c r="C20" s="185">
        <f>'Energy Revenue'!E8</f>
        <v>21592370</v>
      </c>
      <c r="D20" s="185">
        <f>'Cap Revenue'!D9</f>
        <v>1318730.3999999999</v>
      </c>
      <c r="E20" s="185">
        <f>'Energy Mkt Benefits'!H11</f>
        <v>14776012.584557533</v>
      </c>
      <c r="F20" s="204">
        <f>'Energy Revenue'!C8</f>
        <v>686723</v>
      </c>
      <c r="G20" s="205">
        <f t="shared" ref="G20:G39" si="4">C20/$AC20</f>
        <v>17506659.815013658</v>
      </c>
      <c r="H20" s="185">
        <f t="shared" ref="H20:H39" si="5">D20/$AC20</f>
        <v>1069200.1156203274</v>
      </c>
      <c r="I20" s="185">
        <f t="shared" ref="I20:I39" si="6">E20/$AC20</f>
        <v>11980094.160122743</v>
      </c>
      <c r="J20" s="204">
        <f>F20</f>
        <v>686723</v>
      </c>
      <c r="K20" s="185">
        <f t="shared" ref="K20:K39" si="7">M20*$AC20</f>
        <v>40570877.635356791</v>
      </c>
      <c r="L20" s="185">
        <f t="shared" ref="L20:L39" si="8">N20*$AC20</f>
        <v>27169707.354613561</v>
      </c>
      <c r="M20" s="205">
        <f>OSW_Backup!$B$15</f>
        <v>32894052.536092017</v>
      </c>
      <c r="N20" s="204">
        <f>OSW_Backup!$B$9*OSW_Backup!$B$7</f>
        <v>22028652.895939369</v>
      </c>
      <c r="O20" s="185">
        <f>SUM(M20:N20)</f>
        <v>54922705.432031386</v>
      </c>
      <c r="P20" s="185">
        <f t="shared" ref="P20:P39" si="9">SUM(G20:H20)</f>
        <v>18575859.930633985</v>
      </c>
      <c r="Q20" s="204">
        <f>P20-O20</f>
        <v>-36346845.501397401</v>
      </c>
      <c r="R20" s="185">
        <f t="shared" ref="R20:T39" si="10">G20*$AA20</f>
        <v>17163391.975503586</v>
      </c>
      <c r="S20" s="185">
        <f t="shared" si="10"/>
        <v>1048235.4074709092</v>
      </c>
      <c r="T20" s="185">
        <f t="shared" si="10"/>
        <v>11745190.353061512</v>
      </c>
      <c r="U20" s="185">
        <f>F20</f>
        <v>686723</v>
      </c>
      <c r="V20" s="185">
        <f t="shared" ref="V20:Z39" si="11">M20*$AA20</f>
        <v>32249071.113815702</v>
      </c>
      <c r="W20" s="185">
        <f t="shared" si="11"/>
        <v>21596718.525430754</v>
      </c>
      <c r="X20" s="185">
        <f t="shared" si="11"/>
        <v>53845789.639246456</v>
      </c>
      <c r="Y20" s="185">
        <f t="shared" si="11"/>
        <v>18211627.382974494</v>
      </c>
      <c r="Z20" s="204">
        <f>Y20-X20</f>
        <v>-35634162.256271958</v>
      </c>
      <c r="AA20" s="270">
        <f t="shared" ref="AA20:AA39" si="12">(1/(1+discount_rate))^(B20-0)</f>
        <v>0.98039215686274506</v>
      </c>
      <c r="AB20" s="7">
        <f t="shared" si="3"/>
        <v>2.5000000000000001E-2</v>
      </c>
      <c r="AC20" s="203">
        <f t="shared" si="2"/>
        <v>1.2333803380061368</v>
      </c>
    </row>
    <row r="21" spans="1:29" x14ac:dyDescent="0.25">
      <c r="A21" s="180">
        <v>2031</v>
      </c>
      <c r="B21" s="180">
        <f>1+B20</f>
        <v>2</v>
      </c>
      <c r="C21" s="185">
        <f>'Energy Revenue'!E9</f>
        <v>21713630</v>
      </c>
      <c r="D21" s="185">
        <f>'Cap Revenue'!D10</f>
        <v>1691864.164285714</v>
      </c>
      <c r="E21" s="185">
        <f>'Energy Mkt Benefits'!H12</f>
        <v>-11572799.546485901</v>
      </c>
      <c r="F21" s="204">
        <f>'Energy Revenue'!C9</f>
        <v>683410.8</v>
      </c>
      <c r="G21" s="205">
        <f t="shared" si="4"/>
        <v>17175585.35312672</v>
      </c>
      <c r="H21" s="185">
        <f t="shared" si="5"/>
        <v>1338272.6591355607</v>
      </c>
      <c r="I21" s="185">
        <f t="shared" si="6"/>
        <v>-9154139.8828889858</v>
      </c>
      <c r="J21" s="204">
        <f t="shared" ref="J21:J39" si="13">F21</f>
        <v>683410.8</v>
      </c>
      <c r="K21" s="185">
        <f t="shared" si="7"/>
        <v>41585149.576240711</v>
      </c>
      <c r="L21" s="185">
        <f t="shared" si="8"/>
        <v>27848950.0384789</v>
      </c>
      <c r="M21" s="205">
        <f>OSW_Backup!$B$15</f>
        <v>32894052.536092017</v>
      </c>
      <c r="N21" s="204">
        <f>OSW_Backup!$B$9*OSW_Backup!$B$7</f>
        <v>22028652.895939369</v>
      </c>
      <c r="O21" s="185">
        <f t="shared" ref="O21:O39" si="14">SUM(M21:N21)</f>
        <v>54922705.432031386</v>
      </c>
      <c r="P21" s="185">
        <f t="shared" si="9"/>
        <v>18513858.012262281</v>
      </c>
      <c r="Q21" s="204">
        <f t="shared" ref="Q21:Q39" si="15">P21-O21</f>
        <v>-36408847.419769108</v>
      </c>
      <c r="R21" s="185">
        <f t="shared" si="10"/>
        <v>16508636.4409138</v>
      </c>
      <c r="S21" s="185">
        <f t="shared" si="10"/>
        <v>1286305.9007454447</v>
      </c>
      <c r="T21" s="185">
        <f t="shared" si="10"/>
        <v>-8798673.4745184407</v>
      </c>
      <c r="U21" s="185">
        <f t="shared" ref="U21:U39" si="16">F21</f>
        <v>683410.8</v>
      </c>
      <c r="V21" s="185">
        <f t="shared" si="11"/>
        <v>31616736.386093825</v>
      </c>
      <c r="W21" s="185">
        <f t="shared" si="11"/>
        <v>21173253.456304658</v>
      </c>
      <c r="X21" s="185">
        <f t="shared" si="11"/>
        <v>52789989.84239848</v>
      </c>
      <c r="Y21" s="185">
        <f t="shared" si="11"/>
        <v>17794942.341659248</v>
      </c>
      <c r="Z21" s="204">
        <f t="shared" si="11"/>
        <v>-34995047.500739239</v>
      </c>
      <c r="AA21" s="270">
        <f t="shared" si="12"/>
        <v>0.96116878123798533</v>
      </c>
      <c r="AB21" s="7">
        <f t="shared" si="3"/>
        <v>2.5000000000000001E-2</v>
      </c>
      <c r="AC21" s="203">
        <f t="shared" si="2"/>
        <v>1.2642148464562901</v>
      </c>
    </row>
    <row r="22" spans="1:29" x14ac:dyDescent="0.25">
      <c r="A22" s="180">
        <v>2032</v>
      </c>
      <c r="B22" s="180">
        <f t="shared" ref="B22:B39" si="17">1+B21</f>
        <v>3</v>
      </c>
      <c r="C22" s="185">
        <f>'Energy Revenue'!E10</f>
        <v>21930520</v>
      </c>
      <c r="D22" s="185">
        <f>'Cap Revenue'!D11</f>
        <v>1668193.3928571427</v>
      </c>
      <c r="E22" s="185">
        <f>'Energy Mkt Benefits'!H13</f>
        <v>30676746.670770645</v>
      </c>
      <c r="F22" s="204">
        <f>'Energy Revenue'!C10</f>
        <v>688864.3</v>
      </c>
      <c r="G22" s="205">
        <f t="shared" si="4"/>
        <v>16924045.250905409</v>
      </c>
      <c r="H22" s="185">
        <f t="shared" si="5"/>
        <v>1287364.8444257458</v>
      </c>
      <c r="I22" s="185">
        <f t="shared" si="6"/>
        <v>23673613.24796148</v>
      </c>
      <c r="J22" s="204">
        <f t="shared" si="13"/>
        <v>688864.3</v>
      </c>
      <c r="K22" s="185">
        <f t="shared" si="7"/>
        <v>42624778.315646723</v>
      </c>
      <c r="L22" s="185">
        <f t="shared" si="8"/>
        <v>28545173.789440867</v>
      </c>
      <c r="M22" s="205">
        <f>OSW_Backup!$B$15</f>
        <v>32894052.536092017</v>
      </c>
      <c r="N22" s="204">
        <f>OSW_Backup!$B$9*OSW_Backup!$B$7</f>
        <v>22028652.895939369</v>
      </c>
      <c r="O22" s="185">
        <f t="shared" si="14"/>
        <v>54922705.432031386</v>
      </c>
      <c r="P22" s="185">
        <f t="shared" si="9"/>
        <v>18211410.095331155</v>
      </c>
      <c r="Q22" s="204">
        <f t="shared" si="15"/>
        <v>-36711295.336700231</v>
      </c>
      <c r="R22" s="185">
        <f t="shared" si="10"/>
        <v>15947905.830813006</v>
      </c>
      <c r="S22" s="185">
        <f t="shared" si="10"/>
        <v>1213112.6456130613</v>
      </c>
      <c r="T22" s="185">
        <f t="shared" si="10"/>
        <v>22308174.5029829</v>
      </c>
      <c r="U22" s="185">
        <f t="shared" si="16"/>
        <v>688864.3</v>
      </c>
      <c r="V22" s="185">
        <f t="shared" si="11"/>
        <v>30996800.378523357</v>
      </c>
      <c r="W22" s="185">
        <f t="shared" si="11"/>
        <v>20758091.623828094</v>
      </c>
      <c r="X22" s="185">
        <f t="shared" si="11"/>
        <v>51754892.002351455</v>
      </c>
      <c r="Y22" s="185">
        <f t="shared" si="11"/>
        <v>17161018.476426065</v>
      </c>
      <c r="Z22" s="204">
        <f t="shared" si="11"/>
        <v>-34593873.525925383</v>
      </c>
      <c r="AA22" s="270">
        <f t="shared" si="12"/>
        <v>0.94232233454704439</v>
      </c>
      <c r="AB22" s="7">
        <f t="shared" si="3"/>
        <v>2.5000000000000001E-2</v>
      </c>
      <c r="AC22" s="203">
        <f t="shared" si="2"/>
        <v>1.2958202176176972</v>
      </c>
    </row>
    <row r="23" spans="1:29" x14ac:dyDescent="0.25">
      <c r="A23" s="180">
        <v>2033</v>
      </c>
      <c r="B23" s="180">
        <f t="shared" si="17"/>
        <v>4</v>
      </c>
      <c r="C23" s="185">
        <f>'Energy Revenue'!E11</f>
        <v>22601150</v>
      </c>
      <c r="D23" s="185">
        <f>'Cap Revenue'!D12</f>
        <v>3280126.4678571429</v>
      </c>
      <c r="E23" s="185">
        <f>'Energy Mkt Benefits'!H14</f>
        <v>5541600.8414611816</v>
      </c>
      <c r="F23" s="204">
        <f>'Energy Revenue'!C11</f>
        <v>687795.4</v>
      </c>
      <c r="G23" s="205">
        <f t="shared" si="4"/>
        <v>17016174.110604689</v>
      </c>
      <c r="H23" s="185">
        <f t="shared" si="5"/>
        <v>2469573.5872670161</v>
      </c>
      <c r="I23" s="185">
        <f t="shared" si="6"/>
        <v>4172214.4567766204</v>
      </c>
      <c r="J23" s="204">
        <f t="shared" si="13"/>
        <v>687795.4</v>
      </c>
      <c r="K23" s="185">
        <f t="shared" si="7"/>
        <v>43690397.773537889</v>
      </c>
      <c r="L23" s="185">
        <f t="shared" si="8"/>
        <v>29258803.134176888</v>
      </c>
      <c r="M23" s="205">
        <f>OSW_Backup!$B$15</f>
        <v>32894052.536092017</v>
      </c>
      <c r="N23" s="204">
        <f>OSW_Backup!$B$9*OSW_Backup!$B$7</f>
        <v>22028652.895939369</v>
      </c>
      <c r="O23" s="185">
        <f t="shared" si="14"/>
        <v>54922705.432031386</v>
      </c>
      <c r="P23" s="185">
        <f t="shared" si="9"/>
        <v>19485747.697871704</v>
      </c>
      <c r="Q23" s="204">
        <f t="shared" si="15"/>
        <v>-35436957.734159678</v>
      </c>
      <c r="R23" s="185">
        <f t="shared" si="10"/>
        <v>15720314.620552927</v>
      </c>
      <c r="S23" s="185">
        <f t="shared" si="10"/>
        <v>2281504.2628325233</v>
      </c>
      <c r="T23" s="185">
        <f t="shared" si="10"/>
        <v>3854481.2422947781</v>
      </c>
      <c r="U23" s="185">
        <f t="shared" si="16"/>
        <v>687795.4</v>
      </c>
      <c r="V23" s="185">
        <f t="shared" si="11"/>
        <v>30389019.978944466</v>
      </c>
      <c r="W23" s="185">
        <f t="shared" si="11"/>
        <v>20351070.219439309</v>
      </c>
      <c r="X23" s="185">
        <f t="shared" si="11"/>
        <v>50740090.198383778</v>
      </c>
      <c r="Y23" s="185">
        <f t="shared" si="11"/>
        <v>18001818.88338545</v>
      </c>
      <c r="Z23" s="204">
        <f t="shared" si="11"/>
        <v>-32738271.314998321</v>
      </c>
      <c r="AA23" s="270">
        <f t="shared" si="12"/>
        <v>0.92384542602651409</v>
      </c>
      <c r="AB23" s="7">
        <f t="shared" si="3"/>
        <v>2.5000000000000001E-2</v>
      </c>
      <c r="AC23" s="203">
        <f t="shared" si="2"/>
        <v>1.3282157230581395</v>
      </c>
    </row>
    <row r="24" spans="1:29" x14ac:dyDescent="0.25">
      <c r="A24" s="180">
        <v>2034</v>
      </c>
      <c r="B24" s="180">
        <f t="shared" si="17"/>
        <v>5</v>
      </c>
      <c r="C24" s="185">
        <f>'Energy Revenue'!E12</f>
        <v>23043040</v>
      </c>
      <c r="D24" s="185">
        <f>'Cap Revenue'!D13</f>
        <v>3457126.9607142857</v>
      </c>
      <c r="E24" s="185">
        <f>'Energy Mkt Benefits'!H15</f>
        <v>-10499066.133929253</v>
      </c>
      <c r="F24" s="204">
        <f>'Energy Revenue'!C12</f>
        <v>684522.7</v>
      </c>
      <c r="G24" s="205">
        <f t="shared" si="4"/>
        <v>16925725.425373759</v>
      </c>
      <c r="H24" s="185">
        <f t="shared" si="5"/>
        <v>2539351.6522866297</v>
      </c>
      <c r="I24" s="185">
        <f t="shared" si="6"/>
        <v>-7711843.1685110526</v>
      </c>
      <c r="J24" s="204">
        <f t="shared" si="13"/>
        <v>684522.7</v>
      </c>
      <c r="K24" s="185">
        <f t="shared" si="7"/>
        <v>44782657.71787633</v>
      </c>
      <c r="L24" s="185">
        <f t="shared" si="8"/>
        <v>29990273.212531306</v>
      </c>
      <c r="M24" s="205">
        <f>OSW_Backup!$B$15</f>
        <v>32894052.536092017</v>
      </c>
      <c r="N24" s="204">
        <f>OSW_Backup!$B$9*OSW_Backup!$B$7</f>
        <v>22028652.895939369</v>
      </c>
      <c r="O24" s="185">
        <f t="shared" si="14"/>
        <v>54922705.432031386</v>
      </c>
      <c r="P24" s="185">
        <f t="shared" si="9"/>
        <v>19465077.077660389</v>
      </c>
      <c r="Q24" s="204">
        <f t="shared" si="15"/>
        <v>-35457628.354370996</v>
      </c>
      <c r="R24" s="185">
        <f t="shared" si="10"/>
        <v>15330150.99648257</v>
      </c>
      <c r="S24" s="185">
        <f t="shared" si="10"/>
        <v>2299969.0284685036</v>
      </c>
      <c r="T24" s="185">
        <f t="shared" si="10"/>
        <v>-6984853.9582968187</v>
      </c>
      <c r="U24" s="185">
        <f t="shared" si="16"/>
        <v>684522.7</v>
      </c>
      <c r="V24" s="185">
        <f t="shared" si="11"/>
        <v>29793156.842102416</v>
      </c>
      <c r="W24" s="185">
        <f t="shared" si="11"/>
        <v>19952029.626901284</v>
      </c>
      <c r="X24" s="185">
        <f t="shared" si="11"/>
        <v>49745186.4690037</v>
      </c>
      <c r="Y24" s="185">
        <f t="shared" si="11"/>
        <v>17630120.024951074</v>
      </c>
      <c r="Z24" s="204">
        <f t="shared" si="11"/>
        <v>-32115066.444052625</v>
      </c>
      <c r="AA24" s="270">
        <f t="shared" si="12"/>
        <v>0.90573080982991572</v>
      </c>
      <c r="AB24" s="7">
        <f t="shared" si="3"/>
        <v>2.5000000000000001E-2</v>
      </c>
      <c r="AC24" s="203">
        <f t="shared" si="2"/>
        <v>1.3614211161345928</v>
      </c>
    </row>
    <row r="25" spans="1:29" x14ac:dyDescent="0.25">
      <c r="A25" s="180">
        <v>2035</v>
      </c>
      <c r="B25" s="180">
        <f t="shared" si="17"/>
        <v>6</v>
      </c>
      <c r="C25" s="185">
        <f>'Energy Revenue'!E13</f>
        <v>23557360</v>
      </c>
      <c r="D25" s="185">
        <f>'Cap Revenue'!D14</f>
        <v>4794879.8571428573</v>
      </c>
      <c r="E25" s="185">
        <f>'Energy Mkt Benefits'!H16</f>
        <v>13478298.954640388</v>
      </c>
      <c r="F25" s="204">
        <f>'Energy Revenue'!C13</f>
        <v>682732.2</v>
      </c>
      <c r="G25" s="205">
        <f t="shared" si="4"/>
        <v>16881470.377921123</v>
      </c>
      <c r="H25" s="185">
        <f t="shared" si="5"/>
        <v>3436065.0885348702</v>
      </c>
      <c r="I25" s="185">
        <f t="shared" si="6"/>
        <v>9658701.3378208317</v>
      </c>
      <c r="J25" s="204">
        <f t="shared" si="13"/>
        <v>682732.2</v>
      </c>
      <c r="K25" s="185">
        <f t="shared" si="7"/>
        <v>45902224.160823226</v>
      </c>
      <c r="L25" s="185">
        <f t="shared" si="8"/>
        <v>30740030.042844582</v>
      </c>
      <c r="M25" s="205">
        <f>OSW_Backup!$B$15</f>
        <v>32894052.536092017</v>
      </c>
      <c r="N25" s="204">
        <f>OSW_Backup!$B$9*OSW_Backup!$B$7</f>
        <v>22028652.895939369</v>
      </c>
      <c r="O25" s="185">
        <f t="shared" si="14"/>
        <v>54922705.432031386</v>
      </c>
      <c r="P25" s="185">
        <f t="shared" si="9"/>
        <v>20317535.466455992</v>
      </c>
      <c r="Q25" s="204">
        <f t="shared" si="15"/>
        <v>-34605169.965575397</v>
      </c>
      <c r="R25" s="185">
        <f t="shared" si="10"/>
        <v>14990262.584817875</v>
      </c>
      <c r="S25" s="185">
        <f t="shared" si="10"/>
        <v>3051127.4659480285</v>
      </c>
      <c r="T25" s="185">
        <f t="shared" si="10"/>
        <v>8576650.3770683836</v>
      </c>
      <c r="U25" s="185">
        <f t="shared" si="16"/>
        <v>682732.2</v>
      </c>
      <c r="V25" s="185">
        <f t="shared" si="11"/>
        <v>29208977.29617884</v>
      </c>
      <c r="W25" s="185">
        <f t="shared" si="11"/>
        <v>19560813.359707139</v>
      </c>
      <c r="X25" s="185">
        <f t="shared" si="11"/>
        <v>48769790.65588598</v>
      </c>
      <c r="Y25" s="185">
        <f t="shared" si="11"/>
        <v>18041390.050765902</v>
      </c>
      <c r="Z25" s="204">
        <f t="shared" si="11"/>
        <v>-30728400.605120078</v>
      </c>
      <c r="AA25" s="270">
        <f t="shared" si="12"/>
        <v>0.88797138218619187</v>
      </c>
      <c r="AB25" s="7">
        <f t="shared" si="3"/>
        <v>2.5000000000000001E-2</v>
      </c>
      <c r="AC25" s="203">
        <f t="shared" si="2"/>
        <v>1.3954566440379574</v>
      </c>
    </row>
    <row r="26" spans="1:29" x14ac:dyDescent="0.25">
      <c r="A26" s="180">
        <v>2036</v>
      </c>
      <c r="B26" s="180">
        <f t="shared" si="17"/>
        <v>7</v>
      </c>
      <c r="C26" s="185">
        <f>'Energy Revenue'!E14</f>
        <v>24220440</v>
      </c>
      <c r="D26" s="185">
        <f>'Cap Revenue'!D15</f>
        <v>6434594.646428572</v>
      </c>
      <c r="E26" s="185">
        <f>'Energy Mkt Benefits'!H17</f>
        <v>11401338.11004734</v>
      </c>
      <c r="F26" s="204">
        <f>'Energy Revenue'!C14</f>
        <v>687229.4</v>
      </c>
      <c r="G26" s="205">
        <f t="shared" si="4"/>
        <v>16933308.29154221</v>
      </c>
      <c r="H26" s="185">
        <f t="shared" si="5"/>
        <v>4498637.3030003607</v>
      </c>
      <c r="I26" s="185">
        <f t="shared" si="6"/>
        <v>7971051.4405824514</v>
      </c>
      <c r="J26" s="204">
        <f t="shared" si="13"/>
        <v>687229.4</v>
      </c>
      <c r="K26" s="185">
        <f t="shared" si="7"/>
        <v>47049779.764843807</v>
      </c>
      <c r="L26" s="185">
        <f t="shared" si="8"/>
        <v>31508530.793915696</v>
      </c>
      <c r="M26" s="205">
        <f>OSW_Backup!$B$15</f>
        <v>32894052.536092017</v>
      </c>
      <c r="N26" s="204">
        <f>OSW_Backup!$B$9*OSW_Backup!$B$7</f>
        <v>22028652.895939369</v>
      </c>
      <c r="O26" s="185">
        <f t="shared" si="14"/>
        <v>54922705.432031386</v>
      </c>
      <c r="P26" s="185">
        <f t="shared" si="9"/>
        <v>21431945.59454257</v>
      </c>
      <c r="Q26" s="204">
        <f t="shared" si="15"/>
        <v>-33490759.837488815</v>
      </c>
      <c r="R26" s="185">
        <f t="shared" si="10"/>
        <v>14741463.890809448</v>
      </c>
      <c r="S26" s="185">
        <f t="shared" si="10"/>
        <v>3916334.4940192085</v>
      </c>
      <c r="T26" s="185">
        <f t="shared" si="10"/>
        <v>6939279.9658541521</v>
      </c>
      <c r="U26" s="185">
        <f t="shared" si="16"/>
        <v>687229.4</v>
      </c>
      <c r="V26" s="185">
        <f t="shared" si="11"/>
        <v>28636252.251155723</v>
      </c>
      <c r="W26" s="185">
        <f t="shared" si="11"/>
        <v>19177267.999712881</v>
      </c>
      <c r="X26" s="185">
        <f t="shared" si="11"/>
        <v>47813520.250868604</v>
      </c>
      <c r="Y26" s="185">
        <f t="shared" si="11"/>
        <v>18657798.384828657</v>
      </c>
      <c r="Z26" s="204">
        <f t="shared" si="11"/>
        <v>-29155721.866039947</v>
      </c>
      <c r="AA26" s="270">
        <f t="shared" si="12"/>
        <v>0.87056017861391355</v>
      </c>
      <c r="AB26" s="7">
        <f t="shared" si="3"/>
        <v>2.5000000000000001E-2</v>
      </c>
      <c r="AC26" s="203">
        <f t="shared" si="2"/>
        <v>1.4303430601389062</v>
      </c>
    </row>
    <row r="27" spans="1:29" x14ac:dyDescent="0.25">
      <c r="A27" s="180">
        <v>2037</v>
      </c>
      <c r="B27" s="180">
        <f t="shared" si="17"/>
        <v>8</v>
      </c>
      <c r="C27" s="185">
        <f>'Energy Revenue'!E15</f>
        <v>24649710</v>
      </c>
      <c r="D27" s="185">
        <f>'Cap Revenue'!D16</f>
        <v>10006065.417857144</v>
      </c>
      <c r="E27" s="185">
        <f>'Energy Mkt Benefits'!H18</f>
        <v>-10864578.9490242</v>
      </c>
      <c r="F27" s="204">
        <f>'Energy Revenue'!C15</f>
        <v>680322.6</v>
      </c>
      <c r="G27" s="205">
        <f t="shared" si="4"/>
        <v>16813097.662486766</v>
      </c>
      <c r="H27" s="185">
        <f t="shared" si="5"/>
        <v>6824946.6256464524</v>
      </c>
      <c r="I27" s="185">
        <f t="shared" si="6"/>
        <v>-7410522.3522606036</v>
      </c>
      <c r="J27" s="204">
        <f t="shared" si="13"/>
        <v>680322.6</v>
      </c>
      <c r="K27" s="185">
        <f t="shared" si="7"/>
        <v>48226024.258964896</v>
      </c>
      <c r="L27" s="185">
        <f t="shared" si="8"/>
        <v>32296244.063763585</v>
      </c>
      <c r="M27" s="205">
        <f>OSW_Backup!$B$15</f>
        <v>32894052.536092017</v>
      </c>
      <c r="N27" s="204">
        <f>OSW_Backup!$B$9*OSW_Backup!$B$7</f>
        <v>22028652.895939369</v>
      </c>
      <c r="O27" s="185">
        <f t="shared" si="14"/>
        <v>54922705.432031386</v>
      </c>
      <c r="P27" s="185">
        <f t="shared" si="9"/>
        <v>23638044.288133219</v>
      </c>
      <c r="Q27" s="204">
        <f t="shared" si="15"/>
        <v>-31284661.143898167</v>
      </c>
      <c r="R27" s="185">
        <f t="shared" si="10"/>
        <v>14349816.964811422</v>
      </c>
      <c r="S27" s="185">
        <f t="shared" si="10"/>
        <v>5825026.2288756883</v>
      </c>
      <c r="T27" s="185">
        <f t="shared" si="10"/>
        <v>-6324809.4731435189</v>
      </c>
      <c r="U27" s="185">
        <f t="shared" si="16"/>
        <v>680322.6</v>
      </c>
      <c r="V27" s="185">
        <f t="shared" si="11"/>
        <v>28074757.108976196</v>
      </c>
      <c r="W27" s="185">
        <f t="shared" si="11"/>
        <v>18801243.136973411</v>
      </c>
      <c r="X27" s="185">
        <f t="shared" si="11"/>
        <v>46876000.245949611</v>
      </c>
      <c r="Y27" s="185">
        <f t="shared" si="11"/>
        <v>20174843.193687111</v>
      </c>
      <c r="Z27" s="204">
        <f t="shared" si="11"/>
        <v>-26701157.052262496</v>
      </c>
      <c r="AA27" s="270">
        <f t="shared" si="12"/>
        <v>0.85349037119011129</v>
      </c>
      <c r="AB27" s="7">
        <f t="shared" si="3"/>
        <v>2.5000000000000001E-2</v>
      </c>
      <c r="AC27" s="203">
        <f t="shared" si="2"/>
        <v>1.4661016366423787</v>
      </c>
    </row>
    <row r="28" spans="1:29" x14ac:dyDescent="0.25">
      <c r="A28" s="180">
        <v>2038</v>
      </c>
      <c r="B28" s="180">
        <f t="shared" si="17"/>
        <v>9</v>
      </c>
      <c r="C28" s="185">
        <f>'Energy Revenue'!E16</f>
        <v>25791760</v>
      </c>
      <c r="D28" s="185">
        <f>'Cap Revenue'!D17</f>
        <v>10371772.735714287</v>
      </c>
      <c r="E28" s="185">
        <f>'Energy Mkt Benefits'!H19</f>
        <v>3988596.2961988449</v>
      </c>
      <c r="F28" s="204">
        <f>'Energy Revenue'!C16</f>
        <v>682469.8</v>
      </c>
      <c r="G28" s="205">
        <f t="shared" si="4"/>
        <v>17162993.379199591</v>
      </c>
      <c r="H28" s="185">
        <f t="shared" si="5"/>
        <v>6901842.5572208771</v>
      </c>
      <c r="I28" s="185">
        <f t="shared" si="6"/>
        <v>2654190.788994655</v>
      </c>
      <c r="J28" s="204">
        <f t="shared" si="13"/>
        <v>682469.8</v>
      </c>
      <c r="K28" s="185">
        <f t="shared" si="7"/>
        <v>49431674.865439013</v>
      </c>
      <c r="L28" s="185">
        <f t="shared" si="8"/>
        <v>33103650.165357672</v>
      </c>
      <c r="M28" s="205">
        <f>OSW_Backup!$B$15</f>
        <v>32894052.536092017</v>
      </c>
      <c r="N28" s="204">
        <f>OSW_Backup!$B$9*OSW_Backup!$B$7</f>
        <v>22028652.895939369</v>
      </c>
      <c r="O28" s="185">
        <f t="shared" si="14"/>
        <v>54922705.432031386</v>
      </c>
      <c r="P28" s="185">
        <f t="shared" si="9"/>
        <v>24064835.936420467</v>
      </c>
      <c r="Q28" s="204">
        <f t="shared" si="15"/>
        <v>-30857869.495610919</v>
      </c>
      <c r="R28" s="185">
        <f t="shared" si="10"/>
        <v>14361225.088182826</v>
      </c>
      <c r="S28" s="185">
        <f t="shared" si="10"/>
        <v>5775153.1039785817</v>
      </c>
      <c r="T28" s="185">
        <f t="shared" si="10"/>
        <v>2220908.1193219828</v>
      </c>
      <c r="U28" s="185">
        <f t="shared" si="16"/>
        <v>682469.8</v>
      </c>
      <c r="V28" s="185">
        <f t="shared" si="11"/>
        <v>27524271.675466862</v>
      </c>
      <c r="W28" s="185">
        <f t="shared" si="11"/>
        <v>18432591.310758248</v>
      </c>
      <c r="X28" s="185">
        <f t="shared" si="11"/>
        <v>45956862.986225106</v>
      </c>
      <c r="Y28" s="185">
        <f t="shared" si="11"/>
        <v>20136378.192161407</v>
      </c>
      <c r="Z28" s="204">
        <f t="shared" si="11"/>
        <v>-25820484.794063702</v>
      </c>
      <c r="AA28" s="270">
        <f t="shared" si="12"/>
        <v>0.83675526587265814</v>
      </c>
      <c r="AB28" s="7">
        <f t="shared" si="3"/>
        <v>2.5000000000000001E-2</v>
      </c>
      <c r="AC28" s="203">
        <f t="shared" si="2"/>
        <v>1.5027541775584381</v>
      </c>
    </row>
    <row r="29" spans="1:29" x14ac:dyDescent="0.25">
      <c r="A29" s="180">
        <v>2039</v>
      </c>
      <c r="B29" s="180">
        <f t="shared" si="17"/>
        <v>10</v>
      </c>
      <c r="C29" s="185">
        <f>'Energy Revenue'!E17</f>
        <v>25927240</v>
      </c>
      <c r="D29" s="185">
        <f>'Cap Revenue'!D18</f>
        <v>8950552.6821428593</v>
      </c>
      <c r="E29" s="185">
        <f>'Energy Mkt Benefits'!H20</f>
        <v>25271298.444526672</v>
      </c>
      <c r="F29" s="204">
        <f>'Energy Revenue'!C17</f>
        <v>684007.3</v>
      </c>
      <c r="G29" s="205">
        <f t="shared" si="4"/>
        <v>16832339.360906072</v>
      </c>
      <c r="H29" s="185">
        <f t="shared" si="5"/>
        <v>5810828.3108227747</v>
      </c>
      <c r="I29" s="185">
        <f t="shared" si="6"/>
        <v>16406492.611979166</v>
      </c>
      <c r="J29" s="204">
        <f t="shared" si="13"/>
        <v>684007.3</v>
      </c>
      <c r="K29" s="185">
        <f t="shared" si="7"/>
        <v>50667466.737074979</v>
      </c>
      <c r="L29" s="185">
        <f t="shared" si="8"/>
        <v>33931241.419491611</v>
      </c>
      <c r="M29" s="205">
        <f>OSW_Backup!$B$15</f>
        <v>32894052.536092017</v>
      </c>
      <c r="N29" s="204">
        <f>OSW_Backup!$B$9*OSW_Backup!$B$7</f>
        <v>22028652.895939369</v>
      </c>
      <c r="O29" s="185">
        <f t="shared" si="14"/>
        <v>54922705.432031386</v>
      </c>
      <c r="P29" s="185">
        <f t="shared" si="9"/>
        <v>22643167.671728846</v>
      </c>
      <c r="Q29" s="204">
        <f t="shared" si="15"/>
        <v>-32279537.76030254</v>
      </c>
      <c r="R29" s="185">
        <f t="shared" si="10"/>
        <v>13808380.977640949</v>
      </c>
      <c r="S29" s="185">
        <f t="shared" si="10"/>
        <v>4766903.1256498815</v>
      </c>
      <c r="T29" s="185">
        <f t="shared" si="10"/>
        <v>13459038.3211514</v>
      </c>
      <c r="U29" s="185">
        <f t="shared" si="16"/>
        <v>684007.3</v>
      </c>
      <c r="V29" s="185">
        <f t="shared" si="11"/>
        <v>26984580.073987115</v>
      </c>
      <c r="W29" s="185">
        <f t="shared" si="11"/>
        <v>18071167.951723769</v>
      </c>
      <c r="X29" s="185">
        <f t="shared" si="11"/>
        <v>45055748.025710888</v>
      </c>
      <c r="Y29" s="185">
        <f t="shared" si="11"/>
        <v>18575284.10329083</v>
      </c>
      <c r="Z29" s="204">
        <f t="shared" si="11"/>
        <v>-26480463.922420058</v>
      </c>
      <c r="AA29" s="270">
        <f t="shared" si="12"/>
        <v>0.82034829987515501</v>
      </c>
      <c r="AB29" s="7">
        <f t="shared" si="3"/>
        <v>2.5000000000000001E-2</v>
      </c>
      <c r="AC29" s="203">
        <f t="shared" si="2"/>
        <v>1.5403230319973988</v>
      </c>
    </row>
    <row r="30" spans="1:29" x14ac:dyDescent="0.25">
      <c r="A30" s="180">
        <v>2040</v>
      </c>
      <c r="B30" s="180">
        <f t="shared" si="17"/>
        <v>11</v>
      </c>
      <c r="C30" s="185">
        <f>'Energy Revenue'!E18</f>
        <v>27381800</v>
      </c>
      <c r="D30" s="185">
        <f>'Cap Revenue'!D19</f>
        <v>7818813.8678571433</v>
      </c>
      <c r="E30" s="185">
        <f>'Energy Mkt Benefits'!H21</f>
        <v>-4208040.215086937</v>
      </c>
      <c r="F30" s="204">
        <f>'Energy Revenue'!C18</f>
        <v>682836</v>
      </c>
      <c r="G30" s="205">
        <f t="shared" si="4"/>
        <v>17343083.667892147</v>
      </c>
      <c r="H30" s="185">
        <f t="shared" si="5"/>
        <v>4952280.0945855221</v>
      </c>
      <c r="I30" s="185">
        <f t="shared" si="6"/>
        <v>-2665288.3860121542</v>
      </c>
      <c r="J30" s="204">
        <f t="shared" si="13"/>
        <v>682836</v>
      </c>
      <c r="K30" s="185">
        <f t="shared" si="7"/>
        <v>51934153.40550185</v>
      </c>
      <c r="L30" s="185">
        <f t="shared" si="8"/>
        <v>34779522.454978898</v>
      </c>
      <c r="M30" s="205">
        <f>OSW_Backup!$B$15</f>
        <v>32894052.536092017</v>
      </c>
      <c r="N30" s="204">
        <f>OSW_Backup!$B$9*OSW_Backup!$B$7</f>
        <v>22028652.895939369</v>
      </c>
      <c r="O30" s="185">
        <f t="shared" si="14"/>
        <v>54922705.432031386</v>
      </c>
      <c r="P30" s="185">
        <f t="shared" si="9"/>
        <v>22295363.76247767</v>
      </c>
      <c r="Q30" s="204">
        <f t="shared" si="15"/>
        <v>-32627341.669553716</v>
      </c>
      <c r="R30" s="185">
        <f t="shared" si="10"/>
        <v>13948401.177988125</v>
      </c>
      <c r="S30" s="185">
        <f t="shared" si="10"/>
        <v>3982935.8393125534</v>
      </c>
      <c r="T30" s="185">
        <f t="shared" si="10"/>
        <v>-2143592.9373941827</v>
      </c>
      <c r="U30" s="185">
        <f t="shared" si="16"/>
        <v>682836</v>
      </c>
      <c r="V30" s="185">
        <f t="shared" si="11"/>
        <v>26455470.660771679</v>
      </c>
      <c r="W30" s="185">
        <f t="shared" si="11"/>
        <v>17716831.325219382</v>
      </c>
      <c r="X30" s="185">
        <f t="shared" si="11"/>
        <v>44172301.985991061</v>
      </c>
      <c r="Y30" s="185">
        <f t="shared" si="11"/>
        <v>17931337.01730068</v>
      </c>
      <c r="Z30" s="204">
        <f t="shared" si="11"/>
        <v>-26240964.96869038</v>
      </c>
      <c r="AA30" s="270">
        <f t="shared" si="12"/>
        <v>0.80426303909328911</v>
      </c>
      <c r="AB30" s="7">
        <f t="shared" si="3"/>
        <v>2.5000000000000001E-2</v>
      </c>
      <c r="AC30" s="203">
        <f t="shared" si="2"/>
        <v>1.5788311077973336</v>
      </c>
    </row>
    <row r="31" spans="1:29" x14ac:dyDescent="0.25">
      <c r="A31" s="180">
        <v>2041</v>
      </c>
      <c r="B31" s="180">
        <f t="shared" si="17"/>
        <v>12</v>
      </c>
      <c r="C31" s="185">
        <f>'Energy Revenue'!E19</f>
        <v>28702040</v>
      </c>
      <c r="D31" s="185">
        <f>'Cap Revenue'!D20</f>
        <v>11160512.967857141</v>
      </c>
      <c r="E31" s="185">
        <f>'Energy Mkt Benefits'!H22</f>
        <v>26476630.057442665</v>
      </c>
      <c r="F31" s="204">
        <f>'Energy Revenue'!C19</f>
        <v>677078.2</v>
      </c>
      <c r="G31" s="205">
        <f t="shared" si="4"/>
        <v>17735899.746090457</v>
      </c>
      <c r="H31" s="185">
        <f t="shared" si="5"/>
        <v>6896434.5082390206</v>
      </c>
      <c r="I31" s="185">
        <f t="shared" si="6"/>
        <v>16360748.445515659</v>
      </c>
      <c r="J31" s="204">
        <f t="shared" si="13"/>
        <v>677078.2</v>
      </c>
      <c r="K31" s="185">
        <f t="shared" si="7"/>
        <v>53232507.240639396</v>
      </c>
      <c r="L31" s="185">
        <f t="shared" si="8"/>
        <v>35649010.516353361</v>
      </c>
      <c r="M31" s="205">
        <f>OSW_Backup!$B$15</f>
        <v>32894052.536092017</v>
      </c>
      <c r="N31" s="204">
        <f>OSW_Backup!$B$9*OSW_Backup!$B$7</f>
        <v>22028652.895939369</v>
      </c>
      <c r="O31" s="185">
        <f t="shared" si="14"/>
        <v>54922705.432031386</v>
      </c>
      <c r="P31" s="185">
        <f t="shared" si="9"/>
        <v>24632334.254329477</v>
      </c>
      <c r="Q31" s="204">
        <f t="shared" si="15"/>
        <v>-30290371.177701909</v>
      </c>
      <c r="R31" s="185">
        <f t="shared" si="10"/>
        <v>13984635.91259275</v>
      </c>
      <c r="S31" s="185">
        <f t="shared" si="10"/>
        <v>5437791.5455923015</v>
      </c>
      <c r="T31" s="185">
        <f t="shared" si="10"/>
        <v>12900338.496697284</v>
      </c>
      <c r="U31" s="185">
        <f t="shared" si="16"/>
        <v>677078.2</v>
      </c>
      <c r="V31" s="185">
        <f t="shared" si="11"/>
        <v>25936735.941933021</v>
      </c>
      <c r="W31" s="185">
        <f t="shared" si="11"/>
        <v>17369442.475705277</v>
      </c>
      <c r="X31" s="185">
        <f t="shared" si="11"/>
        <v>43306178.417638294</v>
      </c>
      <c r="Y31" s="185">
        <f t="shared" si="11"/>
        <v>19422427.458185051</v>
      </c>
      <c r="Z31" s="204">
        <f t="shared" si="11"/>
        <v>-23883750.959453244</v>
      </c>
      <c r="AA31" s="270">
        <f t="shared" si="12"/>
        <v>0.78849317558165599</v>
      </c>
      <c r="AB31" s="7">
        <f t="shared" si="3"/>
        <v>2.5000000000000001E-2</v>
      </c>
      <c r="AC31" s="203">
        <f t="shared" si="2"/>
        <v>1.6183018854922668</v>
      </c>
    </row>
    <row r="32" spans="1:29" x14ac:dyDescent="0.25">
      <c r="A32" s="180">
        <v>2042</v>
      </c>
      <c r="B32" s="180">
        <f t="shared" si="17"/>
        <v>13</v>
      </c>
      <c r="C32" s="185">
        <f>'Energy Revenue'!E20</f>
        <v>28925580</v>
      </c>
      <c r="D32" s="185">
        <f>'Cap Revenue'!D21</f>
        <v>11787882.267857144</v>
      </c>
      <c r="E32" s="185">
        <f>'Energy Mkt Benefits'!H23</f>
        <v>15595487.716253281</v>
      </c>
      <c r="F32" s="204">
        <f>'Energy Revenue'!C20</f>
        <v>679450.7</v>
      </c>
      <c r="G32" s="205">
        <f t="shared" si="4"/>
        <v>17438080.188725915</v>
      </c>
      <c r="H32" s="185">
        <f t="shared" si="5"/>
        <v>7106444.7538183555</v>
      </c>
      <c r="I32" s="185">
        <f t="shared" si="6"/>
        <v>9401898.4365504403</v>
      </c>
      <c r="J32" s="204">
        <f t="shared" si="13"/>
        <v>679450.7</v>
      </c>
      <c r="K32" s="185">
        <f t="shared" si="7"/>
        <v>54563319.921655372</v>
      </c>
      <c r="L32" s="185">
        <f t="shared" si="8"/>
        <v>36540235.779262193</v>
      </c>
      <c r="M32" s="205">
        <f>OSW_Backup!$B$15</f>
        <v>32894052.536092017</v>
      </c>
      <c r="N32" s="204">
        <f>OSW_Backup!$B$9*OSW_Backup!$B$7</f>
        <v>22028652.895939369</v>
      </c>
      <c r="O32" s="185">
        <f t="shared" si="14"/>
        <v>54922705.432031386</v>
      </c>
      <c r="P32" s="185">
        <f t="shared" si="9"/>
        <v>24544524.94254427</v>
      </c>
      <c r="Q32" s="204">
        <f t="shared" si="15"/>
        <v>-30378180.489487115</v>
      </c>
      <c r="R32" s="185">
        <f t="shared" si="10"/>
        <v>13480203.160839273</v>
      </c>
      <c r="S32" s="185">
        <f t="shared" si="10"/>
        <v>5493512.9323861115</v>
      </c>
      <c r="T32" s="185">
        <f t="shared" si="10"/>
        <v>7267973.288952806</v>
      </c>
      <c r="U32" s="185">
        <f t="shared" si="16"/>
        <v>679450.7</v>
      </c>
      <c r="V32" s="185">
        <f t="shared" si="11"/>
        <v>25428172.492091194</v>
      </c>
      <c r="W32" s="185">
        <f t="shared" si="11"/>
        <v>17028865.172260072</v>
      </c>
      <c r="X32" s="185">
        <f t="shared" si="11"/>
        <v>42457037.664351262</v>
      </c>
      <c r="Y32" s="185">
        <f t="shared" si="11"/>
        <v>18973716.093225386</v>
      </c>
      <c r="Z32" s="204">
        <f t="shared" si="11"/>
        <v>-23483321.57112588</v>
      </c>
      <c r="AA32" s="270">
        <f t="shared" si="12"/>
        <v>0.77303252508005482</v>
      </c>
      <c r="AB32" s="7">
        <f t="shared" si="3"/>
        <v>2.5000000000000001E-2</v>
      </c>
      <c r="AC32" s="203">
        <f t="shared" si="2"/>
        <v>1.6587594326295734</v>
      </c>
    </row>
    <row r="33" spans="1:29" x14ac:dyDescent="0.25">
      <c r="A33" s="180">
        <v>2043</v>
      </c>
      <c r="B33" s="180">
        <f t="shared" si="17"/>
        <v>14</v>
      </c>
      <c r="C33" s="185">
        <f>'Energy Revenue'!E21</f>
        <v>29932120</v>
      </c>
      <c r="D33" s="185">
        <f>'Cap Revenue'!D22</f>
        <v>12247599.246428572</v>
      </c>
      <c r="E33" s="185">
        <f>'Energy Mkt Benefits'!H24</f>
        <v>38215445.121498108</v>
      </c>
      <c r="F33" s="204">
        <f>'Energy Revenue'!C21</f>
        <v>682122.4</v>
      </c>
      <c r="G33" s="205">
        <f t="shared" si="4"/>
        <v>17604763.968931839</v>
      </c>
      <c r="H33" s="185">
        <f t="shared" si="5"/>
        <v>7203502.2550839176</v>
      </c>
      <c r="I33" s="185">
        <f t="shared" si="6"/>
        <v>22476653.552492835</v>
      </c>
      <c r="J33" s="204">
        <f t="shared" si="13"/>
        <v>682122.4</v>
      </c>
      <c r="K33" s="185">
        <f t="shared" si="7"/>
        <v>55927402.919696748</v>
      </c>
      <c r="L33" s="185">
        <f t="shared" si="8"/>
        <v>37453741.673743747</v>
      </c>
      <c r="M33" s="205">
        <f>OSW_Backup!$B$15</f>
        <v>32894052.536092017</v>
      </c>
      <c r="N33" s="204">
        <f>OSW_Backup!$B$9*OSW_Backup!$B$7</f>
        <v>22028652.895939369</v>
      </c>
      <c r="O33" s="185">
        <f t="shared" si="14"/>
        <v>54922705.432031386</v>
      </c>
      <c r="P33" s="185">
        <f t="shared" si="9"/>
        <v>24808266.224015757</v>
      </c>
      <c r="Q33" s="204">
        <f t="shared" si="15"/>
        <v>-30114439.208015628</v>
      </c>
      <c r="R33" s="185">
        <f t="shared" si="10"/>
        <v>13342210.925825242</v>
      </c>
      <c r="S33" s="185">
        <f t="shared" si="10"/>
        <v>5459354.4486935195</v>
      </c>
      <c r="T33" s="185">
        <f t="shared" si="10"/>
        <v>17034494.36375796</v>
      </c>
      <c r="U33" s="185">
        <f t="shared" si="16"/>
        <v>682122.4</v>
      </c>
      <c r="V33" s="185">
        <f t="shared" si="11"/>
        <v>24929580.874599207</v>
      </c>
      <c r="W33" s="185">
        <f t="shared" si="11"/>
        <v>16694965.855156934</v>
      </c>
      <c r="X33" s="185">
        <f t="shared" si="11"/>
        <v>41624546.729756139</v>
      </c>
      <c r="Y33" s="185">
        <f t="shared" si="11"/>
        <v>18801565.374518763</v>
      </c>
      <c r="Z33" s="204">
        <f t="shared" si="11"/>
        <v>-22822981.35523738</v>
      </c>
      <c r="AA33" s="270">
        <f t="shared" si="12"/>
        <v>0.75787502458828904</v>
      </c>
      <c r="AB33" s="7">
        <f t="shared" si="3"/>
        <v>2.5000000000000001E-2</v>
      </c>
      <c r="AC33" s="203">
        <f t="shared" si="2"/>
        <v>1.7002284184453125</v>
      </c>
    </row>
    <row r="34" spans="1:29" x14ac:dyDescent="0.25">
      <c r="A34" s="180">
        <v>2044</v>
      </c>
      <c r="B34" s="180">
        <f t="shared" si="17"/>
        <v>15</v>
      </c>
      <c r="C34" s="185">
        <f>'Energy Revenue'!E22</f>
        <v>30601910</v>
      </c>
      <c r="D34" s="185">
        <f>'Cap Revenue'!D23</f>
        <v>9144747.8035714291</v>
      </c>
      <c r="E34" s="185">
        <f>'Energy Mkt Benefits'!H25</f>
        <v>-17676472.714087486</v>
      </c>
      <c r="F34" s="204">
        <f>'Energy Revenue'!C22</f>
        <v>686102.4</v>
      </c>
      <c r="G34" s="205">
        <f t="shared" si="4"/>
        <v>17559712.34648541</v>
      </c>
      <c r="H34" s="185">
        <f t="shared" si="5"/>
        <v>5247356.8124299617</v>
      </c>
      <c r="I34" s="185">
        <f t="shared" si="6"/>
        <v>-10142954.350230901</v>
      </c>
      <c r="J34" s="204">
        <f t="shared" si="13"/>
        <v>686102.4</v>
      </c>
      <c r="K34" s="185">
        <f t="shared" si="7"/>
        <v>57325587.992689162</v>
      </c>
      <c r="L34" s="185">
        <f t="shared" si="8"/>
        <v>38390085.215587333</v>
      </c>
      <c r="M34" s="205">
        <f>OSW_Backup!$B$15</f>
        <v>32894052.536092017</v>
      </c>
      <c r="N34" s="204">
        <f>OSW_Backup!$B$9*OSW_Backup!$B$7</f>
        <v>22028652.895939369</v>
      </c>
      <c r="O34" s="185">
        <f t="shared" si="14"/>
        <v>54922705.432031386</v>
      </c>
      <c r="P34" s="185">
        <f t="shared" si="9"/>
        <v>22807069.158915371</v>
      </c>
      <c r="Q34" s="204">
        <f t="shared" si="15"/>
        <v>-32115636.273116015</v>
      </c>
      <c r="R34" s="185">
        <f t="shared" si="10"/>
        <v>13047124.927799914</v>
      </c>
      <c r="S34" s="185">
        <f t="shared" si="10"/>
        <v>3898863.4051410621</v>
      </c>
      <c r="T34" s="185">
        <f t="shared" si="10"/>
        <v>-7536364.4878226835</v>
      </c>
      <c r="U34" s="185">
        <f t="shared" si="16"/>
        <v>686102.4</v>
      </c>
      <c r="V34" s="185">
        <f t="shared" si="11"/>
        <v>24440765.563332558</v>
      </c>
      <c r="W34" s="185">
        <f t="shared" si="11"/>
        <v>16367613.58348719</v>
      </c>
      <c r="X34" s="185">
        <f t="shared" si="11"/>
        <v>40808379.146819748</v>
      </c>
      <c r="Y34" s="185">
        <f t="shared" si="11"/>
        <v>16945988.332940977</v>
      </c>
      <c r="Z34" s="204">
        <f t="shared" si="11"/>
        <v>-23862390.813878771</v>
      </c>
      <c r="AA34" s="270">
        <f t="shared" si="12"/>
        <v>0.7430147299885187</v>
      </c>
      <c r="AB34" s="7">
        <f t="shared" si="3"/>
        <v>2.5000000000000001E-2</v>
      </c>
      <c r="AC34" s="203">
        <f t="shared" si="2"/>
        <v>1.7427341289064451</v>
      </c>
    </row>
    <row r="35" spans="1:29" x14ac:dyDescent="0.25">
      <c r="A35" s="180">
        <v>2045</v>
      </c>
      <c r="B35" s="180">
        <f t="shared" si="17"/>
        <v>16</v>
      </c>
      <c r="C35" s="185">
        <f>'Energy Revenue'!E23</f>
        <v>33435629.999999996</v>
      </c>
      <c r="D35" s="185">
        <f>'Cap Revenue'!D24</f>
        <v>12741815.764285712</v>
      </c>
      <c r="E35" s="185">
        <f>'Energy Mkt Benefits'!H26</f>
        <v>23013007.540870667</v>
      </c>
      <c r="F35" s="204">
        <f>'Energy Revenue'!C23</f>
        <v>683890.4</v>
      </c>
      <c r="G35" s="205">
        <f t="shared" si="4"/>
        <v>18717787.348169524</v>
      </c>
      <c r="H35" s="185">
        <f t="shared" si="5"/>
        <v>7133067.2670278409</v>
      </c>
      <c r="I35" s="185">
        <f t="shared" si="6"/>
        <v>12883040.678217782</v>
      </c>
      <c r="J35" s="204">
        <f t="shared" si="13"/>
        <v>683890.4</v>
      </c>
      <c r="K35" s="185">
        <f t="shared" si="7"/>
        <v>58758727.692506388</v>
      </c>
      <c r="L35" s="185">
        <f t="shared" si="8"/>
        <v>39349837.345977016</v>
      </c>
      <c r="M35" s="205">
        <f>OSW_Backup!$B$15</f>
        <v>32894052.536092017</v>
      </c>
      <c r="N35" s="204">
        <f>OSW_Backup!$B$9*OSW_Backup!$B$7</f>
        <v>22028652.895939369</v>
      </c>
      <c r="O35" s="185">
        <f t="shared" si="14"/>
        <v>54922705.432031386</v>
      </c>
      <c r="P35" s="185">
        <f t="shared" si="9"/>
        <v>25850854.615197364</v>
      </c>
      <c r="Q35" s="204">
        <f t="shared" si="15"/>
        <v>-29071850.816834021</v>
      </c>
      <c r="R35" s="185">
        <f t="shared" si="10"/>
        <v>13634893.835767342</v>
      </c>
      <c r="S35" s="185">
        <f t="shared" si="10"/>
        <v>5196052.989608462</v>
      </c>
      <c r="T35" s="185">
        <f t="shared" si="10"/>
        <v>9384597.0499579273</v>
      </c>
      <c r="U35" s="185">
        <f t="shared" si="16"/>
        <v>683890.4</v>
      </c>
      <c r="V35" s="185">
        <f t="shared" si="11"/>
        <v>23961534.866012309</v>
      </c>
      <c r="W35" s="185">
        <f t="shared" si="11"/>
        <v>16046679.983810969</v>
      </c>
      <c r="X35" s="185">
        <f t="shared" si="11"/>
        <v>40008214.849823274</v>
      </c>
      <c r="Y35" s="185">
        <f t="shared" si="11"/>
        <v>18830946.825375803</v>
      </c>
      <c r="Z35" s="204">
        <f t="shared" si="11"/>
        <v>-21177268.024447475</v>
      </c>
      <c r="AA35" s="270">
        <f t="shared" si="12"/>
        <v>0.72844581371423389</v>
      </c>
      <c r="AB35" s="7">
        <f t="shared" si="3"/>
        <v>2.5000000000000001E-2</v>
      </c>
      <c r="AC35" s="203">
        <f t="shared" si="2"/>
        <v>1.786302482129106</v>
      </c>
    </row>
    <row r="36" spans="1:29" x14ac:dyDescent="0.25">
      <c r="A36" s="180">
        <v>2046</v>
      </c>
      <c r="B36" s="180">
        <f t="shared" si="17"/>
        <v>17</v>
      </c>
      <c r="C36" s="185">
        <f>'Energy Revenue'!E24</f>
        <v>34403710</v>
      </c>
      <c r="D36" s="185">
        <f>'Cap Revenue'!D25</f>
        <v>13379450.689285714</v>
      </c>
      <c r="E36" s="185">
        <f>'Energy Mkt Benefits'!H27</f>
        <v>28264375.561751366</v>
      </c>
      <c r="F36" s="204">
        <f>'Energy Revenue'!C24</f>
        <v>680649.7</v>
      </c>
      <c r="G36" s="205">
        <f t="shared" si="4"/>
        <v>18789984.035595894</v>
      </c>
      <c r="H36" s="185">
        <f t="shared" si="5"/>
        <v>7307341.7040406708</v>
      </c>
      <c r="I36" s="185">
        <f t="shared" si="6"/>
        <v>15436915.541416751</v>
      </c>
      <c r="J36" s="204">
        <f t="shared" si="13"/>
        <v>680649.7</v>
      </c>
      <c r="K36" s="185">
        <f t="shared" si="7"/>
        <v>60227695.884819038</v>
      </c>
      <c r="L36" s="185">
        <f t="shared" si="8"/>
        <v>40333583.279626437</v>
      </c>
      <c r="M36" s="205">
        <f>OSW_Backup!$B$15</f>
        <v>32894052.536092017</v>
      </c>
      <c r="N36" s="204">
        <f>OSW_Backup!$B$9*OSW_Backup!$B$7</f>
        <v>22028652.895939369</v>
      </c>
      <c r="O36" s="185">
        <f t="shared" si="14"/>
        <v>54922705.432031386</v>
      </c>
      <c r="P36" s="185">
        <f t="shared" si="9"/>
        <v>26097325.739636563</v>
      </c>
      <c r="Q36" s="204">
        <f t="shared" si="15"/>
        <v>-28825379.692394823</v>
      </c>
      <c r="R36" s="185">
        <f t="shared" si="10"/>
        <v>13419103.147536388</v>
      </c>
      <c r="S36" s="185">
        <f t="shared" si="10"/>
        <v>5218629.8761645714</v>
      </c>
      <c r="T36" s="185">
        <f t="shared" si="10"/>
        <v>11024467.159612969</v>
      </c>
      <c r="U36" s="185">
        <f t="shared" si="16"/>
        <v>680649.7</v>
      </c>
      <c r="V36" s="185">
        <f t="shared" si="11"/>
        <v>23491700.849031672</v>
      </c>
      <c r="W36" s="185">
        <f t="shared" si="11"/>
        <v>15732039.199814674</v>
      </c>
      <c r="X36" s="185">
        <f t="shared" si="11"/>
        <v>39223740.048846349</v>
      </c>
      <c r="Y36" s="185">
        <f t="shared" si="11"/>
        <v>18637733.023700956</v>
      </c>
      <c r="Z36" s="204">
        <f t="shared" si="11"/>
        <v>-20586007.025145389</v>
      </c>
      <c r="AA36" s="270">
        <f t="shared" si="12"/>
        <v>0.71416256246493515</v>
      </c>
      <c r="AB36" s="7">
        <f t="shared" si="3"/>
        <v>2.5000000000000001E-2</v>
      </c>
      <c r="AC36" s="203">
        <f t="shared" si="2"/>
        <v>1.8309600441823335</v>
      </c>
    </row>
    <row r="37" spans="1:29" x14ac:dyDescent="0.25">
      <c r="A37" s="180">
        <v>2047</v>
      </c>
      <c r="B37" s="180">
        <f t="shared" si="17"/>
        <v>18</v>
      </c>
      <c r="C37" s="185">
        <f>'Energy Revenue'!E25</f>
        <v>35243930</v>
      </c>
      <c r="D37" s="185">
        <f>'Cap Revenue'!D26</f>
        <v>13920593.432142857</v>
      </c>
      <c r="E37" s="185">
        <f>'Energy Mkt Benefits'!H28</f>
        <v>27680176.187005997</v>
      </c>
      <c r="F37" s="204">
        <f>'Energy Revenue'!C25</f>
        <v>681123.2</v>
      </c>
      <c r="G37" s="205">
        <f t="shared" si="4"/>
        <v>18779395.028565355</v>
      </c>
      <c r="H37" s="185">
        <f t="shared" si="5"/>
        <v>7417456.6540752714</v>
      </c>
      <c r="I37" s="185">
        <f t="shared" si="6"/>
        <v>14749120.290389679</v>
      </c>
      <c r="J37" s="204">
        <f t="shared" si="13"/>
        <v>681123.2</v>
      </c>
      <c r="K37" s="185">
        <f t="shared" si="7"/>
        <v>61733388.281939507</v>
      </c>
      <c r="L37" s="185">
        <f t="shared" si="8"/>
        <v>41341922.861617096</v>
      </c>
      <c r="M37" s="205">
        <f>OSW_Backup!$B$15</f>
        <v>32894052.536092017</v>
      </c>
      <c r="N37" s="204">
        <f>OSW_Backup!$B$9*OSW_Backup!$B$7</f>
        <v>22028652.895939369</v>
      </c>
      <c r="O37" s="185">
        <f t="shared" si="14"/>
        <v>54922705.432031386</v>
      </c>
      <c r="P37" s="185">
        <f t="shared" si="9"/>
        <v>26196851.682640627</v>
      </c>
      <c r="Q37" s="204">
        <f t="shared" si="15"/>
        <v>-28725853.749390759</v>
      </c>
      <c r="R37" s="185">
        <f t="shared" si="10"/>
        <v>13148569.485432839</v>
      </c>
      <c r="S37" s="185">
        <f t="shared" si="10"/>
        <v>5193401.8147519408</v>
      </c>
      <c r="T37" s="185">
        <f t="shared" si="10"/>
        <v>10326734.84381202</v>
      </c>
      <c r="U37" s="185">
        <f t="shared" si="16"/>
        <v>681123.2</v>
      </c>
      <c r="V37" s="185">
        <f t="shared" si="11"/>
        <v>23031079.26375654</v>
      </c>
      <c r="W37" s="185">
        <f t="shared" si="11"/>
        <v>15423567.842955561</v>
      </c>
      <c r="X37" s="185">
        <f t="shared" si="11"/>
        <v>38454647.106712103</v>
      </c>
      <c r="Y37" s="185">
        <f t="shared" si="11"/>
        <v>18341971.300184783</v>
      </c>
      <c r="Z37" s="204">
        <f t="shared" si="11"/>
        <v>-20112675.80652732</v>
      </c>
      <c r="AA37" s="270">
        <f t="shared" si="12"/>
        <v>0.70015937496562264</v>
      </c>
      <c r="AB37" s="7">
        <f t="shared" si="3"/>
        <v>2.5000000000000001E-2</v>
      </c>
      <c r="AC37" s="203">
        <f t="shared" si="2"/>
        <v>1.8767340452868917</v>
      </c>
    </row>
    <row r="38" spans="1:29" x14ac:dyDescent="0.25">
      <c r="A38" s="180">
        <v>2048</v>
      </c>
      <c r="B38" s="180">
        <f t="shared" si="17"/>
        <v>19</v>
      </c>
      <c r="C38" s="185">
        <f>'Energy Revenue'!E26</f>
        <v>36399170</v>
      </c>
      <c r="D38" s="185">
        <f>'Cap Revenue'!D27</f>
        <v>14464106.067857144</v>
      </c>
      <c r="E38" s="185">
        <f>'Energy Mkt Benefits'!H29</f>
        <v>5464909.1764717102</v>
      </c>
      <c r="F38" s="204">
        <f>'Energy Revenue'!C26</f>
        <v>684460.1</v>
      </c>
      <c r="G38" s="205">
        <f t="shared" si="4"/>
        <v>18921906.09267981</v>
      </c>
      <c r="H38" s="185">
        <f t="shared" si="5"/>
        <v>7519085.098109466</v>
      </c>
      <c r="I38" s="185">
        <f t="shared" si="6"/>
        <v>2840902.6426212979</v>
      </c>
      <c r="J38" s="204">
        <f t="shared" si="13"/>
        <v>684460.1</v>
      </c>
      <c r="K38" s="185">
        <f t="shared" si="7"/>
        <v>63276722.98898799</v>
      </c>
      <c r="L38" s="185">
        <f t="shared" si="8"/>
        <v>42375470.933157511</v>
      </c>
      <c r="M38" s="205">
        <f>OSW_Backup!$B$15</f>
        <v>32894052.536092017</v>
      </c>
      <c r="N38" s="204">
        <f>OSW_Backup!$B$9*OSW_Backup!$B$7</f>
        <v>22028652.895939369</v>
      </c>
      <c r="O38" s="185">
        <f t="shared" si="14"/>
        <v>54922705.432031386</v>
      </c>
      <c r="P38" s="185">
        <f t="shared" si="9"/>
        <v>26440991.190789275</v>
      </c>
      <c r="Q38" s="204">
        <f t="shared" si="15"/>
        <v>-28481714.241242111</v>
      </c>
      <c r="R38" s="185">
        <f t="shared" si="10"/>
        <v>12988578.375498924</v>
      </c>
      <c r="S38" s="185">
        <f t="shared" si="10"/>
        <v>5161331.2966722073</v>
      </c>
      <c r="T38" s="185">
        <f t="shared" si="10"/>
        <v>1950082.9594077584</v>
      </c>
      <c r="U38" s="185">
        <f t="shared" si="16"/>
        <v>684460.1</v>
      </c>
      <c r="V38" s="185">
        <f t="shared" si="11"/>
        <v>22579489.474271119</v>
      </c>
      <c r="W38" s="185">
        <f t="shared" si="11"/>
        <v>15121144.944074079</v>
      </c>
      <c r="X38" s="185">
        <f t="shared" si="11"/>
        <v>37700634.418345198</v>
      </c>
      <c r="Y38" s="185">
        <f t="shared" si="11"/>
        <v>18149909.672171131</v>
      </c>
      <c r="Z38" s="204">
        <f t="shared" si="11"/>
        <v>-19550724.746174067</v>
      </c>
      <c r="AA38" s="270">
        <f t="shared" si="12"/>
        <v>0.68643075977021828</v>
      </c>
      <c r="AB38" s="7">
        <f t="shared" si="3"/>
        <v>2.5000000000000001E-2</v>
      </c>
      <c r="AC38" s="203">
        <f t="shared" si="2"/>
        <v>1.9236523964190637</v>
      </c>
    </row>
    <row r="39" spans="1:29" x14ac:dyDescent="0.25">
      <c r="A39" s="180">
        <v>2049</v>
      </c>
      <c r="B39" s="180">
        <f t="shared" si="17"/>
        <v>20</v>
      </c>
      <c r="C39" s="185">
        <f>'Energy Revenue'!E27</f>
        <v>38050590</v>
      </c>
      <c r="D39" s="185">
        <f>'Cap Revenue'!D28</f>
        <v>15029560.157142857</v>
      </c>
      <c r="E39" s="185">
        <f>'Energy Mkt Benefits'!H30</f>
        <v>86606383.457736969</v>
      </c>
      <c r="F39" s="204">
        <f>'Energy Revenue'!C27</f>
        <v>679953.4</v>
      </c>
      <c r="G39" s="205">
        <f t="shared" si="4"/>
        <v>19297939.117468927</v>
      </c>
      <c r="H39" s="185">
        <f t="shared" si="5"/>
        <v>7622471.4748149654</v>
      </c>
      <c r="I39" s="185">
        <f t="shared" si="6"/>
        <v>43923752.960245192</v>
      </c>
      <c r="J39" s="204">
        <f t="shared" si="13"/>
        <v>679953.4</v>
      </c>
      <c r="K39" s="185">
        <f t="shared" si="7"/>
        <v>64858641.063712686</v>
      </c>
      <c r="L39" s="185">
        <f t="shared" si="8"/>
        <v>43434857.706486449</v>
      </c>
      <c r="M39" s="205">
        <f>OSW_Backup!$B$15</f>
        <v>32894052.536092017</v>
      </c>
      <c r="N39" s="204">
        <f>OSW_Backup!$B$9*OSW_Backup!$B$7</f>
        <v>22028652.895939369</v>
      </c>
      <c r="O39" s="185">
        <f t="shared" si="14"/>
        <v>54922705.432031386</v>
      </c>
      <c r="P39" s="185">
        <f t="shared" si="9"/>
        <v>26920410.592283893</v>
      </c>
      <c r="Q39" s="204">
        <f t="shared" si="15"/>
        <v>-28002294.839747492</v>
      </c>
      <c r="R39" s="185">
        <f t="shared" si="10"/>
        <v>12986959.814121187</v>
      </c>
      <c r="S39" s="185">
        <f t="shared" si="10"/>
        <v>5129704.7899843659</v>
      </c>
      <c r="T39" s="185">
        <f t="shared" si="10"/>
        <v>29559426.584765177</v>
      </c>
      <c r="U39" s="185">
        <f t="shared" si="16"/>
        <v>679953.4</v>
      </c>
      <c r="V39" s="185">
        <f t="shared" si="11"/>
        <v>22136754.386540312</v>
      </c>
      <c r="W39" s="185">
        <f t="shared" si="11"/>
        <v>14824651.905954979</v>
      </c>
      <c r="X39" s="185">
        <f t="shared" si="11"/>
        <v>36961406.292495295</v>
      </c>
      <c r="Y39" s="185">
        <f t="shared" si="11"/>
        <v>18116664.604105555</v>
      </c>
      <c r="Z39" s="204">
        <f t="shared" si="11"/>
        <v>-18844741.688389737</v>
      </c>
      <c r="AA39" s="270">
        <f t="shared" si="12"/>
        <v>0.67297133310805712</v>
      </c>
      <c r="AB39" s="7">
        <f t="shared" si="3"/>
        <v>2.5000000000000001E-2</v>
      </c>
      <c r="AC39" s="203">
        <f t="shared" si="2"/>
        <v>1.9717437063295402</v>
      </c>
    </row>
    <row r="40" spans="1:29" ht="4.5" customHeight="1" x14ac:dyDescent="0.25">
      <c r="A40" s="211"/>
      <c r="B40" s="211"/>
      <c r="C40" s="209"/>
      <c r="D40" s="209"/>
      <c r="E40" s="209"/>
      <c r="F40" s="208"/>
      <c r="G40" s="210"/>
      <c r="H40" s="209"/>
      <c r="I40" s="209"/>
      <c r="J40" s="208"/>
      <c r="K40" s="209"/>
      <c r="L40" s="209"/>
      <c r="M40" s="210"/>
      <c r="N40" s="208"/>
      <c r="O40" s="209"/>
      <c r="P40" s="209"/>
      <c r="Q40" s="208"/>
      <c r="R40" s="209"/>
      <c r="S40" s="209"/>
      <c r="T40" s="209"/>
      <c r="U40" s="209"/>
      <c r="V40" s="209"/>
      <c r="W40" s="209"/>
      <c r="X40" s="209"/>
      <c r="Y40" s="209"/>
      <c r="Z40" s="208"/>
      <c r="AA40" s="538"/>
      <c r="AB40" s="207"/>
      <c r="AC40" s="206"/>
    </row>
    <row r="41" spans="1:29" ht="4.5" customHeight="1" x14ac:dyDescent="0.25">
      <c r="A41" s="180"/>
      <c r="B41" s="180"/>
      <c r="C41" s="185"/>
      <c r="D41" s="185"/>
      <c r="E41" s="185"/>
      <c r="F41" s="204"/>
      <c r="G41" s="205"/>
      <c r="H41" s="185"/>
      <c r="I41" s="185"/>
      <c r="J41" s="204"/>
      <c r="K41" s="185"/>
      <c r="L41" s="185"/>
      <c r="M41" s="205"/>
      <c r="N41" s="204"/>
      <c r="O41" s="185"/>
      <c r="P41" s="185"/>
      <c r="Q41" s="204"/>
      <c r="R41" s="185"/>
      <c r="S41" s="185"/>
      <c r="T41" s="185"/>
      <c r="U41" s="185"/>
      <c r="V41" s="185"/>
      <c r="W41" s="185"/>
      <c r="X41" s="185"/>
      <c r="Y41" s="185"/>
      <c r="Z41" s="204"/>
      <c r="AA41" s="270"/>
      <c r="AC41" s="203"/>
    </row>
    <row r="42" spans="1:29" s="189" customFormat="1" ht="30" x14ac:dyDescent="0.25">
      <c r="A42" s="198" t="s">
        <v>30</v>
      </c>
      <c r="C42" s="199">
        <f t="shared" ref="C42:Q42" si="18">SUM(C20:C39)</f>
        <v>558103700</v>
      </c>
      <c r="D42" s="199">
        <f t="shared" si="18"/>
        <v>173668988.98928574</v>
      </c>
      <c r="E42" s="199">
        <f t="shared" si="18"/>
        <v>301629349.16261959</v>
      </c>
      <c r="F42" s="191">
        <f t="shared" si="18"/>
        <v>13665744</v>
      </c>
      <c r="G42" s="200">
        <f t="shared" si="18"/>
        <v>352359950.56768531</v>
      </c>
      <c r="H42" s="199">
        <f t="shared" si="18"/>
        <v>104581523.36618562</v>
      </c>
      <c r="I42" s="199">
        <f t="shared" si="18"/>
        <v>177504642.4517839</v>
      </c>
      <c r="J42" s="191">
        <f t="shared" si="18"/>
        <v>13665744</v>
      </c>
      <c r="K42" s="199">
        <f t="shared" si="18"/>
        <v>1036369178.1979526</v>
      </c>
      <c r="L42" s="199">
        <f t="shared" si="18"/>
        <v>694040871.78140473</v>
      </c>
      <c r="M42" s="200">
        <f t="shared" si="18"/>
        <v>657881050.72184062</v>
      </c>
      <c r="N42" s="191">
        <f t="shared" si="18"/>
        <v>440573057.9187873</v>
      </c>
      <c r="O42" s="199">
        <f t="shared" si="18"/>
        <v>1098454108.6406276</v>
      </c>
      <c r="P42" s="199">
        <f t="shared" si="18"/>
        <v>456941473.93387079</v>
      </c>
      <c r="Q42" s="191">
        <f t="shared" si="18"/>
        <v>-641512634.70675671</v>
      </c>
      <c r="R42" s="199">
        <f t="shared" ref="R42:Z42" si="19">SUM(R20:R39)</f>
        <v>286902230.13393039</v>
      </c>
      <c r="S42" s="199">
        <f t="shared" si="19"/>
        <v>81635250.601908922</v>
      </c>
      <c r="T42" s="199">
        <f t="shared" si="19"/>
        <v>136763543.29752338</v>
      </c>
      <c r="U42" s="199">
        <f t="shared" si="19"/>
        <v>13665744</v>
      </c>
      <c r="V42" s="199">
        <f t="shared" si="19"/>
        <v>537864907.47758412</v>
      </c>
      <c r="W42" s="199">
        <f t="shared" si="19"/>
        <v>360200049.4992187</v>
      </c>
      <c r="X42" s="199">
        <f t="shared" si="19"/>
        <v>898064956.97680271</v>
      </c>
      <c r="Y42" s="199">
        <f t="shared" si="19"/>
        <v>368537480.73583925</v>
      </c>
      <c r="Z42" s="191">
        <f t="shared" si="19"/>
        <v>-529527476.2409634</v>
      </c>
      <c r="AA42" s="199"/>
      <c r="AB42" s="190"/>
      <c r="AC42" s="190"/>
    </row>
    <row r="43" spans="1:29" s="189" customFormat="1" ht="30" x14ac:dyDescent="0.25">
      <c r="A43" s="198" t="s">
        <v>31</v>
      </c>
      <c r="C43" s="192">
        <f>C42/$F$42</f>
        <v>40.839613269500731</v>
      </c>
      <c r="D43" s="192">
        <f t="shared" ref="D43:E43" si="20">D42/$F$42</f>
        <v>12.708344967481151</v>
      </c>
      <c r="E43" s="192">
        <f t="shared" si="20"/>
        <v>22.071930307096313</v>
      </c>
      <c r="F43" s="195"/>
      <c r="G43" s="197">
        <f>G42/$F$42</f>
        <v>25.784176153723156</v>
      </c>
      <c r="H43" s="192">
        <f t="shared" ref="H43" si="21">H42/$F$42</f>
        <v>7.6528232466659425</v>
      </c>
      <c r="I43" s="192">
        <f t="shared" ref="I43" si="22">I42/$F$42</f>
        <v>12.989021486995798</v>
      </c>
      <c r="J43" s="195"/>
      <c r="K43" s="192" t="s">
        <v>65</v>
      </c>
      <c r="L43" s="192">
        <f>SUM(K42:L42)/F42</f>
        <v>126.62391816935524</v>
      </c>
      <c r="M43" s="194" t="s">
        <v>83</v>
      </c>
      <c r="N43" s="193">
        <f>SUM(M42:N42)/F42</f>
        <v>80.380117514321057</v>
      </c>
      <c r="O43" s="192">
        <f t="shared" ref="O43:P43" si="23">O42/$F$42</f>
        <v>80.380117514321043</v>
      </c>
      <c r="P43" s="192">
        <f t="shared" si="23"/>
        <v>33.436999400389091</v>
      </c>
      <c r="Q43" s="191"/>
      <c r="R43" s="539">
        <f>R42/$U$42</f>
        <v>20.994263476173003</v>
      </c>
      <c r="S43" s="539">
        <f>S42/$U$42</f>
        <v>5.9737143182185264</v>
      </c>
      <c r="T43" s="539">
        <f>T42/$U$42</f>
        <v>10.007764180093186</v>
      </c>
      <c r="U43" s="539"/>
      <c r="V43" s="199"/>
      <c r="W43" s="199"/>
      <c r="X43" s="539">
        <f t="shared" ref="X43:Y43" si="24">X42/$F$42</f>
        <v>65.71650668831515</v>
      </c>
      <c r="Y43" s="539">
        <f t="shared" si="24"/>
        <v>26.967977794391526</v>
      </c>
      <c r="Z43" s="191"/>
      <c r="AA43" s="199"/>
      <c r="AB43" s="190"/>
      <c r="AC43" s="190"/>
    </row>
    <row r="44" spans="1:29" ht="9.75" customHeight="1" thickBot="1" x14ac:dyDescent="0.3">
      <c r="A44" s="169"/>
      <c r="B44" s="169"/>
      <c r="C44" s="169"/>
      <c r="D44" s="169"/>
      <c r="E44" s="169"/>
      <c r="F44" s="187"/>
      <c r="G44" s="188"/>
      <c r="H44" s="169"/>
      <c r="I44" s="169"/>
      <c r="J44" s="187"/>
      <c r="K44" s="169"/>
      <c r="L44" s="169"/>
      <c r="M44" s="188"/>
      <c r="N44" s="187"/>
      <c r="O44" s="169"/>
      <c r="P44" s="169"/>
      <c r="Q44" s="187"/>
      <c r="R44" s="169"/>
      <c r="S44" s="169"/>
      <c r="T44" s="169"/>
      <c r="U44" s="169"/>
      <c r="V44" s="169"/>
      <c r="W44" s="169"/>
      <c r="X44" s="169"/>
      <c r="Y44" s="169"/>
      <c r="Z44" s="187"/>
      <c r="AA44" s="169"/>
      <c r="AB44" s="186"/>
      <c r="AC44" s="186"/>
    </row>
    <row r="45" spans="1:29" ht="15.75" thickTop="1" x14ac:dyDescent="0.25"/>
  </sheetData>
  <mergeCells count="9">
    <mergeCell ref="R4:Z4"/>
    <mergeCell ref="R5:U5"/>
    <mergeCell ref="V5:W5"/>
    <mergeCell ref="X5:Z5"/>
    <mergeCell ref="C5:F5"/>
    <mergeCell ref="G5:J5"/>
    <mergeCell ref="M5:N5"/>
    <mergeCell ref="O5:Q5"/>
    <mergeCell ref="K5:L5"/>
  </mergeCells>
  <printOptions horizontalCentered="1" verticalCentered="1"/>
  <pageMargins left="0.2" right="0.2" top="0.75" bottom="0.75" header="0.3" footer="0.3"/>
  <pageSetup scale="75" orientation="landscape" r:id="rId1"/>
  <headerFoot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5BE55-2508-4C41-B661-34BD3CE6B9AC}">
  <sheetPr codeName="Sheet22"/>
  <dimension ref="A1:C19"/>
  <sheetViews>
    <sheetView workbookViewId="0"/>
  </sheetViews>
  <sheetFormatPr defaultRowHeight="15" x14ac:dyDescent="0.25"/>
  <cols>
    <col min="1" max="1" width="29.42578125" style="3" bestFit="1" customWidth="1"/>
    <col min="2" max="2" width="13.42578125" style="3" customWidth="1"/>
    <col min="3" max="3" width="12.85546875" style="3" customWidth="1"/>
    <col min="4" max="16384" width="9.140625" style="3"/>
  </cols>
  <sheetData>
    <row r="1" spans="1:3" x14ac:dyDescent="0.25">
      <c r="A1" s="31" t="s">
        <v>16</v>
      </c>
    </row>
    <row r="2" spans="1:3" x14ac:dyDescent="0.25">
      <c r="A2" s="3" t="s">
        <v>198</v>
      </c>
      <c r="B2" s="31" t="s">
        <v>69</v>
      </c>
    </row>
    <row r="3" spans="1:3" x14ac:dyDescent="0.25">
      <c r="B3" s="8"/>
    </row>
    <row r="4" spans="1:3" x14ac:dyDescent="0.25">
      <c r="B4" s="8"/>
    </row>
    <row r="6" spans="1:3" x14ac:dyDescent="0.25">
      <c r="A6" s="2" t="s">
        <v>32</v>
      </c>
      <c r="B6" s="7" t="s">
        <v>69</v>
      </c>
    </row>
    <row r="7" spans="1:3" x14ac:dyDescent="0.25">
      <c r="A7" s="4" t="s">
        <v>33</v>
      </c>
      <c r="B7" s="576">
        <v>200000</v>
      </c>
    </row>
    <row r="8" spans="1:3" x14ac:dyDescent="0.25">
      <c r="A8" s="3" t="s">
        <v>34</v>
      </c>
      <c r="B8" s="576">
        <v>0</v>
      </c>
    </row>
    <row r="9" spans="1:3" x14ac:dyDescent="0.25">
      <c r="A9" s="3" t="s">
        <v>22</v>
      </c>
      <c r="B9" s="8">
        <f>OSW_Input!C6</f>
        <v>110.14326447969684</v>
      </c>
      <c r="C9" s="557" t="s">
        <v>35</v>
      </c>
    </row>
    <row r="10" spans="1:3" x14ac:dyDescent="0.25">
      <c r="A10" s="3" t="s">
        <v>36</v>
      </c>
      <c r="B10" s="577">
        <v>1</v>
      </c>
    </row>
    <row r="11" spans="1:3" x14ac:dyDescent="0.25">
      <c r="B11" s="7"/>
    </row>
    <row r="12" spans="1:3" x14ac:dyDescent="0.25">
      <c r="B12" s="7"/>
      <c r="C12" s="578"/>
    </row>
    <row r="13" spans="1:3" x14ac:dyDescent="0.25">
      <c r="A13" s="4" t="s">
        <v>37</v>
      </c>
      <c r="B13" s="170">
        <f>OSW_Input!B6</f>
        <v>3107.9922886992372</v>
      </c>
      <c r="C13" s="557" t="s">
        <v>35</v>
      </c>
    </row>
    <row r="14" spans="1:3" x14ac:dyDescent="0.25">
      <c r="A14" s="4" t="s">
        <v>82</v>
      </c>
      <c r="B14" s="579">
        <f>CCR_OSW!RCCR</f>
        <v>5.291849123258105E-2</v>
      </c>
      <c r="C14" s="557"/>
    </row>
    <row r="15" spans="1:3" x14ac:dyDescent="0.25">
      <c r="A15" s="4" t="s">
        <v>38</v>
      </c>
      <c r="B15" s="580">
        <f>(B7/10^3)*(B13*B14*1000)</f>
        <v>32894052.536092017</v>
      </c>
      <c r="C15" s="557" t="s">
        <v>35</v>
      </c>
    </row>
    <row r="16" spans="1:3" x14ac:dyDescent="0.25">
      <c r="A16" s="3" t="s">
        <v>39</v>
      </c>
      <c r="B16" s="7">
        <v>20</v>
      </c>
    </row>
    <row r="18" spans="1:1" x14ac:dyDescent="0.25">
      <c r="A18" s="31" t="s">
        <v>70</v>
      </c>
    </row>
    <row r="19" spans="1:1" x14ac:dyDescent="0.25">
      <c r="A19" s="2" t="s">
        <v>71</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556A1-0F4F-4BE7-BC67-0F760D5A819C}">
  <sheetPr codeName="Sheet23"/>
  <dimension ref="A1:AC45"/>
  <sheetViews>
    <sheetView zoomScale="85" zoomScaleNormal="85" workbookViewId="0">
      <pane xSplit="1" ySplit="10" topLeftCell="I11" activePane="bottomRight" state="frozen"/>
      <selection pane="topRight"/>
      <selection pane="bottomLeft"/>
      <selection pane="bottomRight" activeCell="U25" sqref="U25"/>
    </sheetView>
  </sheetViews>
  <sheetFormatPr defaultRowHeight="15" outlineLevelRow="1" x14ac:dyDescent="0.25"/>
  <cols>
    <col min="1" max="1" width="13.5703125" style="3" customWidth="1"/>
    <col min="2" max="2" width="10.28515625" style="3" bestFit="1" customWidth="1"/>
    <col min="3" max="4" width="16.7109375" style="3" customWidth="1"/>
    <col min="5" max="5" width="21.28515625" style="3" bestFit="1" customWidth="1"/>
    <col min="6" max="27" width="16.42578125" style="3" customWidth="1"/>
    <col min="28" max="29" width="16.42578125" style="7" customWidth="1"/>
    <col min="30" max="16384" width="9.140625" style="3"/>
  </cols>
  <sheetData>
    <row r="1" spans="1:29" ht="18.75" x14ac:dyDescent="0.3">
      <c r="A1" s="233" t="s">
        <v>47</v>
      </c>
      <c r="C1" s="31"/>
    </row>
    <row r="2" spans="1:29" ht="19.5" thickBot="1" x14ac:dyDescent="0.35">
      <c r="A2" s="169"/>
      <c r="B2" s="169"/>
      <c r="C2" s="231"/>
      <c r="D2" s="169"/>
      <c r="E2" s="169"/>
      <c r="F2" s="169"/>
      <c r="G2" s="169"/>
      <c r="H2" s="169"/>
      <c r="I2" s="169"/>
      <c r="J2" s="169"/>
      <c r="K2" s="169"/>
      <c r="L2" s="169"/>
      <c r="M2" s="169"/>
      <c r="N2" s="169"/>
      <c r="O2" s="169"/>
      <c r="P2" s="169"/>
      <c r="Q2" s="169"/>
      <c r="R2" s="533"/>
      <c r="S2" s="533"/>
      <c r="T2" s="533"/>
      <c r="U2" s="533"/>
      <c r="V2" s="533"/>
      <c r="W2" s="533"/>
      <c r="X2" s="533"/>
      <c r="Y2" s="533"/>
      <c r="Z2" s="533"/>
      <c r="AA2" s="169"/>
      <c r="AB2" s="186"/>
      <c r="AC2" s="186"/>
    </row>
    <row r="3" spans="1:29" ht="9" customHeight="1" thickTop="1" x14ac:dyDescent="0.3">
      <c r="C3" s="230"/>
      <c r="D3" s="228"/>
      <c r="E3" s="228"/>
      <c r="F3" s="227"/>
      <c r="G3" s="229"/>
      <c r="H3" s="228"/>
      <c r="I3" s="228"/>
      <c r="J3" s="227"/>
      <c r="K3" s="228"/>
      <c r="L3" s="228"/>
      <c r="M3" s="229"/>
      <c r="N3" s="227"/>
      <c r="O3" s="228"/>
      <c r="P3" s="228"/>
      <c r="Q3" s="227"/>
      <c r="R3" s="534"/>
      <c r="S3" s="534"/>
      <c r="T3" s="534"/>
      <c r="U3" s="534"/>
      <c r="V3" s="534"/>
      <c r="W3" s="534"/>
      <c r="X3" s="534"/>
      <c r="Y3" s="534"/>
      <c r="Z3" s="535"/>
      <c r="AA3" s="180"/>
    </row>
    <row r="4" spans="1:29" ht="18.75" x14ac:dyDescent="0.3">
      <c r="C4" s="31"/>
      <c r="F4" s="201"/>
      <c r="G4" s="202"/>
      <c r="J4" s="201"/>
      <c r="M4" s="202"/>
      <c r="N4" s="201"/>
      <c r="Q4" s="201"/>
      <c r="R4" s="598" t="s">
        <v>523</v>
      </c>
      <c r="S4" s="599"/>
      <c r="T4" s="599"/>
      <c r="U4" s="599"/>
      <c r="V4" s="599"/>
      <c r="W4" s="599"/>
      <c r="X4" s="599"/>
      <c r="Y4" s="599"/>
      <c r="Z4" s="600"/>
      <c r="AA4" s="180"/>
    </row>
    <row r="5" spans="1:29" x14ac:dyDescent="0.25">
      <c r="C5" s="603" t="s">
        <v>17</v>
      </c>
      <c r="D5" s="604"/>
      <c r="E5" s="604"/>
      <c r="F5" s="605"/>
      <c r="G5" s="606" t="s">
        <v>18</v>
      </c>
      <c r="H5" s="601"/>
      <c r="I5" s="601"/>
      <c r="J5" s="602"/>
      <c r="K5" s="606" t="s">
        <v>64</v>
      </c>
      <c r="L5" s="601"/>
      <c r="M5" s="606" t="s">
        <v>19</v>
      </c>
      <c r="N5" s="602"/>
      <c r="O5" s="601" t="s">
        <v>20</v>
      </c>
      <c r="P5" s="601"/>
      <c r="Q5" s="602"/>
      <c r="R5" s="601" t="s">
        <v>524</v>
      </c>
      <c r="S5" s="601"/>
      <c r="T5" s="601"/>
      <c r="U5" s="601"/>
      <c r="V5" s="601" t="s">
        <v>525</v>
      </c>
      <c r="W5" s="601"/>
      <c r="X5" s="601" t="s">
        <v>526</v>
      </c>
      <c r="Y5" s="601"/>
      <c r="Z5" s="602"/>
      <c r="AA5" s="244" t="s">
        <v>527</v>
      </c>
      <c r="AB5" s="226"/>
      <c r="AC5" s="226"/>
    </row>
    <row r="6" spans="1:29" x14ac:dyDescent="0.25">
      <c r="B6" s="3" t="s">
        <v>42</v>
      </c>
      <c r="C6" s="219" t="s">
        <v>3</v>
      </c>
      <c r="D6" s="219" t="s">
        <v>4</v>
      </c>
      <c r="E6" s="222" t="s">
        <v>5</v>
      </c>
      <c r="F6" s="224" t="s">
        <v>6</v>
      </c>
      <c r="G6" s="221" t="s">
        <v>3</v>
      </c>
      <c r="H6" s="219" t="s">
        <v>4</v>
      </c>
      <c r="I6" s="222" t="s">
        <v>5</v>
      </c>
      <c r="J6" s="224" t="s">
        <v>6</v>
      </c>
      <c r="K6" s="223" t="s">
        <v>21</v>
      </c>
      <c r="L6" s="222" t="s">
        <v>22</v>
      </c>
      <c r="M6" s="223" t="s">
        <v>21</v>
      </c>
      <c r="N6" s="224" t="s">
        <v>22</v>
      </c>
      <c r="O6" s="222" t="s">
        <v>23</v>
      </c>
      <c r="P6" s="222" t="s">
        <v>24</v>
      </c>
      <c r="Q6" s="225" t="s">
        <v>25</v>
      </c>
      <c r="R6" s="219" t="s">
        <v>3</v>
      </c>
      <c r="S6" s="219" t="s">
        <v>4</v>
      </c>
      <c r="T6" s="222" t="s">
        <v>5</v>
      </c>
      <c r="U6" s="222" t="s">
        <v>6</v>
      </c>
      <c r="V6" s="222" t="s">
        <v>21</v>
      </c>
      <c r="W6" s="222" t="s">
        <v>22</v>
      </c>
      <c r="X6" s="222" t="s">
        <v>23</v>
      </c>
      <c r="Y6" s="222" t="s">
        <v>24</v>
      </c>
      <c r="Z6" s="225" t="s">
        <v>25</v>
      </c>
      <c r="AA6" s="222" t="s">
        <v>528</v>
      </c>
      <c r="AB6" s="7" t="s">
        <v>26</v>
      </c>
      <c r="AC6" s="182" t="s">
        <v>27</v>
      </c>
    </row>
    <row r="7" spans="1:29" x14ac:dyDescent="0.25">
      <c r="B7" s="3" t="s">
        <v>28</v>
      </c>
      <c r="C7" s="219" t="s">
        <v>29</v>
      </c>
      <c r="D7" s="219" t="s">
        <v>29</v>
      </c>
      <c r="E7" s="219" t="s">
        <v>29</v>
      </c>
      <c r="F7" s="224" t="s">
        <v>6</v>
      </c>
      <c r="G7" s="221" t="s">
        <v>29</v>
      </c>
      <c r="H7" s="219" t="s">
        <v>29</v>
      </c>
      <c r="I7" s="219" t="s">
        <v>29</v>
      </c>
      <c r="J7" s="224" t="s">
        <v>6</v>
      </c>
      <c r="K7" s="223" t="s">
        <v>29</v>
      </c>
      <c r="L7" s="222" t="s">
        <v>29</v>
      </c>
      <c r="M7" s="221" t="s">
        <v>29</v>
      </c>
      <c r="N7" s="220" t="s">
        <v>29</v>
      </c>
      <c r="O7" s="219" t="s">
        <v>29</v>
      </c>
      <c r="P7" s="219" t="s">
        <v>29</v>
      </c>
      <c r="Q7" s="220" t="s">
        <v>29</v>
      </c>
      <c r="R7" s="219" t="s">
        <v>29</v>
      </c>
      <c r="S7" s="219" t="s">
        <v>29</v>
      </c>
      <c r="T7" s="219" t="s">
        <v>29</v>
      </c>
      <c r="U7" s="222" t="s">
        <v>6</v>
      </c>
      <c r="V7" s="219" t="s">
        <v>29</v>
      </c>
      <c r="W7" s="219" t="s">
        <v>29</v>
      </c>
      <c r="X7" s="219" t="s">
        <v>29</v>
      </c>
      <c r="Y7" s="219" t="s">
        <v>29</v>
      </c>
      <c r="Z7" s="220" t="s">
        <v>29</v>
      </c>
      <c r="AA7" s="222"/>
      <c r="AC7" s="182"/>
    </row>
    <row r="8" spans="1:29" hidden="1" outlineLevel="1" x14ac:dyDescent="0.25">
      <c r="B8" s="3">
        <v>1</v>
      </c>
      <c r="C8" s="219">
        <f>1+B8</f>
        <v>2</v>
      </c>
      <c r="D8" s="219">
        <f t="shared" ref="D8:Z8" si="0">1+C8</f>
        <v>3</v>
      </c>
      <c r="E8" s="219">
        <f t="shared" si="0"/>
        <v>4</v>
      </c>
      <c r="F8" s="220">
        <f t="shared" si="0"/>
        <v>5</v>
      </c>
      <c r="G8" s="221">
        <f t="shared" si="0"/>
        <v>6</v>
      </c>
      <c r="H8" s="219">
        <f t="shared" si="0"/>
        <v>7</v>
      </c>
      <c r="I8" s="219">
        <f t="shared" si="0"/>
        <v>8</v>
      </c>
      <c r="J8" s="220">
        <f t="shared" si="0"/>
        <v>9</v>
      </c>
      <c r="K8" s="221">
        <f>1+J8</f>
        <v>10</v>
      </c>
      <c r="L8" s="219">
        <f>1+K8</f>
        <v>11</v>
      </c>
      <c r="M8" s="221">
        <f>L8+1</f>
        <v>12</v>
      </c>
      <c r="N8" s="220">
        <f t="shared" si="0"/>
        <v>13</v>
      </c>
      <c r="O8" s="219">
        <f t="shared" si="0"/>
        <v>14</v>
      </c>
      <c r="P8" s="219">
        <f t="shared" si="0"/>
        <v>15</v>
      </c>
      <c r="Q8" s="220">
        <f t="shared" si="0"/>
        <v>16</v>
      </c>
      <c r="R8" s="219">
        <f t="shared" si="0"/>
        <v>17</v>
      </c>
      <c r="S8" s="219">
        <f t="shared" si="0"/>
        <v>18</v>
      </c>
      <c r="T8" s="219">
        <f t="shared" si="0"/>
        <v>19</v>
      </c>
      <c r="U8" s="219">
        <f t="shared" si="0"/>
        <v>20</v>
      </c>
      <c r="V8" s="219">
        <f t="shared" si="0"/>
        <v>21</v>
      </c>
      <c r="W8" s="219">
        <f t="shared" si="0"/>
        <v>22</v>
      </c>
      <c r="X8" s="219">
        <f t="shared" si="0"/>
        <v>23</v>
      </c>
      <c r="Y8" s="219">
        <f t="shared" si="0"/>
        <v>24</v>
      </c>
      <c r="Z8" s="220">
        <f t="shared" si="0"/>
        <v>25</v>
      </c>
      <c r="AA8" s="222"/>
      <c r="AC8" s="182"/>
    </row>
    <row r="9" spans="1:29" collapsed="1" x14ac:dyDescent="0.25">
      <c r="B9" s="180" t="str">
        <f>"["&amp;B8&amp;"]"</f>
        <v>[1]</v>
      </c>
      <c r="C9" s="180" t="str">
        <f t="shared" ref="C9:Z9" si="1">"["&amp;C8&amp;"]"</f>
        <v>[2]</v>
      </c>
      <c r="D9" s="180" t="str">
        <f t="shared" si="1"/>
        <v>[3]</v>
      </c>
      <c r="E9" s="180" t="str">
        <f t="shared" si="1"/>
        <v>[4]</v>
      </c>
      <c r="F9" s="218" t="str">
        <f t="shared" si="1"/>
        <v>[5]</v>
      </c>
      <c r="G9" s="217" t="str">
        <f t="shared" si="1"/>
        <v>[6]</v>
      </c>
      <c r="H9" s="180" t="str">
        <f t="shared" si="1"/>
        <v>[7]</v>
      </c>
      <c r="I9" s="180" t="str">
        <f t="shared" si="1"/>
        <v>[8]</v>
      </c>
      <c r="J9" s="218" t="str">
        <f t="shared" si="1"/>
        <v>[9]</v>
      </c>
      <c r="K9" s="217" t="str">
        <f t="shared" si="1"/>
        <v>[10]</v>
      </c>
      <c r="L9" s="219" t="str">
        <f t="shared" si="1"/>
        <v>[11]</v>
      </c>
      <c r="M9" s="217" t="str">
        <f t="shared" si="1"/>
        <v>[12]</v>
      </c>
      <c r="N9" s="218" t="str">
        <f t="shared" si="1"/>
        <v>[13]</v>
      </c>
      <c r="O9" s="180" t="str">
        <f t="shared" si="1"/>
        <v>[14]</v>
      </c>
      <c r="P9" s="180" t="str">
        <f t="shared" si="1"/>
        <v>[15]</v>
      </c>
      <c r="Q9" s="218" t="str">
        <f t="shared" si="1"/>
        <v>[16]</v>
      </c>
      <c r="R9" s="180" t="str">
        <f t="shared" si="1"/>
        <v>[17]</v>
      </c>
      <c r="S9" s="180" t="str">
        <f t="shared" si="1"/>
        <v>[18]</v>
      </c>
      <c r="T9" s="180" t="str">
        <f t="shared" si="1"/>
        <v>[19]</v>
      </c>
      <c r="U9" s="180" t="str">
        <f t="shared" si="1"/>
        <v>[20]</v>
      </c>
      <c r="V9" s="180" t="str">
        <f t="shared" si="1"/>
        <v>[21]</v>
      </c>
      <c r="W9" s="180" t="str">
        <f t="shared" si="1"/>
        <v>[22]</v>
      </c>
      <c r="X9" s="180" t="str">
        <f t="shared" si="1"/>
        <v>[23]</v>
      </c>
      <c r="Y9" s="180" t="str">
        <f t="shared" si="1"/>
        <v>[24]</v>
      </c>
      <c r="Z9" s="218" t="str">
        <f t="shared" si="1"/>
        <v>[25]</v>
      </c>
      <c r="AA9" s="222"/>
      <c r="AC9" s="182"/>
    </row>
    <row r="10" spans="1:29" ht="4.5" customHeight="1" x14ac:dyDescent="0.25">
      <c r="A10" s="175"/>
      <c r="B10" s="211"/>
      <c r="C10" s="211"/>
      <c r="D10" s="211"/>
      <c r="E10" s="211"/>
      <c r="F10" s="215"/>
      <c r="G10" s="216"/>
      <c r="H10" s="211"/>
      <c r="I10" s="211"/>
      <c r="J10" s="215"/>
      <c r="K10" s="217"/>
      <c r="L10" s="180"/>
      <c r="M10" s="216"/>
      <c r="N10" s="215"/>
      <c r="O10" s="211"/>
      <c r="P10" s="211"/>
      <c r="Q10" s="215"/>
      <c r="R10" s="211"/>
      <c r="S10" s="211"/>
      <c r="T10" s="211"/>
      <c r="U10" s="211"/>
      <c r="V10" s="211"/>
      <c r="W10" s="211"/>
      <c r="X10" s="211"/>
      <c r="Y10" s="211"/>
      <c r="Z10" s="215"/>
      <c r="AA10" s="536"/>
      <c r="AB10" s="207"/>
      <c r="AC10" s="214"/>
    </row>
    <row r="11" spans="1:29" ht="4.5" customHeight="1" x14ac:dyDescent="0.25">
      <c r="C11" s="4"/>
      <c r="D11" s="4"/>
      <c r="E11" s="183"/>
      <c r="F11" s="212"/>
      <c r="G11" s="213"/>
      <c r="H11" s="183"/>
      <c r="I11" s="183"/>
      <c r="J11" s="212"/>
      <c r="K11" s="183"/>
      <c r="L11" s="183"/>
      <c r="M11" s="213"/>
      <c r="N11" s="212"/>
      <c r="O11" s="183"/>
      <c r="P11" s="183"/>
      <c r="Q11" s="212"/>
      <c r="R11" s="183"/>
      <c r="S11" s="183"/>
      <c r="T11" s="183"/>
      <c r="U11" s="183"/>
      <c r="V11" s="183"/>
      <c r="W11" s="183"/>
      <c r="X11" s="183"/>
      <c r="Y11" s="183"/>
      <c r="Z11" s="212"/>
      <c r="AA11" s="222"/>
      <c r="AB11" s="182"/>
      <c r="AC11" s="182"/>
    </row>
    <row r="12" spans="1:29" hidden="1" outlineLevel="1" x14ac:dyDescent="0.25">
      <c r="A12" s="180">
        <v>2022</v>
      </c>
      <c r="B12" s="180"/>
      <c r="C12" s="4"/>
      <c r="D12" s="4"/>
      <c r="E12" s="183"/>
      <c r="F12" s="212"/>
      <c r="G12" s="213"/>
      <c r="H12" s="183"/>
      <c r="I12" s="183"/>
      <c r="J12" s="212"/>
      <c r="K12" s="183"/>
      <c r="L12" s="183"/>
      <c r="M12" s="213"/>
      <c r="N12" s="212"/>
      <c r="O12" s="183"/>
      <c r="P12" s="183"/>
      <c r="Q12" s="212"/>
      <c r="R12" s="183"/>
      <c r="S12" s="183"/>
      <c r="T12" s="183"/>
      <c r="U12" s="183"/>
      <c r="V12" s="183"/>
      <c r="W12" s="183"/>
      <c r="X12" s="183"/>
      <c r="Y12" s="183"/>
      <c r="Z12" s="212"/>
      <c r="AA12" s="183"/>
      <c r="AB12" s="7">
        <v>0</v>
      </c>
      <c r="AC12" s="203">
        <v>1</v>
      </c>
    </row>
    <row r="13" spans="1:29" hidden="1" outlineLevel="1" x14ac:dyDescent="0.25">
      <c r="A13" s="180">
        <v>2023</v>
      </c>
      <c r="B13" s="180"/>
      <c r="C13" s="4"/>
      <c r="D13" s="4"/>
      <c r="E13" s="183"/>
      <c r="F13" s="212"/>
      <c r="G13" s="213"/>
      <c r="H13" s="183"/>
      <c r="I13" s="183"/>
      <c r="J13" s="212"/>
      <c r="K13" s="183"/>
      <c r="L13" s="183"/>
      <c r="M13" s="213"/>
      <c r="N13" s="212"/>
      <c r="O13" s="183"/>
      <c r="P13" s="183"/>
      <c r="Q13" s="212"/>
      <c r="R13" s="183"/>
      <c r="S13" s="183"/>
      <c r="T13" s="183"/>
      <c r="U13" s="183"/>
      <c r="V13" s="183"/>
      <c r="W13" s="183"/>
      <c r="X13" s="183"/>
      <c r="Y13" s="183"/>
      <c r="Z13" s="212"/>
      <c r="AA13" s="183"/>
      <c r="AB13" s="7">
        <v>3.7600000000000001E-2</v>
      </c>
      <c r="AC13" s="203">
        <f>AC12*(1+AB13)</f>
        <v>1.0376000000000001</v>
      </c>
    </row>
    <row r="14" spans="1:29" hidden="1" outlineLevel="1" x14ac:dyDescent="0.25">
      <c r="A14" s="180">
        <v>2024</v>
      </c>
      <c r="B14" s="180"/>
      <c r="C14" s="4"/>
      <c r="D14" s="4"/>
      <c r="E14" s="183"/>
      <c r="F14" s="212"/>
      <c r="G14" s="213"/>
      <c r="H14" s="183"/>
      <c r="I14" s="183"/>
      <c r="J14" s="212"/>
      <c r="K14" s="183"/>
      <c r="L14" s="183"/>
      <c r="M14" s="213"/>
      <c r="N14" s="212"/>
      <c r="O14" s="183"/>
      <c r="P14" s="183"/>
      <c r="Q14" s="212"/>
      <c r="R14" s="183"/>
      <c r="S14" s="183"/>
      <c r="T14" s="183"/>
      <c r="U14" s="183"/>
      <c r="V14" s="183"/>
      <c r="W14" s="183"/>
      <c r="X14" s="183"/>
      <c r="Y14" s="183"/>
      <c r="Z14" s="212"/>
      <c r="AA14" s="183"/>
      <c r="AB14" s="7">
        <v>2.5000000000000001E-2</v>
      </c>
      <c r="AC14" s="203">
        <f t="shared" ref="AC14:AC39" si="2">AC13*(1+AB14)</f>
        <v>1.0635399999999999</v>
      </c>
    </row>
    <row r="15" spans="1:29" hidden="1" outlineLevel="1" x14ac:dyDescent="0.25">
      <c r="A15" s="180">
        <v>2025</v>
      </c>
      <c r="B15" s="180"/>
      <c r="C15" s="4"/>
      <c r="D15" s="4"/>
      <c r="E15" s="183"/>
      <c r="F15" s="212"/>
      <c r="G15" s="213"/>
      <c r="H15" s="183"/>
      <c r="I15" s="183"/>
      <c r="J15" s="212"/>
      <c r="K15" s="183"/>
      <c r="L15" s="183"/>
      <c r="M15" s="213"/>
      <c r="N15" s="212"/>
      <c r="O15" s="183"/>
      <c r="P15" s="183"/>
      <c r="Q15" s="212"/>
      <c r="R15" s="183"/>
      <c r="S15" s="183"/>
      <c r="T15" s="183"/>
      <c r="U15" s="183"/>
      <c r="V15" s="183"/>
      <c r="W15" s="183"/>
      <c r="X15" s="183"/>
      <c r="Y15" s="183"/>
      <c r="Z15" s="212"/>
      <c r="AA15" s="183"/>
      <c r="AB15" s="7">
        <f>$AB$14</f>
        <v>2.5000000000000001E-2</v>
      </c>
      <c r="AC15" s="203">
        <f t="shared" si="2"/>
        <v>1.0901284999999998</v>
      </c>
    </row>
    <row r="16" spans="1:29" hidden="1" outlineLevel="1" x14ac:dyDescent="0.25">
      <c r="A16" s="180">
        <v>2026</v>
      </c>
      <c r="B16" s="180"/>
      <c r="C16" s="4"/>
      <c r="D16" s="4"/>
      <c r="E16" s="183"/>
      <c r="F16" s="212"/>
      <c r="G16" s="213"/>
      <c r="H16" s="183"/>
      <c r="I16" s="183"/>
      <c r="J16" s="212"/>
      <c r="K16" s="183"/>
      <c r="L16" s="183"/>
      <c r="M16" s="213"/>
      <c r="N16" s="212"/>
      <c r="O16" s="183"/>
      <c r="P16" s="183"/>
      <c r="Q16" s="212"/>
      <c r="R16" s="183"/>
      <c r="S16" s="183"/>
      <c r="T16" s="183"/>
      <c r="U16" s="183"/>
      <c r="V16" s="183"/>
      <c r="W16" s="183"/>
      <c r="X16" s="183"/>
      <c r="Y16" s="183"/>
      <c r="Z16" s="212"/>
      <c r="AA16" s="183"/>
      <c r="AB16" s="7">
        <f t="shared" ref="AB16:AB39" si="3">$AB$14</f>
        <v>2.5000000000000001E-2</v>
      </c>
      <c r="AC16" s="203">
        <f t="shared" si="2"/>
        <v>1.1173817124999996</v>
      </c>
    </row>
    <row r="17" spans="1:29" hidden="1" outlineLevel="1" x14ac:dyDescent="0.25">
      <c r="A17" s="180">
        <v>2027</v>
      </c>
      <c r="B17" s="180"/>
      <c r="C17" s="4"/>
      <c r="D17" s="4"/>
      <c r="E17" s="183"/>
      <c r="F17" s="212"/>
      <c r="G17" s="213"/>
      <c r="H17" s="183"/>
      <c r="I17" s="183"/>
      <c r="J17" s="212"/>
      <c r="K17" s="183"/>
      <c r="L17" s="183"/>
      <c r="M17" s="213"/>
      <c r="N17" s="212"/>
      <c r="O17" s="183"/>
      <c r="P17" s="183"/>
      <c r="Q17" s="212"/>
      <c r="R17" s="183"/>
      <c r="S17" s="183"/>
      <c r="T17" s="183"/>
      <c r="U17" s="183"/>
      <c r="V17" s="183"/>
      <c r="W17" s="183"/>
      <c r="X17" s="183"/>
      <c r="Y17" s="183"/>
      <c r="Z17" s="212"/>
      <c r="AA17" s="183"/>
      <c r="AB17" s="7">
        <f t="shared" si="3"/>
        <v>2.5000000000000001E-2</v>
      </c>
      <c r="AC17" s="203">
        <f t="shared" si="2"/>
        <v>1.1453162553124996</v>
      </c>
    </row>
    <row r="18" spans="1:29" hidden="1" outlineLevel="1" x14ac:dyDescent="0.25">
      <c r="A18" s="180">
        <v>2028</v>
      </c>
      <c r="B18" s="180"/>
      <c r="C18" s="4"/>
      <c r="D18" s="4"/>
      <c r="E18" s="183"/>
      <c r="F18" s="212"/>
      <c r="G18" s="213"/>
      <c r="H18" s="183"/>
      <c r="I18" s="183"/>
      <c r="J18" s="212"/>
      <c r="K18" s="183"/>
      <c r="L18" s="183"/>
      <c r="M18" s="213"/>
      <c r="N18" s="212"/>
      <c r="O18" s="183"/>
      <c r="P18" s="183"/>
      <c r="Q18" s="212"/>
      <c r="R18" s="183"/>
      <c r="S18" s="183"/>
      <c r="T18" s="183"/>
      <c r="U18" s="183"/>
      <c r="V18" s="183"/>
      <c r="W18" s="183"/>
      <c r="X18" s="183"/>
      <c r="Y18" s="183"/>
      <c r="Z18" s="212"/>
      <c r="AA18" s="183"/>
      <c r="AB18" s="7">
        <f t="shared" si="3"/>
        <v>2.5000000000000001E-2</v>
      </c>
      <c r="AC18" s="203">
        <f t="shared" si="2"/>
        <v>1.1739491616953119</v>
      </c>
    </row>
    <row r="19" spans="1:29" hidden="1" outlineLevel="1" x14ac:dyDescent="0.25">
      <c r="A19" s="180">
        <v>2029</v>
      </c>
      <c r="B19" s="180"/>
      <c r="C19" s="4"/>
      <c r="D19" s="4"/>
      <c r="E19" s="183"/>
      <c r="F19" s="212"/>
      <c r="G19" s="213"/>
      <c r="H19" s="183"/>
      <c r="I19" s="183"/>
      <c r="J19" s="212"/>
      <c r="K19" s="183"/>
      <c r="L19" s="183"/>
      <c r="M19" s="202"/>
      <c r="N19" s="212"/>
      <c r="O19" s="183"/>
      <c r="P19" s="183"/>
      <c r="Q19" s="212"/>
      <c r="R19" s="183"/>
      <c r="S19" s="183"/>
      <c r="T19" s="183"/>
      <c r="U19" s="183"/>
      <c r="V19" s="183"/>
      <c r="W19" s="183"/>
      <c r="X19" s="183"/>
      <c r="Y19" s="183"/>
      <c r="Z19" s="212"/>
      <c r="AA19" s="183"/>
      <c r="AB19" s="7">
        <f t="shared" si="3"/>
        <v>2.5000000000000001E-2</v>
      </c>
      <c r="AC19" s="203">
        <f t="shared" si="2"/>
        <v>1.2032978907376946</v>
      </c>
    </row>
    <row r="20" spans="1:29" collapsed="1" x14ac:dyDescent="0.25">
      <c r="A20" s="180">
        <v>2030</v>
      </c>
      <c r="B20" s="180">
        <v>1</v>
      </c>
      <c r="C20" s="185">
        <f>'Energy Revenue'!K8</f>
        <v>42137503.000000007</v>
      </c>
      <c r="D20" s="185">
        <f>'Cap Revenue'!E9</f>
        <v>52095227.980000004</v>
      </c>
      <c r="E20" s="185">
        <f>'Energy Mkt Benefits'!M11</f>
        <v>24546634.962204933</v>
      </c>
      <c r="F20" s="204">
        <f>'Energy Revenue'!I8</f>
        <v>2193330.79</v>
      </c>
      <c r="G20" s="205">
        <f t="shared" ref="G20:G39" si="4">C20/$AC20</f>
        <v>34164240.908946894</v>
      </c>
      <c r="H20" s="185">
        <f t="shared" ref="H20:H39" si="5">D20/$AC20</f>
        <v>42237764.276521817</v>
      </c>
      <c r="I20" s="185">
        <f t="shared" ref="I20:I39" si="6">E20/$AC20</f>
        <v>19901918.49651717</v>
      </c>
      <c r="J20" s="204">
        <f>F20</f>
        <v>2193330.79</v>
      </c>
      <c r="K20" s="185">
        <f t="shared" ref="K20:K39" si="7">M20*$AC20</f>
        <v>228965304.57915446</v>
      </c>
      <c r="L20" s="185">
        <f t="shared" ref="L20:L39" si="8">N20*$AC20</f>
        <v>76536442.666320428</v>
      </c>
      <c r="M20" s="205">
        <f>VLOOKUP(Storage_Backup!$A$5,Storage_Backup!$A$3:$W$5,MATCH($A20,Storage_Backup!$A$3:$W$3,0),0)</f>
        <v>185640469.14295405</v>
      </c>
      <c r="N20" s="204">
        <f>VLOOKUP(Storage_Backup!$A$4,Storage_Backup!$A$3:$W$5,MATCH($A20,Storage_Backup!$A$3:$W$3,0),0)</f>
        <v>62054210.131197676</v>
      </c>
      <c r="O20" s="185">
        <f>SUM(M20:N20)</f>
        <v>247694679.27415174</v>
      </c>
      <c r="P20" s="185">
        <f>SUM(G20:H20)</f>
        <v>76402005.185468704</v>
      </c>
      <c r="Q20" s="204">
        <f>P20-O20</f>
        <v>-171292674.08868304</v>
      </c>
      <c r="R20" s="185">
        <f t="shared" ref="R20:T39" si="9">G20*$AA20</f>
        <v>33494353.832300875</v>
      </c>
      <c r="S20" s="185">
        <f t="shared" si="9"/>
        <v>41409572.820119426</v>
      </c>
      <c r="T20" s="185">
        <f t="shared" si="9"/>
        <v>19511684.800507028</v>
      </c>
      <c r="U20" s="185">
        <f>F20</f>
        <v>2193330.79</v>
      </c>
      <c r="V20" s="185">
        <f t="shared" ref="V20:Z39" si="10">M20*$AA20</f>
        <v>182000459.9440726</v>
      </c>
      <c r="W20" s="185">
        <f t="shared" si="10"/>
        <v>60837460.912938893</v>
      </c>
      <c r="X20" s="185">
        <f t="shared" si="10"/>
        <v>242837920.8570115</v>
      </c>
      <c r="Y20" s="185">
        <f t="shared" si="10"/>
        <v>74903926.652420297</v>
      </c>
      <c r="Z20" s="204">
        <f>Y20-X20</f>
        <v>-167933994.20459121</v>
      </c>
      <c r="AA20" s="270">
        <f t="shared" ref="AA20:AA39" si="11">(1/(1+discount_rate))^(B20-0)</f>
        <v>0.98039215686274506</v>
      </c>
      <c r="AB20" s="7">
        <f t="shared" si="3"/>
        <v>2.5000000000000001E-2</v>
      </c>
      <c r="AC20" s="203">
        <f t="shared" si="2"/>
        <v>1.2333803380061368</v>
      </c>
    </row>
    <row r="21" spans="1:29" x14ac:dyDescent="0.25">
      <c r="A21" s="180">
        <v>2031</v>
      </c>
      <c r="B21" s="180">
        <f>1+B20</f>
        <v>2</v>
      </c>
      <c r="C21" s="185">
        <f>'Energy Revenue'!K9</f>
        <v>73497642.999999985</v>
      </c>
      <c r="D21" s="185">
        <f>'Cap Revenue'!E10</f>
        <v>160990221.91513842</v>
      </c>
      <c r="E21" s="185">
        <f>'Energy Mkt Benefits'!M12</f>
        <v>10548723.199223518</v>
      </c>
      <c r="F21" s="204">
        <f>'Energy Revenue'!I9</f>
        <v>4189431.16</v>
      </c>
      <c r="G21" s="205">
        <f t="shared" si="4"/>
        <v>58136987.716937989</v>
      </c>
      <c r="H21" s="185">
        <f t="shared" si="5"/>
        <v>127344036.78805763</v>
      </c>
      <c r="I21" s="185">
        <f t="shared" si="6"/>
        <v>8344090.5861788876</v>
      </c>
      <c r="J21" s="204">
        <f t="shared" ref="J21:J39" si="12">F21</f>
        <v>4189431.16</v>
      </c>
      <c r="K21" s="185">
        <f t="shared" si="7"/>
        <v>460618176.88164401</v>
      </c>
      <c r="L21" s="185">
        <f t="shared" si="8"/>
        <v>153971261.06405121</v>
      </c>
      <c r="M21" s="205">
        <f>VLOOKUP(Storage_Backup!$A$5,Storage_Backup!$A$3:$W$5,MATCH($A21,Storage_Backup!$A$3:$W$3,0),0)</f>
        <v>364351184.5892325</v>
      </c>
      <c r="N21" s="204">
        <f>VLOOKUP(Storage_Backup!$A$4,Storage_Backup!$A$3:$W$5,MATCH($A21,Storage_Backup!$A$3:$W$3,0),0)</f>
        <v>121792005.12922843</v>
      </c>
      <c r="O21" s="185">
        <f t="shared" ref="O21:O39" si="13">SUM(M21:N21)</f>
        <v>486143189.71846092</v>
      </c>
      <c r="P21" s="185">
        <f t="shared" ref="P21:P39" si="14">SUM(G21:H21)</f>
        <v>185481024.50499561</v>
      </c>
      <c r="Q21" s="204">
        <f t="shared" ref="Q21:Q39" si="15">P21-O21</f>
        <v>-300662165.21346533</v>
      </c>
      <c r="R21" s="185">
        <f t="shared" si="9"/>
        <v>55879457.62873701</v>
      </c>
      <c r="S21" s="185">
        <f t="shared" si="9"/>
        <v>122399112.63750252</v>
      </c>
      <c r="T21" s="185">
        <f t="shared" si="9"/>
        <v>8020079.3792569079</v>
      </c>
      <c r="U21" s="185">
        <f t="shared" ref="U21:U39" si="16">F21</f>
        <v>4189431.16</v>
      </c>
      <c r="V21" s="185">
        <f t="shared" si="10"/>
        <v>350202984.03424883</v>
      </c>
      <c r="W21" s="185">
        <f t="shared" si="10"/>
        <v>117062673.13459094</v>
      </c>
      <c r="X21" s="185">
        <f t="shared" si="10"/>
        <v>467265657.16883975</v>
      </c>
      <c r="Y21" s="185">
        <f t="shared" si="10"/>
        <v>178278570.26623952</v>
      </c>
      <c r="Z21" s="204">
        <f t="shared" si="10"/>
        <v>-288987086.90260029</v>
      </c>
      <c r="AA21" s="270">
        <f t="shared" si="11"/>
        <v>0.96116878123798533</v>
      </c>
      <c r="AB21" s="7">
        <f t="shared" si="3"/>
        <v>2.5000000000000001E-2</v>
      </c>
      <c r="AC21" s="203">
        <f t="shared" si="2"/>
        <v>1.2642148464562901</v>
      </c>
    </row>
    <row r="22" spans="1:29" x14ac:dyDescent="0.25">
      <c r="A22" s="180">
        <v>2032</v>
      </c>
      <c r="B22" s="180">
        <f t="shared" ref="B22:B39" si="17">1+B21</f>
        <v>3</v>
      </c>
      <c r="C22" s="185">
        <f>'Energy Revenue'!K10</f>
        <v>90544483</v>
      </c>
      <c r="D22" s="185">
        <f>'Cap Revenue'!E11</f>
        <v>267024494.71679771</v>
      </c>
      <c r="E22" s="185">
        <f>'Energy Mkt Benefits'!M13</f>
        <v>67597404.415584564</v>
      </c>
      <c r="F22" s="204">
        <f>'Energy Revenue'!I10</f>
        <v>5506401.9500000002</v>
      </c>
      <c r="G22" s="205">
        <f t="shared" si="4"/>
        <v>69874263.241903767</v>
      </c>
      <c r="H22" s="185">
        <f t="shared" si="5"/>
        <v>206066004.43980518</v>
      </c>
      <c r="I22" s="185">
        <f t="shared" si="6"/>
        <v>52165727.541941829</v>
      </c>
      <c r="J22" s="204">
        <f t="shared" si="12"/>
        <v>5506401.9500000002</v>
      </c>
      <c r="K22" s="185">
        <f t="shared" si="7"/>
        <v>625453944.83448815</v>
      </c>
      <c r="L22" s="185">
        <f t="shared" si="8"/>
        <v>209071064.61931148</v>
      </c>
      <c r="M22" s="205">
        <f>VLOOKUP(Storage_Backup!$A$5,Storage_Backup!$A$3:$W$5,MATCH($A22,Storage_Backup!$A$3:$W$3,0),0)</f>
        <v>482670308.99113071</v>
      </c>
      <c r="N22" s="204">
        <f>VLOOKUP(Storage_Backup!$A$4,Storage_Backup!$A$3:$W$5,MATCH($A22,Storage_Backup!$A$3:$W$3,0),0)</f>
        <v>161342647.51917401</v>
      </c>
      <c r="O22" s="185">
        <f t="shared" si="13"/>
        <v>644012956.51030469</v>
      </c>
      <c r="P22" s="185">
        <f t="shared" si="14"/>
        <v>275940267.68170893</v>
      </c>
      <c r="Q22" s="204">
        <f t="shared" si="15"/>
        <v>-368072688.82859576</v>
      </c>
      <c r="R22" s="185">
        <f t="shared" si="9"/>
        <v>65844078.862865485</v>
      </c>
      <c r="S22" s="185">
        <f t="shared" si="9"/>
        <v>194180598.37449884</v>
      </c>
      <c r="T22" s="185">
        <f t="shared" si="9"/>
        <v>49156930.160667673</v>
      </c>
      <c r="U22" s="185">
        <f t="shared" si="16"/>
        <v>5506401.9500000002</v>
      </c>
      <c r="V22" s="185">
        <f t="shared" si="10"/>
        <v>454831012.38506556</v>
      </c>
      <c r="W22" s="185">
        <f t="shared" si="10"/>
        <v>152036780.27226895</v>
      </c>
      <c r="X22" s="185">
        <f t="shared" si="10"/>
        <v>606867792.65733445</v>
      </c>
      <c r="Y22" s="185">
        <f t="shared" si="10"/>
        <v>260024677.23736429</v>
      </c>
      <c r="Z22" s="204">
        <f t="shared" si="10"/>
        <v>-346843115.41997015</v>
      </c>
      <c r="AA22" s="270">
        <f t="shared" si="11"/>
        <v>0.94232233454704439</v>
      </c>
      <c r="AB22" s="7">
        <f t="shared" si="3"/>
        <v>2.5000000000000001E-2</v>
      </c>
      <c r="AC22" s="203">
        <f t="shared" si="2"/>
        <v>1.2958202176176972</v>
      </c>
    </row>
    <row r="23" spans="1:29" x14ac:dyDescent="0.25">
      <c r="A23" s="180">
        <v>2033</v>
      </c>
      <c r="B23" s="180">
        <f t="shared" si="17"/>
        <v>4</v>
      </c>
      <c r="C23" s="185">
        <f>'Energy Revenue'!K11</f>
        <v>112298171.00000006</v>
      </c>
      <c r="D23" s="185">
        <f>'Cap Revenue'!E12</f>
        <v>442709797.56815159</v>
      </c>
      <c r="E23" s="185">
        <f>'Energy Mkt Benefits'!M14</f>
        <v>31554659.421841621</v>
      </c>
      <c r="F23" s="204">
        <f>'Energy Revenue'!I11</f>
        <v>6565953.7199999997</v>
      </c>
      <c r="G23" s="205">
        <f t="shared" si="4"/>
        <v>84548141.57856831</v>
      </c>
      <c r="H23" s="185">
        <f t="shared" si="5"/>
        <v>333311667.58727866</v>
      </c>
      <c r="I23" s="185">
        <f t="shared" si="6"/>
        <v>23757179.556035411</v>
      </c>
      <c r="J23" s="204">
        <f t="shared" si="12"/>
        <v>6565953.7199999997</v>
      </c>
      <c r="K23" s="185">
        <f t="shared" si="7"/>
        <v>797152681.43701947</v>
      </c>
      <c r="L23" s="185">
        <f t="shared" si="8"/>
        <v>266464959.0087398</v>
      </c>
      <c r="M23" s="205">
        <f>VLOOKUP(Storage_Backup!$A$5,Storage_Backup!$A$3:$W$5,MATCH($A23,Storage_Backup!$A$3:$W$3,0),0)</f>
        <v>600168080.83074164</v>
      </c>
      <c r="N23" s="204">
        <f>VLOOKUP(Storage_Backup!$A$4,Storage_Backup!$A$3:$W$5,MATCH($A23,Storage_Backup!$A$3:$W$3,0),0)</f>
        <v>200618735.63371146</v>
      </c>
      <c r="O23" s="185">
        <f t="shared" si="13"/>
        <v>800786816.4644531</v>
      </c>
      <c r="P23" s="185">
        <f t="shared" si="14"/>
        <v>417859809.16584694</v>
      </c>
      <c r="Q23" s="204">
        <f t="shared" si="15"/>
        <v>-382927007.29860616</v>
      </c>
      <c r="R23" s="185">
        <f t="shared" si="9"/>
        <v>78109413.876402467</v>
      </c>
      <c r="S23" s="185">
        <f t="shared" si="9"/>
        <v>307928459.54177731</v>
      </c>
      <c r="T23" s="185">
        <f t="shared" si="9"/>
        <v>21947961.668133926</v>
      </c>
      <c r="U23" s="185">
        <f t="shared" si="16"/>
        <v>6565953.7199999997</v>
      </c>
      <c r="V23" s="185">
        <f t="shared" si="10"/>
        <v>554462536.3225919</v>
      </c>
      <c r="W23" s="185">
        <f t="shared" si="10"/>
        <v>185340701.29042676</v>
      </c>
      <c r="X23" s="185">
        <f t="shared" si="10"/>
        <v>739803237.61301863</v>
      </c>
      <c r="Y23" s="185">
        <f t="shared" si="10"/>
        <v>386037873.41817975</v>
      </c>
      <c r="Z23" s="204">
        <f t="shared" si="10"/>
        <v>-353765364.19483888</v>
      </c>
      <c r="AA23" s="270">
        <f t="shared" si="11"/>
        <v>0.92384542602651409</v>
      </c>
      <c r="AB23" s="7">
        <f t="shared" si="3"/>
        <v>2.5000000000000001E-2</v>
      </c>
      <c r="AC23" s="203">
        <f t="shared" si="2"/>
        <v>1.3282157230581395</v>
      </c>
    </row>
    <row r="24" spans="1:29" x14ac:dyDescent="0.25">
      <c r="A24" s="180">
        <v>2034</v>
      </c>
      <c r="B24" s="180">
        <f t="shared" si="17"/>
        <v>5</v>
      </c>
      <c r="C24" s="185">
        <f>'Energy Revenue'!K12</f>
        <v>125368416.99999996</v>
      </c>
      <c r="D24" s="185">
        <f>'Cap Revenue'!E13</f>
        <v>566658373.07147098</v>
      </c>
      <c r="E24" s="185">
        <f>'Energy Mkt Benefits'!M15</f>
        <v>45240476.905651093</v>
      </c>
      <c r="F24" s="204">
        <f>'Energy Revenue'!I12</f>
        <v>7921317.6099999994</v>
      </c>
      <c r="G24" s="205">
        <f t="shared" si="4"/>
        <v>92086434.912917703</v>
      </c>
      <c r="H24" s="185">
        <f t="shared" si="5"/>
        <v>416225638.30973369</v>
      </c>
      <c r="I24" s="185">
        <f t="shared" si="6"/>
        <v>33230332.899565902</v>
      </c>
      <c r="J24" s="204">
        <f t="shared" si="12"/>
        <v>7921317.6099999994</v>
      </c>
      <c r="K24" s="185">
        <f t="shared" si="7"/>
        <v>1015638674.6718464</v>
      </c>
      <c r="L24" s="185">
        <f t="shared" si="8"/>
        <v>339498472.64674371</v>
      </c>
      <c r="M24" s="205">
        <f>VLOOKUP(Storage_Backup!$A$5,Storage_Backup!$A$3:$W$5,MATCH($A24,Storage_Backup!$A$3:$W$3,0),0)</f>
        <v>746013604.92739582</v>
      </c>
      <c r="N24" s="204">
        <f>VLOOKUP(Storage_Backup!$A$4,Storage_Backup!$A$3:$W$5,MATCH($A24,Storage_Backup!$A$3:$W$3,0),0)</f>
        <v>249370652.93262294</v>
      </c>
      <c r="O24" s="185">
        <f t="shared" si="13"/>
        <v>995384257.86001873</v>
      </c>
      <c r="P24" s="185">
        <f t="shared" si="14"/>
        <v>508312073.22265136</v>
      </c>
      <c r="Q24" s="204">
        <f t="shared" si="15"/>
        <v>-487072184.63736737</v>
      </c>
      <c r="R24" s="185">
        <f t="shared" si="9"/>
        <v>83405521.268026769</v>
      </c>
      <c r="S24" s="185">
        <f t="shared" si="9"/>
        <v>376988384.45824867</v>
      </c>
      <c r="T24" s="185">
        <f t="shared" si="9"/>
        <v>30097736.328041516</v>
      </c>
      <c r="U24" s="185">
        <f t="shared" si="16"/>
        <v>7921317.6099999994</v>
      </c>
      <c r="V24" s="185">
        <f t="shared" si="10"/>
        <v>675687506.535025</v>
      </c>
      <c r="W24" s="185">
        <f t="shared" si="10"/>
        <v>225862683.42847943</v>
      </c>
      <c r="X24" s="185">
        <f t="shared" si="10"/>
        <v>901550189.96350443</v>
      </c>
      <c r="Y24" s="185">
        <f t="shared" si="10"/>
        <v>460393905.72627544</v>
      </c>
      <c r="Z24" s="204">
        <f t="shared" si="10"/>
        <v>-441156284.23722899</v>
      </c>
      <c r="AA24" s="270">
        <f t="shared" si="11"/>
        <v>0.90573080982991572</v>
      </c>
      <c r="AB24" s="7">
        <f t="shared" si="3"/>
        <v>2.5000000000000001E-2</v>
      </c>
      <c r="AC24" s="203">
        <f t="shared" si="2"/>
        <v>1.3614211161345928</v>
      </c>
    </row>
    <row r="25" spans="1:29" x14ac:dyDescent="0.25">
      <c r="A25" s="180">
        <v>2035</v>
      </c>
      <c r="B25" s="180">
        <f t="shared" si="17"/>
        <v>6</v>
      </c>
      <c r="C25" s="185">
        <f>'Energy Revenue'!K13</f>
        <v>133896460.99999996</v>
      </c>
      <c r="D25" s="185">
        <f>'Cap Revenue'!E14</f>
        <v>803540216.89022255</v>
      </c>
      <c r="E25" s="185">
        <f>'Energy Mkt Benefits'!M16</f>
        <v>43707996.896813393</v>
      </c>
      <c r="F25" s="204">
        <f>'Energy Revenue'!I13</f>
        <v>9118024.3300000001</v>
      </c>
      <c r="G25" s="205">
        <f t="shared" si="4"/>
        <v>95951717.003941447</v>
      </c>
      <c r="H25" s="185">
        <f t="shared" si="5"/>
        <v>575825999.55600321</v>
      </c>
      <c r="I25" s="185">
        <f t="shared" si="6"/>
        <v>31321644.483584903</v>
      </c>
      <c r="J25" s="204">
        <f t="shared" si="12"/>
        <v>9118024.3300000001</v>
      </c>
      <c r="K25" s="185">
        <f t="shared" si="7"/>
        <v>1243118044.7798393</v>
      </c>
      <c r="L25" s="185">
        <f t="shared" si="8"/>
        <v>415538210.63255811</v>
      </c>
      <c r="M25" s="205">
        <f>VLOOKUP(Storage_Backup!$A$5,Storage_Backup!$A$3:$W$5,MATCH($A25,Storage_Backup!$A$3:$W$3,0),0)</f>
        <v>890832438.3211906</v>
      </c>
      <c r="N25" s="204">
        <f>VLOOKUP(Storage_Backup!$A$4,Storage_Backup!$A$3:$W$5,MATCH($A25,Storage_Backup!$A$3:$W$3,0),0)</f>
        <v>297779377.38727421</v>
      </c>
      <c r="O25" s="185">
        <f t="shared" si="13"/>
        <v>1188611815.7084649</v>
      </c>
      <c r="P25" s="185">
        <f t="shared" si="14"/>
        <v>671777716.55994463</v>
      </c>
      <c r="Q25" s="204">
        <f t="shared" si="15"/>
        <v>-516834099.14852023</v>
      </c>
      <c r="R25" s="185">
        <f t="shared" si="9"/>
        <v>85202378.771128222</v>
      </c>
      <c r="S25" s="185">
        <f t="shared" si="9"/>
        <v>511317008.72448969</v>
      </c>
      <c r="T25" s="185">
        <f t="shared" si="9"/>
        <v>27812723.944433399</v>
      </c>
      <c r="U25" s="185">
        <f t="shared" si="16"/>
        <v>9118024.3300000001</v>
      </c>
      <c r="V25" s="185">
        <f t="shared" si="10"/>
        <v>791033711.55236316</v>
      </c>
      <c r="W25" s="185">
        <f t="shared" si="10"/>
        <v>264419565.32512152</v>
      </c>
      <c r="X25" s="185">
        <f t="shared" si="10"/>
        <v>1055453276.8774847</v>
      </c>
      <c r="Y25" s="185">
        <f t="shared" si="10"/>
        <v>596519387.49561787</v>
      </c>
      <c r="Z25" s="204">
        <f t="shared" si="10"/>
        <v>-458933889.38186681</v>
      </c>
      <c r="AA25" s="270">
        <f t="shared" si="11"/>
        <v>0.88797138218619187</v>
      </c>
      <c r="AB25" s="7">
        <f t="shared" si="3"/>
        <v>2.5000000000000001E-2</v>
      </c>
      <c r="AC25" s="203">
        <f t="shared" si="2"/>
        <v>1.3954566440379574</v>
      </c>
    </row>
    <row r="26" spans="1:29" x14ac:dyDescent="0.25">
      <c r="A26" s="180">
        <v>2036</v>
      </c>
      <c r="B26" s="180">
        <f t="shared" si="17"/>
        <v>7</v>
      </c>
      <c r="C26" s="185">
        <f>'Energy Revenue'!K14</f>
        <v>144992908.99999994</v>
      </c>
      <c r="D26" s="185">
        <f>'Cap Revenue'!E15</f>
        <v>946919741.22694242</v>
      </c>
      <c r="E26" s="185">
        <f>'Energy Mkt Benefits'!M17</f>
        <v>42584228.21631813</v>
      </c>
      <c r="F26" s="204">
        <f>'Energy Revenue'!I14</f>
        <v>9261580.4900000002</v>
      </c>
      <c r="G26" s="205">
        <f t="shared" si="4"/>
        <v>101369323.93402119</v>
      </c>
      <c r="H26" s="185">
        <f t="shared" si="5"/>
        <v>662022816.49479485</v>
      </c>
      <c r="I26" s="185">
        <f t="shared" si="6"/>
        <v>29772038.193538416</v>
      </c>
      <c r="J26" s="204">
        <f t="shared" si="12"/>
        <v>9261580.4900000002</v>
      </c>
      <c r="K26" s="185">
        <f t="shared" si="7"/>
        <v>1274195995.8993351</v>
      </c>
      <c r="L26" s="185">
        <f t="shared" si="8"/>
        <v>425926665.89837199</v>
      </c>
      <c r="M26" s="205">
        <f>VLOOKUP(Storage_Backup!$A$5,Storage_Backup!$A$3:$W$5,MATCH($A26,Storage_Backup!$A$3:$W$3,0),0)</f>
        <v>890832438.3211906</v>
      </c>
      <c r="N26" s="204">
        <f>VLOOKUP(Storage_Backup!$A$4,Storage_Backup!$A$3:$W$5,MATCH($A26,Storage_Backup!$A$3:$W$3,0),0)</f>
        <v>297779377.38727421</v>
      </c>
      <c r="O26" s="185">
        <f t="shared" si="13"/>
        <v>1188611815.7084649</v>
      </c>
      <c r="P26" s="185">
        <f>SUM(G26:H26)</f>
        <v>763392140.42881608</v>
      </c>
      <c r="Q26" s="204">
        <f t="shared" si="15"/>
        <v>-425219675.27964878</v>
      </c>
      <c r="R26" s="185">
        <f t="shared" si="9"/>
        <v>88248096.749973148</v>
      </c>
      <c r="S26" s="185">
        <f t="shared" si="9"/>
        <v>576330701.37419474</v>
      </c>
      <c r="T26" s="185">
        <f t="shared" si="9"/>
        <v>25918350.88746706</v>
      </c>
      <c r="U26" s="185">
        <f t="shared" si="16"/>
        <v>9261580.4900000002</v>
      </c>
      <c r="V26" s="185">
        <f t="shared" si="10"/>
        <v>775523246.61996377</v>
      </c>
      <c r="W26" s="185">
        <f t="shared" si="10"/>
        <v>259234867.96580541</v>
      </c>
      <c r="X26" s="185">
        <f t="shared" si="10"/>
        <v>1034758114.5857693</v>
      </c>
      <c r="Y26" s="185">
        <f t="shared" si="10"/>
        <v>664578798.12416792</v>
      </c>
      <c r="Z26" s="204">
        <f t="shared" si="10"/>
        <v>-370179316.46160138</v>
      </c>
      <c r="AA26" s="270">
        <f t="shared" si="11"/>
        <v>0.87056017861391355</v>
      </c>
      <c r="AB26" s="7">
        <f t="shared" si="3"/>
        <v>2.5000000000000001E-2</v>
      </c>
      <c r="AC26" s="203">
        <f t="shared" si="2"/>
        <v>1.4303430601389062</v>
      </c>
    </row>
    <row r="27" spans="1:29" x14ac:dyDescent="0.25">
      <c r="A27" s="180">
        <v>2037</v>
      </c>
      <c r="B27" s="180">
        <f t="shared" si="17"/>
        <v>8</v>
      </c>
      <c r="C27" s="185">
        <f>'Energy Revenue'!K15</f>
        <v>157677900.00000003</v>
      </c>
      <c r="D27" s="185">
        <f>'Cap Revenue'!E16</f>
        <v>1250236233.6520042</v>
      </c>
      <c r="E27" s="185">
        <f>'Energy Mkt Benefits'!M18</f>
        <v>7892935.1410245895</v>
      </c>
      <c r="F27" s="204">
        <f>'Energy Revenue'!I15</f>
        <v>9285420.3499999996</v>
      </c>
      <c r="G27" s="205">
        <f t="shared" si="4"/>
        <v>107549092.13600576</v>
      </c>
      <c r="H27" s="185">
        <f t="shared" si="5"/>
        <v>852762320.43179297</v>
      </c>
      <c r="I27" s="185">
        <f t="shared" si="6"/>
        <v>5383620.714796246</v>
      </c>
      <c r="J27" s="204">
        <f t="shared" si="12"/>
        <v>9285420.3499999996</v>
      </c>
      <c r="K27" s="185">
        <f t="shared" si="7"/>
        <v>1306050895.7968185</v>
      </c>
      <c r="L27" s="185">
        <f t="shared" si="8"/>
        <v>436574832.54583126</v>
      </c>
      <c r="M27" s="205">
        <f>VLOOKUP(Storage_Backup!$A$5,Storage_Backup!$A$3:$W$5,MATCH($A27,Storage_Backup!$A$3:$W$3,0),0)</f>
        <v>890832438.3211906</v>
      </c>
      <c r="N27" s="204">
        <f>VLOOKUP(Storage_Backup!$A$4,Storage_Backup!$A$3:$W$5,MATCH($A27,Storage_Backup!$A$3:$W$3,0),0)</f>
        <v>297779377.38727421</v>
      </c>
      <c r="O27" s="185">
        <f>SUM(M27:N27)</f>
        <v>1188611815.7084649</v>
      </c>
      <c r="P27" s="185">
        <f>SUM(G27:H27)</f>
        <v>960311412.56779873</v>
      </c>
      <c r="Q27" s="204">
        <f t="shared" si="15"/>
        <v>-228300403.14066613</v>
      </c>
      <c r="R27" s="185">
        <f t="shared" si="9"/>
        <v>91792114.568319038</v>
      </c>
      <c r="S27" s="185">
        <f t="shared" si="9"/>
        <v>727824429.40227163</v>
      </c>
      <c r="T27" s="185">
        <f t="shared" si="9"/>
        <v>4594868.4422182199</v>
      </c>
      <c r="U27" s="185">
        <f t="shared" si="16"/>
        <v>9285420.3499999996</v>
      </c>
      <c r="V27" s="185">
        <f t="shared" si="10"/>
        <v>760316908.4509449</v>
      </c>
      <c r="W27" s="185">
        <f t="shared" si="10"/>
        <v>254151831.3390249</v>
      </c>
      <c r="X27" s="185">
        <f t="shared" si="10"/>
        <v>1014468739.7899698</v>
      </c>
      <c r="Y27" s="185">
        <f t="shared" si="10"/>
        <v>819616543.97059059</v>
      </c>
      <c r="Z27" s="204">
        <f t="shared" si="10"/>
        <v>-194852195.81937918</v>
      </c>
      <c r="AA27" s="270">
        <f t="shared" si="11"/>
        <v>0.85349037119011129</v>
      </c>
      <c r="AB27" s="7">
        <f t="shared" si="3"/>
        <v>2.5000000000000001E-2</v>
      </c>
      <c r="AC27" s="203">
        <f t="shared" si="2"/>
        <v>1.4661016366423787</v>
      </c>
    </row>
    <row r="28" spans="1:29" x14ac:dyDescent="0.25">
      <c r="A28" s="180">
        <v>2038</v>
      </c>
      <c r="B28" s="180">
        <f t="shared" si="17"/>
        <v>9</v>
      </c>
      <c r="C28" s="185">
        <f>'Energy Revenue'!K16</f>
        <v>168186852.00000006</v>
      </c>
      <c r="D28" s="185">
        <f>'Cap Revenue'!E17</f>
        <v>1291616101.2245097</v>
      </c>
      <c r="E28" s="185">
        <f>'Energy Mkt Benefits'!M19</f>
        <v>6667894.7704896927</v>
      </c>
      <c r="F28" s="204">
        <f>'Energy Revenue'!I16</f>
        <v>9223821.5</v>
      </c>
      <c r="G28" s="205">
        <f t="shared" si="4"/>
        <v>111919071.33690847</v>
      </c>
      <c r="H28" s="185">
        <f t="shared" si="5"/>
        <v>859499258.43695235</v>
      </c>
      <c r="I28" s="185">
        <f t="shared" si="6"/>
        <v>4437116.1099170502</v>
      </c>
      <c r="J28" s="204">
        <f t="shared" si="12"/>
        <v>9223821.5</v>
      </c>
      <c r="K28" s="185">
        <f t="shared" si="7"/>
        <v>1338702168.1917388</v>
      </c>
      <c r="L28" s="185">
        <f t="shared" si="8"/>
        <v>447489203.35947698</v>
      </c>
      <c r="M28" s="205">
        <f>VLOOKUP(Storage_Backup!$A$5,Storage_Backup!$A$3:$W$5,MATCH($A28,Storage_Backup!$A$3:$W$3,0),0)</f>
        <v>890832438.3211906</v>
      </c>
      <c r="N28" s="204">
        <f>VLOOKUP(Storage_Backup!$A$4,Storage_Backup!$A$3:$W$5,MATCH($A28,Storage_Backup!$A$3:$W$3,0),0)</f>
        <v>297779377.38727421</v>
      </c>
      <c r="O28" s="185">
        <f t="shared" si="13"/>
        <v>1188611815.7084649</v>
      </c>
      <c r="P28" s="185">
        <f t="shared" si="14"/>
        <v>971418329.77386081</v>
      </c>
      <c r="Q28" s="204">
        <f t="shared" si="15"/>
        <v>-217193485.93460405</v>
      </c>
      <c r="R28" s="185">
        <f t="shared" si="9"/>
        <v>93648872.292735845</v>
      </c>
      <c r="S28" s="185">
        <f t="shared" si="9"/>
        <v>719190530.5107646</v>
      </c>
      <c r="T28" s="185">
        <f t="shared" si="9"/>
        <v>3712780.2702614958</v>
      </c>
      <c r="U28" s="185">
        <f t="shared" si="16"/>
        <v>9223821.5</v>
      </c>
      <c r="V28" s="185">
        <f t="shared" si="10"/>
        <v>745408733.77543616</v>
      </c>
      <c r="W28" s="185">
        <f t="shared" si="10"/>
        <v>249168462.09708324</v>
      </c>
      <c r="X28" s="185">
        <f t="shared" si="10"/>
        <v>994577195.87251949</v>
      </c>
      <c r="Y28" s="185">
        <f t="shared" si="10"/>
        <v>812839402.80350041</v>
      </c>
      <c r="Z28" s="204">
        <f t="shared" si="10"/>
        <v>-181737793.06901905</v>
      </c>
      <c r="AA28" s="270">
        <f t="shared" si="11"/>
        <v>0.83675526587265814</v>
      </c>
      <c r="AB28" s="7">
        <f t="shared" si="3"/>
        <v>2.5000000000000001E-2</v>
      </c>
      <c r="AC28" s="203">
        <f t="shared" si="2"/>
        <v>1.5027541775584381</v>
      </c>
    </row>
    <row r="29" spans="1:29" x14ac:dyDescent="0.25">
      <c r="A29" s="180">
        <v>2039</v>
      </c>
      <c r="B29" s="180">
        <f t="shared" si="17"/>
        <v>10</v>
      </c>
      <c r="C29" s="185">
        <f>'Energy Revenue'!K17</f>
        <v>168171206.00000006</v>
      </c>
      <c r="D29" s="185">
        <f>'Cap Revenue'!E18</f>
        <v>1176674772.3891404</v>
      </c>
      <c r="E29" s="185">
        <f>'Energy Mkt Benefits'!M20</f>
        <v>16331731.446725845</v>
      </c>
      <c r="F29" s="204">
        <f>'Energy Revenue'!I17</f>
        <v>9146809.8200000003</v>
      </c>
      <c r="G29" s="205">
        <f t="shared" si="4"/>
        <v>109179180.2800778</v>
      </c>
      <c r="H29" s="185">
        <f t="shared" si="5"/>
        <v>763914288.07196295</v>
      </c>
      <c r="I29" s="185">
        <f t="shared" si="6"/>
        <v>10602796.366388051</v>
      </c>
      <c r="J29" s="204">
        <f t="shared" si="12"/>
        <v>9146809.8200000003</v>
      </c>
      <c r="K29" s="185">
        <f t="shared" si="7"/>
        <v>1372169722.3965321</v>
      </c>
      <c r="L29" s="185">
        <f t="shared" si="8"/>
        <v>458676433.44346386</v>
      </c>
      <c r="M29" s="205">
        <f>VLOOKUP(Storage_Backup!$A$5,Storage_Backup!$A$3:$W$5,MATCH($A29,Storage_Backup!$A$3:$W$3,0),0)</f>
        <v>890832438.3211906</v>
      </c>
      <c r="N29" s="204">
        <f>VLOOKUP(Storage_Backup!$A$4,Storage_Backup!$A$3:$W$5,MATCH($A29,Storage_Backup!$A$3:$W$3,0),0)</f>
        <v>297779377.38727421</v>
      </c>
      <c r="O29" s="185">
        <f t="shared" si="13"/>
        <v>1188611815.7084649</v>
      </c>
      <c r="P29" s="185">
        <f t="shared" si="14"/>
        <v>873093468.35204077</v>
      </c>
      <c r="Q29" s="204">
        <f t="shared" si="15"/>
        <v>-315518347.35642409</v>
      </c>
      <c r="R29" s="185">
        <f t="shared" si="9"/>
        <v>89564954.924524873</v>
      </c>
      <c r="S29" s="185">
        <f t="shared" si="9"/>
        <v>626675787.47017419</v>
      </c>
      <c r="T29" s="185">
        <f t="shared" si="9"/>
        <v>8697985.9730889089</v>
      </c>
      <c r="U29" s="185">
        <f t="shared" si="16"/>
        <v>9146809.8200000003</v>
      </c>
      <c r="V29" s="185">
        <f t="shared" si="10"/>
        <v>730792876.2504276</v>
      </c>
      <c r="W29" s="185">
        <f t="shared" si="10"/>
        <v>244282805.97753257</v>
      </c>
      <c r="X29" s="185">
        <f t="shared" si="10"/>
        <v>975075682.22796023</v>
      </c>
      <c r="Y29" s="185">
        <f t="shared" si="10"/>
        <v>716240742.3946991</v>
      </c>
      <c r="Z29" s="204">
        <f t="shared" si="10"/>
        <v>-258834939.8332611</v>
      </c>
      <c r="AA29" s="270">
        <f t="shared" si="11"/>
        <v>0.82034829987515501</v>
      </c>
      <c r="AB29" s="7">
        <f t="shared" si="3"/>
        <v>2.5000000000000001E-2</v>
      </c>
      <c r="AC29" s="203">
        <f t="shared" si="2"/>
        <v>1.5403230319973988</v>
      </c>
    </row>
    <row r="30" spans="1:29" x14ac:dyDescent="0.25">
      <c r="A30" s="180">
        <v>2040</v>
      </c>
      <c r="B30" s="180">
        <f t="shared" si="17"/>
        <v>11</v>
      </c>
      <c r="C30" s="185">
        <f>'Energy Revenue'!K18</f>
        <v>180935126</v>
      </c>
      <c r="D30" s="185">
        <f>'Cap Revenue'!E19</f>
        <v>1087334550.0531993</v>
      </c>
      <c r="E30" s="185">
        <f>'Energy Mkt Benefits'!M21</f>
        <v>3623598.6239128113</v>
      </c>
      <c r="F30" s="204">
        <f>'Energy Revenue'!I18</f>
        <v>9213638.8200000003</v>
      </c>
      <c r="G30" s="205">
        <f t="shared" si="4"/>
        <v>114600684.71315281</v>
      </c>
      <c r="H30" s="185">
        <f t="shared" si="5"/>
        <v>688695924.90495491</v>
      </c>
      <c r="I30" s="185">
        <f t="shared" si="6"/>
        <v>2295114.7884134254</v>
      </c>
      <c r="J30" s="204">
        <f t="shared" si="12"/>
        <v>9213638.8200000003</v>
      </c>
      <c r="K30" s="185">
        <f t="shared" si="7"/>
        <v>1406473965.4564452</v>
      </c>
      <c r="L30" s="185">
        <f t="shared" si="8"/>
        <v>470143344.27955043</v>
      </c>
      <c r="M30" s="205">
        <f>VLOOKUP(Storage_Backup!$A$5,Storage_Backup!$A$3:$W$5,MATCH($A30,Storage_Backup!$A$3:$W$3,0),0)</f>
        <v>890832438.3211906</v>
      </c>
      <c r="N30" s="204">
        <f>VLOOKUP(Storage_Backup!$A$4,Storage_Backup!$A$3:$W$5,MATCH($A30,Storage_Backup!$A$3:$W$3,0),0)</f>
        <v>297779377.38727421</v>
      </c>
      <c r="O30" s="185">
        <f t="shared" si="13"/>
        <v>1188611815.7084649</v>
      </c>
      <c r="P30" s="185">
        <f t="shared" si="14"/>
        <v>803296609.61810768</v>
      </c>
      <c r="Q30" s="204">
        <f t="shared" si="15"/>
        <v>-385315206.09035718</v>
      </c>
      <c r="R30" s="185">
        <f>G30*$AA30</f>
        <v>92169094.969572112</v>
      </c>
      <c r="S30" s="185">
        <f t="shared" si="9"/>
        <v>553892677.57522261</v>
      </c>
      <c r="T30" s="185">
        <f t="shared" si="9"/>
        <v>1845875.9947973327</v>
      </c>
      <c r="U30" s="185">
        <f t="shared" si="16"/>
        <v>9213638.8200000003</v>
      </c>
      <c r="V30" s="185">
        <f t="shared" si="10"/>
        <v>716463604.16708577</v>
      </c>
      <c r="W30" s="185">
        <f t="shared" si="10"/>
        <v>239492947.0367966</v>
      </c>
      <c r="X30" s="185">
        <f t="shared" si="10"/>
        <v>955956551.20388246</v>
      </c>
      <c r="Y30" s="185">
        <f t="shared" si="10"/>
        <v>646061772.54479468</v>
      </c>
      <c r="Z30" s="204">
        <f t="shared" si="10"/>
        <v>-309894778.65908772</v>
      </c>
      <c r="AA30" s="270">
        <f t="shared" si="11"/>
        <v>0.80426303909328911</v>
      </c>
      <c r="AB30" s="7">
        <f t="shared" si="3"/>
        <v>2.5000000000000001E-2</v>
      </c>
      <c r="AC30" s="203">
        <f t="shared" si="2"/>
        <v>1.5788311077973336</v>
      </c>
    </row>
    <row r="31" spans="1:29" x14ac:dyDescent="0.25">
      <c r="A31" s="180">
        <v>2041</v>
      </c>
      <c r="B31" s="180">
        <f t="shared" si="17"/>
        <v>12</v>
      </c>
      <c r="C31" s="185">
        <f>'Energy Revenue'!K19</f>
        <v>202595181.99999997</v>
      </c>
      <c r="D31" s="185">
        <f>'Cap Revenue'!E20</f>
        <v>1390162510.6911807</v>
      </c>
      <c r="E31" s="185">
        <f>'Energy Mkt Benefits'!M22</f>
        <v>26433485.780210495</v>
      </c>
      <c r="F31" s="204">
        <f>'Energy Revenue'!I19</f>
        <v>9101845.4499999993</v>
      </c>
      <c r="G31" s="205">
        <f t="shared" si="4"/>
        <v>125189980.8164489</v>
      </c>
      <c r="H31" s="185">
        <f t="shared" si="5"/>
        <v>859025453.25670862</v>
      </c>
      <c r="I31" s="185">
        <f t="shared" si="6"/>
        <v>16334088.229879165</v>
      </c>
      <c r="J31" s="204">
        <f t="shared" si="12"/>
        <v>9101845.4499999993</v>
      </c>
      <c r="K31" s="185">
        <f t="shared" si="7"/>
        <v>1441635814.5928562</v>
      </c>
      <c r="L31" s="185">
        <f t="shared" si="8"/>
        <v>481896927.88653916</v>
      </c>
      <c r="M31" s="205">
        <f>VLOOKUP(Storage_Backup!$A$5,Storage_Backup!$A$3:$W$5,MATCH($A31,Storage_Backup!$A$3:$W$3,0),0)</f>
        <v>890832438.3211906</v>
      </c>
      <c r="N31" s="204">
        <f>VLOOKUP(Storage_Backup!$A$4,Storage_Backup!$A$3:$W$5,MATCH($A31,Storage_Backup!$A$3:$W$3,0),0)</f>
        <v>297779377.38727421</v>
      </c>
      <c r="O31" s="185">
        <f t="shared" si="13"/>
        <v>1188611815.7084649</v>
      </c>
      <c r="P31" s="185">
        <f t="shared" si="14"/>
        <v>984215434.07315755</v>
      </c>
      <c r="Q31" s="204">
        <f t="shared" si="15"/>
        <v>-204396381.63530731</v>
      </c>
      <c r="R31" s="185">
        <f t="shared" si="9"/>
        <v>98711445.524968386</v>
      </c>
      <c r="S31" s="185">
        <f t="shared" si="9"/>
        <v>677335707.54385352</v>
      </c>
      <c r="T31" s="185">
        <f t="shared" si="9"/>
        <v>12879317.098608373</v>
      </c>
      <c r="U31" s="185">
        <f t="shared" si="16"/>
        <v>9101845.4499999993</v>
      </c>
      <c r="V31" s="185">
        <f t="shared" si="10"/>
        <v>702415298.20302522</v>
      </c>
      <c r="W31" s="185">
        <f t="shared" si="10"/>
        <v>234797006.89882019</v>
      </c>
      <c r="X31" s="185">
        <f t="shared" si="10"/>
        <v>937212305.1018455</v>
      </c>
      <c r="Y31" s="185">
        <f t="shared" si="10"/>
        <v>776047153.06882203</v>
      </c>
      <c r="Z31" s="204">
        <f t="shared" si="10"/>
        <v>-161165152.03302354</v>
      </c>
      <c r="AA31" s="270">
        <f t="shared" si="11"/>
        <v>0.78849317558165599</v>
      </c>
      <c r="AB31" s="7">
        <f t="shared" si="3"/>
        <v>2.5000000000000001E-2</v>
      </c>
      <c r="AC31" s="203">
        <f t="shared" si="2"/>
        <v>1.6183018854922668</v>
      </c>
    </row>
    <row r="32" spans="1:29" x14ac:dyDescent="0.25">
      <c r="A32" s="180">
        <v>2042</v>
      </c>
      <c r="B32" s="180">
        <f t="shared" si="17"/>
        <v>13</v>
      </c>
      <c r="C32" s="185">
        <f>'Energy Revenue'!K20</f>
        <v>211600298.00000006</v>
      </c>
      <c r="D32" s="185">
        <f>'Cap Revenue'!E21</f>
        <v>1455436471.3663623</v>
      </c>
      <c r="E32" s="185">
        <f>'Energy Mkt Benefits'!M23</f>
        <v>-21371641.144152641</v>
      </c>
      <c r="F32" s="204">
        <f>'Energy Revenue'!I20</f>
        <v>9334170.4299999997</v>
      </c>
      <c r="G32" s="205">
        <f t="shared" si="4"/>
        <v>127565392.44787142</v>
      </c>
      <c r="H32" s="185">
        <f t="shared" si="5"/>
        <v>877424684.21663153</v>
      </c>
      <c r="I32" s="185">
        <f t="shared" si="6"/>
        <v>-12884111.296520513</v>
      </c>
      <c r="J32" s="204">
        <f t="shared" si="12"/>
        <v>9334170.4299999997</v>
      </c>
      <c r="K32" s="185">
        <f t="shared" si="7"/>
        <v>1477676709.9576776</v>
      </c>
      <c r="L32" s="185">
        <f t="shared" si="8"/>
        <v>493944351.08370256</v>
      </c>
      <c r="M32" s="205">
        <f>VLOOKUP(Storage_Backup!$A$5,Storage_Backup!$A$3:$W$5,MATCH($A32,Storage_Backup!$A$3:$W$3,0),0)</f>
        <v>890832438.3211906</v>
      </c>
      <c r="N32" s="204">
        <f>VLOOKUP(Storage_Backup!$A$4,Storage_Backup!$A$3:$W$5,MATCH($A32,Storage_Backup!$A$3:$W$3,0),0)</f>
        <v>297779377.38727421</v>
      </c>
      <c r="O32" s="185">
        <f t="shared" si="13"/>
        <v>1188611815.7084649</v>
      </c>
      <c r="P32" s="185">
        <f t="shared" si="14"/>
        <v>1004990076.664503</v>
      </c>
      <c r="Q32" s="204">
        <f t="shared" si="15"/>
        <v>-183621739.04396188</v>
      </c>
      <c r="R32" s="185">
        <f t="shared" si="9"/>
        <v>98612197.436806202</v>
      </c>
      <c r="S32" s="185">
        <f t="shared" si="9"/>
        <v>678277819.20755243</v>
      </c>
      <c r="T32" s="185">
        <f t="shared" si="9"/>
        <v>-9959837.0889617112</v>
      </c>
      <c r="U32" s="185">
        <f t="shared" si="16"/>
        <v>9334170.4299999997</v>
      </c>
      <c r="V32" s="185">
        <f t="shared" si="10"/>
        <v>688642449.21865213</v>
      </c>
      <c r="W32" s="185">
        <f t="shared" si="10"/>
        <v>230193144.01845115</v>
      </c>
      <c r="X32" s="185">
        <f t="shared" si="10"/>
        <v>918835593.23710334</v>
      </c>
      <c r="Y32" s="185">
        <f t="shared" si="10"/>
        <v>776890016.64435863</v>
      </c>
      <c r="Z32" s="204">
        <f t="shared" si="10"/>
        <v>-141945576.59274474</v>
      </c>
      <c r="AA32" s="270">
        <f t="shared" si="11"/>
        <v>0.77303252508005482</v>
      </c>
      <c r="AB32" s="7">
        <f t="shared" si="3"/>
        <v>2.5000000000000001E-2</v>
      </c>
      <c r="AC32" s="203">
        <f t="shared" si="2"/>
        <v>1.6587594326295734</v>
      </c>
    </row>
    <row r="33" spans="1:29" x14ac:dyDescent="0.25">
      <c r="A33" s="180">
        <v>2043</v>
      </c>
      <c r="B33" s="180">
        <f t="shared" si="17"/>
        <v>14</v>
      </c>
      <c r="C33" s="185">
        <f>'Energy Revenue'!K21</f>
        <v>174109782.99999994</v>
      </c>
      <c r="D33" s="185">
        <f>'Cap Revenue'!E22</f>
        <v>1506279961.8614585</v>
      </c>
      <c r="E33" s="185">
        <f>'Energy Mkt Benefits'!M24</f>
        <v>-14231968.544230461</v>
      </c>
      <c r="F33" s="204">
        <f>'Energy Revenue'!I21</f>
        <v>8995039.5500000007</v>
      </c>
      <c r="G33" s="205">
        <f t="shared" si="4"/>
        <v>102403760.05431423</v>
      </c>
      <c r="H33" s="185">
        <f t="shared" si="5"/>
        <v>885927999.74417543</v>
      </c>
      <c r="I33" s="185">
        <f t="shared" si="6"/>
        <v>-8370621.4940485246</v>
      </c>
      <c r="J33" s="204">
        <f t="shared" si="12"/>
        <v>8995039.5500000007</v>
      </c>
      <c r="K33" s="185">
        <f t="shared" si="7"/>
        <v>1514618627.7066193</v>
      </c>
      <c r="L33" s="185">
        <f t="shared" si="8"/>
        <v>506292959.86079508</v>
      </c>
      <c r="M33" s="205">
        <f>VLOOKUP(Storage_Backup!$A$5,Storage_Backup!$A$3:$W$5,MATCH($A33,Storage_Backup!$A$3:$W$3,0),0)</f>
        <v>890832438.3211906</v>
      </c>
      <c r="N33" s="204">
        <f>VLOOKUP(Storage_Backup!$A$4,Storage_Backup!$A$3:$W$5,MATCH($A33,Storage_Backup!$A$3:$W$3,0),0)</f>
        <v>297779377.38727421</v>
      </c>
      <c r="O33" s="185">
        <f t="shared" si="13"/>
        <v>1188611815.7084649</v>
      </c>
      <c r="P33" s="185">
        <f t="shared" si="14"/>
        <v>988331759.79848969</v>
      </c>
      <c r="Q33" s="204">
        <f t="shared" si="15"/>
        <v>-200280055.90997517</v>
      </c>
      <c r="R33" s="185">
        <f t="shared" si="9"/>
        <v>77609252.169096649</v>
      </c>
      <c r="S33" s="185">
        <f t="shared" si="9"/>
        <v>671422704.58957064</v>
      </c>
      <c r="T33" s="185">
        <f t="shared" si="9"/>
        <v>-6343884.970621286</v>
      </c>
      <c r="U33" s="185">
        <f t="shared" si="16"/>
        <v>8995039.5500000007</v>
      </c>
      <c r="V33" s="185">
        <f t="shared" si="10"/>
        <v>675139656.09671783</v>
      </c>
      <c r="W33" s="185">
        <f t="shared" si="10"/>
        <v>225679552.95926583</v>
      </c>
      <c r="X33" s="185">
        <f t="shared" si="10"/>
        <v>900819209.05598366</v>
      </c>
      <c r="Y33" s="185">
        <f t="shared" si="10"/>
        <v>749031956.75866735</v>
      </c>
      <c r="Z33" s="204">
        <f t="shared" si="10"/>
        <v>-151787252.29731634</v>
      </c>
      <c r="AA33" s="270">
        <f t="shared" si="11"/>
        <v>0.75787502458828904</v>
      </c>
      <c r="AB33" s="7">
        <f t="shared" si="3"/>
        <v>2.5000000000000001E-2</v>
      </c>
      <c r="AC33" s="203">
        <f t="shared" si="2"/>
        <v>1.7002284184453125</v>
      </c>
    </row>
    <row r="34" spans="1:29" x14ac:dyDescent="0.25">
      <c r="A34" s="180">
        <v>2044</v>
      </c>
      <c r="B34" s="180">
        <f t="shared" si="17"/>
        <v>15</v>
      </c>
      <c r="C34" s="185">
        <f>'Energy Revenue'!K22</f>
        <v>164895665.99999997</v>
      </c>
      <c r="D34" s="185">
        <f>'Cap Revenue'!E23</f>
        <v>1245267053.9259863</v>
      </c>
      <c r="E34" s="185">
        <f>'Energy Mkt Benefits'!M25</f>
        <v>-40321602.333583832</v>
      </c>
      <c r="F34" s="204">
        <f>'Energy Revenue'!I22</f>
        <v>8875557.6600000001</v>
      </c>
      <c r="G34" s="205">
        <f t="shared" si="4"/>
        <v>94618945.750187948</v>
      </c>
      <c r="H34" s="185">
        <f t="shared" si="5"/>
        <v>714547924.01832616</v>
      </c>
      <c r="I34" s="185">
        <f t="shared" si="6"/>
        <v>-23136978.650257677</v>
      </c>
      <c r="J34" s="204">
        <f t="shared" si="12"/>
        <v>8875557.6600000001</v>
      </c>
      <c r="K34" s="185">
        <f t="shared" si="7"/>
        <v>1552484093.3992846</v>
      </c>
      <c r="L34" s="185">
        <f t="shared" si="8"/>
        <v>518950283.85731488</v>
      </c>
      <c r="M34" s="205">
        <f>VLOOKUP(Storage_Backup!$A$5,Storage_Backup!$A$3:$W$5,MATCH($A34,Storage_Backup!$A$3:$W$3,0),0)</f>
        <v>890832438.3211906</v>
      </c>
      <c r="N34" s="204">
        <f>VLOOKUP(Storage_Backup!$A$4,Storage_Backup!$A$3:$W$5,MATCH($A34,Storage_Backup!$A$3:$W$3,0),0)</f>
        <v>297779377.38727421</v>
      </c>
      <c r="O34" s="185">
        <f t="shared" si="13"/>
        <v>1188611815.7084649</v>
      </c>
      <c r="P34" s="185">
        <f t="shared" si="14"/>
        <v>809166869.76851416</v>
      </c>
      <c r="Q34" s="204">
        <f t="shared" si="15"/>
        <v>-379444945.9399507</v>
      </c>
      <c r="R34" s="185">
        <f t="shared" si="9"/>
        <v>70303270.428374201</v>
      </c>
      <c r="S34" s="185">
        <f t="shared" si="9"/>
        <v>530919632.8283332</v>
      </c>
      <c r="T34" s="185">
        <f t="shared" si="9"/>
        <v>-17191115.944571331</v>
      </c>
      <c r="U34" s="185">
        <f>F34</f>
        <v>8875557.6600000001</v>
      </c>
      <c r="V34" s="185">
        <f t="shared" si="10"/>
        <v>661901623.62423313</v>
      </c>
      <c r="W34" s="185">
        <f t="shared" si="10"/>
        <v>221254463.68555474</v>
      </c>
      <c r="X34" s="185">
        <f t="shared" si="10"/>
        <v>883156087.30978799</v>
      </c>
      <c r="Y34" s="185">
        <f t="shared" si="10"/>
        <v>601222903.25670743</v>
      </c>
      <c r="Z34" s="204">
        <f t="shared" si="10"/>
        <v>-281933184.05308056</v>
      </c>
      <c r="AA34" s="270">
        <f t="shared" si="11"/>
        <v>0.7430147299885187</v>
      </c>
      <c r="AB34" s="7">
        <f t="shared" si="3"/>
        <v>2.5000000000000001E-2</v>
      </c>
      <c r="AC34" s="203">
        <f t="shared" si="2"/>
        <v>1.7427341289064451</v>
      </c>
    </row>
    <row r="35" spans="1:29" x14ac:dyDescent="0.25">
      <c r="A35" s="180">
        <v>2045</v>
      </c>
      <c r="B35" s="180">
        <f t="shared" si="17"/>
        <v>16</v>
      </c>
      <c r="C35" s="185">
        <f>'Energy Revenue'!K23</f>
        <v>183708394.99999997</v>
      </c>
      <c r="D35" s="185">
        <f>'Cap Revenue'!E24</f>
        <v>1571512313.1569481</v>
      </c>
      <c r="E35" s="185">
        <f>'Energy Mkt Benefits'!M26</f>
        <v>75818328.592668533</v>
      </c>
      <c r="F35" s="204">
        <f>'Energy Revenue'!I23</f>
        <v>8749988.4800000004</v>
      </c>
      <c r="G35" s="205">
        <f t="shared" si="4"/>
        <v>102842825.80240089</v>
      </c>
      <c r="H35" s="185">
        <f t="shared" si="5"/>
        <v>879757112.17948484</v>
      </c>
      <c r="I35" s="185">
        <f t="shared" si="6"/>
        <v>42444283.289748415</v>
      </c>
      <c r="J35" s="204">
        <f t="shared" si="12"/>
        <v>8749988.4800000004</v>
      </c>
      <c r="K35" s="185">
        <f t="shared" si="7"/>
        <v>1591296195.7342665</v>
      </c>
      <c r="L35" s="185">
        <f t="shared" si="8"/>
        <v>531924040.95374769</v>
      </c>
      <c r="M35" s="205">
        <f>VLOOKUP(Storage_Backup!$A$5,Storage_Backup!$A$3:$W$5,MATCH($A35,Storage_Backup!$A$3:$W$3,0),0)</f>
        <v>890832438.3211906</v>
      </c>
      <c r="N35" s="204">
        <f>VLOOKUP(Storage_Backup!$A$4,Storage_Backup!$A$3:$W$5,MATCH($A35,Storage_Backup!$A$3:$W$3,0),0)</f>
        <v>297779377.38727421</v>
      </c>
      <c r="O35" s="185">
        <f t="shared" si="13"/>
        <v>1188611815.7084649</v>
      </c>
      <c r="P35" s="185">
        <f t="shared" si="14"/>
        <v>982599937.98188567</v>
      </c>
      <c r="Q35" s="204">
        <f t="shared" si="15"/>
        <v>-206011877.72657919</v>
      </c>
      <c r="R35" s="185">
        <f t="shared" si="9"/>
        <v>74915425.926301122</v>
      </c>
      <c r="S35" s="185">
        <f t="shared" si="9"/>
        <v>640855385.45246935</v>
      </c>
      <c r="T35" s="185">
        <f t="shared" si="9"/>
        <v>30918360.478518244</v>
      </c>
      <c r="U35" s="185">
        <f t="shared" si="16"/>
        <v>8749988.4800000004</v>
      </c>
      <c r="V35" s="185">
        <f t="shared" si="10"/>
        <v>648923160.41591477</v>
      </c>
      <c r="W35" s="185">
        <f t="shared" si="10"/>
        <v>216916140.86819088</v>
      </c>
      <c r="X35" s="185">
        <f t="shared" si="10"/>
        <v>865839301.28410566</v>
      </c>
      <c r="Y35" s="185">
        <f t="shared" si="10"/>
        <v>715770811.37877047</v>
      </c>
      <c r="Z35" s="204">
        <f t="shared" si="10"/>
        <v>-150068489.90533525</v>
      </c>
      <c r="AA35" s="270">
        <f t="shared" si="11"/>
        <v>0.72844581371423389</v>
      </c>
      <c r="AB35" s="7">
        <f t="shared" si="3"/>
        <v>2.5000000000000001E-2</v>
      </c>
      <c r="AC35" s="203">
        <f t="shared" si="2"/>
        <v>1.786302482129106</v>
      </c>
    </row>
    <row r="36" spans="1:29" x14ac:dyDescent="0.25">
      <c r="A36" s="180">
        <v>2046</v>
      </c>
      <c r="B36" s="180">
        <f t="shared" si="17"/>
        <v>17</v>
      </c>
      <c r="C36" s="185">
        <f>'Energy Revenue'!K24</f>
        <v>177901455.99999994</v>
      </c>
      <c r="D36" s="185">
        <f>'Cap Revenue'!E25</f>
        <v>1638755909.3313186</v>
      </c>
      <c r="E36" s="185">
        <f>'Energy Mkt Benefits'!M27</f>
        <v>134023314.89274979</v>
      </c>
      <c r="F36" s="204">
        <f>'Energy Revenue'!I24</f>
        <v>8605790.8499999996</v>
      </c>
      <c r="G36" s="205">
        <f t="shared" si="4"/>
        <v>97162937.315459996</v>
      </c>
      <c r="H36" s="185">
        <f t="shared" si="5"/>
        <v>895025489.24444222</v>
      </c>
      <c r="I36" s="185">
        <f t="shared" si="6"/>
        <v>73198383.175314814</v>
      </c>
      <c r="J36" s="204">
        <f t="shared" si="12"/>
        <v>8605790.8499999996</v>
      </c>
      <c r="K36" s="185">
        <f t="shared" si="7"/>
        <v>1631078600.6276231</v>
      </c>
      <c r="L36" s="185">
        <f t="shared" si="8"/>
        <v>545222141.9775914</v>
      </c>
      <c r="M36" s="205">
        <f>VLOOKUP(Storage_Backup!$A$5,Storage_Backup!$A$3:$W$5,MATCH($A36,Storage_Backup!$A$3:$W$3,0),0)</f>
        <v>890832438.3211906</v>
      </c>
      <c r="N36" s="204">
        <f>VLOOKUP(Storage_Backup!$A$4,Storage_Backup!$A$3:$W$5,MATCH($A36,Storage_Backup!$A$3:$W$3,0),0)</f>
        <v>297779377.38727421</v>
      </c>
      <c r="O36" s="185">
        <f t="shared" si="13"/>
        <v>1188611815.7084649</v>
      </c>
      <c r="P36" s="185">
        <f t="shared" si="14"/>
        <v>992188426.55990219</v>
      </c>
      <c r="Q36" s="204">
        <f t="shared" si="15"/>
        <v>-196423389.14856267</v>
      </c>
      <c r="R36" s="185">
        <f t="shared" si="9"/>
        <v>69390132.289828777</v>
      </c>
      <c r="S36" s="185">
        <f t="shared" si="9"/>
        <v>639193696.87024307</v>
      </c>
      <c r="T36" s="185">
        <f t="shared" si="9"/>
        <v>52275544.896773025</v>
      </c>
      <c r="U36" s="185">
        <f t="shared" si="16"/>
        <v>8605790.8499999996</v>
      </c>
      <c r="V36" s="185">
        <f t="shared" si="10"/>
        <v>636199176.87834775</v>
      </c>
      <c r="W36" s="185">
        <f t="shared" si="10"/>
        <v>212662883.20410872</v>
      </c>
      <c r="X36" s="185">
        <f t="shared" si="10"/>
        <v>848862060.08245647</v>
      </c>
      <c r="Y36" s="185">
        <f t="shared" si="10"/>
        <v>708583829.16007185</v>
      </c>
      <c r="Z36" s="204">
        <f t="shared" si="10"/>
        <v>-140278230.92238465</v>
      </c>
      <c r="AA36" s="270">
        <f t="shared" si="11"/>
        <v>0.71416256246493515</v>
      </c>
      <c r="AB36" s="7">
        <f t="shared" si="3"/>
        <v>2.5000000000000001E-2</v>
      </c>
      <c r="AC36" s="203">
        <f t="shared" si="2"/>
        <v>1.8309600441823335</v>
      </c>
    </row>
    <row r="37" spans="1:29" x14ac:dyDescent="0.25">
      <c r="A37" s="180">
        <v>2047</v>
      </c>
      <c r="B37" s="180">
        <f t="shared" si="17"/>
        <v>18</v>
      </c>
      <c r="C37" s="185">
        <f>'Energy Revenue'!K25</f>
        <v>183049071</v>
      </c>
      <c r="D37" s="185">
        <f>'Cap Revenue'!E26</f>
        <v>1697830210.5124137</v>
      </c>
      <c r="E37" s="185">
        <f>'Energy Mkt Benefits'!M28</f>
        <v>92919189.740222931</v>
      </c>
      <c r="F37" s="204">
        <f>'Energy Revenue'!I25</f>
        <v>8647104.1500000004</v>
      </c>
      <c r="G37" s="205">
        <f t="shared" si="4"/>
        <v>97535967.581393629</v>
      </c>
      <c r="H37" s="185">
        <f t="shared" si="5"/>
        <v>904672782.36691797</v>
      </c>
      <c r="I37" s="185">
        <f t="shared" si="6"/>
        <v>49511112.122452386</v>
      </c>
      <c r="J37" s="204">
        <f t="shared" si="12"/>
        <v>8647104.1500000004</v>
      </c>
      <c r="K37" s="185">
        <f t="shared" si="7"/>
        <v>1671855565.6433134</v>
      </c>
      <c r="L37" s="185">
        <f t="shared" si="8"/>
        <v>558852695.52703106</v>
      </c>
      <c r="M37" s="205">
        <f>VLOOKUP(Storage_Backup!$A$5,Storage_Backup!$A$3:$W$5,MATCH($A37,Storage_Backup!$A$3:$W$3,0),0)</f>
        <v>890832438.3211906</v>
      </c>
      <c r="N37" s="204">
        <f>VLOOKUP(Storage_Backup!$A$4,Storage_Backup!$A$3:$W$5,MATCH($A37,Storage_Backup!$A$3:$W$3,0),0)</f>
        <v>297779377.38727421</v>
      </c>
      <c r="O37" s="185">
        <f t="shared" si="13"/>
        <v>1188611815.7084649</v>
      </c>
      <c r="P37" s="185">
        <f t="shared" si="14"/>
        <v>1002208749.9483116</v>
      </c>
      <c r="Q37" s="204">
        <f t="shared" si="15"/>
        <v>-186403065.76015329</v>
      </c>
      <c r="R37" s="185">
        <f t="shared" si="9"/>
        <v>68290722.098455802</v>
      </c>
      <c r="S37" s="185">
        <f t="shared" si="9"/>
        <v>633415129.85043204</v>
      </c>
      <c r="T37" s="185">
        <f t="shared" si="9"/>
        <v>34665669.317509122</v>
      </c>
      <c r="U37" s="185">
        <f t="shared" si="16"/>
        <v>8647104.1500000004</v>
      </c>
      <c r="V37" s="185">
        <f t="shared" si="10"/>
        <v>623724683.21406639</v>
      </c>
      <c r="W37" s="185">
        <f t="shared" si="10"/>
        <v>208493022.74912617</v>
      </c>
      <c r="X37" s="185">
        <f t="shared" si="10"/>
        <v>832217705.96319258</v>
      </c>
      <c r="Y37" s="185">
        <f t="shared" si="10"/>
        <v>701705851.94888783</v>
      </c>
      <c r="Z37" s="204">
        <f t="shared" si="10"/>
        <v>-130511854.01430479</v>
      </c>
      <c r="AA37" s="270">
        <f t="shared" si="11"/>
        <v>0.70015937496562264</v>
      </c>
      <c r="AB37" s="7">
        <f t="shared" si="3"/>
        <v>2.5000000000000001E-2</v>
      </c>
      <c r="AC37" s="203">
        <f t="shared" si="2"/>
        <v>1.8767340452868917</v>
      </c>
    </row>
    <row r="38" spans="1:29" x14ac:dyDescent="0.25">
      <c r="A38" s="180">
        <v>2048</v>
      </c>
      <c r="B38" s="180">
        <f t="shared" si="17"/>
        <v>19</v>
      </c>
      <c r="C38" s="185">
        <f>'Energy Revenue'!K26</f>
        <v>187445666.00000003</v>
      </c>
      <c r="D38" s="185">
        <f>'Cap Revenue'!E27</f>
        <v>1757403745.2451794</v>
      </c>
      <c r="E38" s="185">
        <f>'Energy Mkt Benefits'!M29</f>
        <v>-6396788.5582704544</v>
      </c>
      <c r="F38" s="204">
        <f>'Energy Revenue'!I26</f>
        <v>8468323.3200000003</v>
      </c>
      <c r="G38" s="205">
        <f t="shared" si="4"/>
        <v>97442587.002171353</v>
      </c>
      <c r="H38" s="185">
        <f t="shared" si="5"/>
        <v>913576563.26924706</v>
      </c>
      <c r="I38" s="185">
        <f t="shared" si="6"/>
        <v>-3325334.9566575889</v>
      </c>
      <c r="J38" s="204">
        <f t="shared" si="12"/>
        <v>8468323.3200000003</v>
      </c>
      <c r="K38" s="185">
        <f t="shared" si="7"/>
        <v>1713651954.7843962</v>
      </c>
      <c r="L38" s="185">
        <f t="shared" si="8"/>
        <v>572824012.91520679</v>
      </c>
      <c r="M38" s="205">
        <f>VLOOKUP(Storage_Backup!$A$5,Storage_Backup!$A$3:$W$5,MATCH($A38,Storage_Backup!$A$3:$W$3,0),0)</f>
        <v>890832438.3211906</v>
      </c>
      <c r="N38" s="204">
        <f>VLOOKUP(Storage_Backup!$A$4,Storage_Backup!$A$3:$W$5,MATCH($A38,Storage_Backup!$A$3:$W$3,0),0)</f>
        <v>297779377.38727421</v>
      </c>
      <c r="O38" s="185">
        <f t="shared" si="13"/>
        <v>1188611815.7084649</v>
      </c>
      <c r="P38" s="185">
        <f t="shared" si="14"/>
        <v>1011019150.2714185</v>
      </c>
      <c r="Q38" s="204">
        <f t="shared" si="15"/>
        <v>-177592665.43704641</v>
      </c>
      <c r="R38" s="185">
        <f>G38*$AA38</f>
        <v>66887589.029876076</v>
      </c>
      <c r="S38" s="185">
        <f t="shared" si="9"/>
        <v>627107054.43317413</v>
      </c>
      <c r="T38" s="185">
        <f t="shared" si="9"/>
        <v>-2282612.2007889347</v>
      </c>
      <c r="U38" s="185">
        <f t="shared" si="16"/>
        <v>8468323.3200000003</v>
      </c>
      <c r="V38" s="185">
        <f t="shared" si="10"/>
        <v>611494787.46477103</v>
      </c>
      <c r="W38" s="185">
        <f t="shared" si="10"/>
        <v>204404924.2638492</v>
      </c>
      <c r="X38" s="185">
        <f t="shared" si="10"/>
        <v>815899711.72862017</v>
      </c>
      <c r="Y38" s="185">
        <f t="shared" si="10"/>
        <v>693994643.46305025</v>
      </c>
      <c r="Z38" s="204">
        <f t="shared" si="10"/>
        <v>-121905068.26556996</v>
      </c>
      <c r="AA38" s="270">
        <f t="shared" si="11"/>
        <v>0.68643075977021828</v>
      </c>
      <c r="AB38" s="7">
        <f t="shared" si="3"/>
        <v>2.5000000000000001E-2</v>
      </c>
      <c r="AC38" s="203">
        <f t="shared" si="2"/>
        <v>1.9236523964190637</v>
      </c>
    </row>
    <row r="39" spans="1:29" x14ac:dyDescent="0.25">
      <c r="A39" s="180">
        <v>2049</v>
      </c>
      <c r="B39" s="180">
        <f t="shared" si="17"/>
        <v>20</v>
      </c>
      <c r="C39" s="185">
        <f>'Energy Revenue'!K27</f>
        <v>199887993.00000003</v>
      </c>
      <c r="D39" s="185">
        <f>'Cap Revenue'!E28</f>
        <v>1819198489.8251033</v>
      </c>
      <c r="E39" s="185">
        <f>'Energy Mkt Benefits'!M30</f>
        <v>191941972.67207718</v>
      </c>
      <c r="F39" s="204">
        <f>'Energy Revenue'!I27</f>
        <v>8445766.2799999993</v>
      </c>
      <c r="G39" s="205">
        <f t="shared" si="4"/>
        <v>101376255.11791159</v>
      </c>
      <c r="H39" s="185">
        <f t="shared" si="5"/>
        <v>922634358.60616767</v>
      </c>
      <c r="I39" s="185">
        <f t="shared" si="6"/>
        <v>97346309.287520379</v>
      </c>
      <c r="J39" s="204">
        <f t="shared" si="12"/>
        <v>8445766.2799999993</v>
      </c>
      <c r="K39" s="185">
        <f t="shared" si="7"/>
        <v>1756493253.6540058</v>
      </c>
      <c r="L39" s="185">
        <f t="shared" si="8"/>
        <v>587144613.23808694</v>
      </c>
      <c r="M39" s="205">
        <f>VLOOKUP(Storage_Backup!$A$5,Storage_Backup!$A$3:$W$5,MATCH($A39,Storage_Backup!$A$3:$W$3,0),0)</f>
        <v>890832438.3211906</v>
      </c>
      <c r="N39" s="204">
        <f>VLOOKUP(Storage_Backup!$A$4,Storage_Backup!$A$3:$W$5,MATCH($A39,Storage_Backup!$A$3:$W$3,0),0)</f>
        <v>297779377.38727421</v>
      </c>
      <c r="O39" s="185">
        <f t="shared" si="13"/>
        <v>1188611815.7084649</v>
      </c>
      <c r="P39" s="185">
        <f t="shared" si="14"/>
        <v>1024010613.7240793</v>
      </c>
      <c r="Q39" s="204">
        <f t="shared" si="15"/>
        <v>-164601201.98438561</v>
      </c>
      <c r="R39" s="185">
        <f t="shared" si="9"/>
        <v>68223313.552203462</v>
      </c>
      <c r="S39" s="185">
        <f t="shared" si="9"/>
        <v>620906474.2824899</v>
      </c>
      <c r="T39" s="185">
        <f t="shared" si="9"/>
        <v>65511275.534371831</v>
      </c>
      <c r="U39" s="185">
        <f t="shared" si="16"/>
        <v>8445766.2799999993</v>
      </c>
      <c r="V39" s="185">
        <f t="shared" si="10"/>
        <v>599504693.59291267</v>
      </c>
      <c r="W39" s="185">
        <f t="shared" si="10"/>
        <v>200396984.57240117</v>
      </c>
      <c r="X39" s="185">
        <f t="shared" si="10"/>
        <v>799901678.16531396</v>
      </c>
      <c r="Y39" s="185">
        <f t="shared" si="10"/>
        <v>689129787.83469331</v>
      </c>
      <c r="Z39" s="204">
        <f t="shared" si="10"/>
        <v>-110771890.33062056</v>
      </c>
      <c r="AA39" s="270">
        <f t="shared" si="11"/>
        <v>0.67297133310805712</v>
      </c>
      <c r="AB39" s="7">
        <f t="shared" si="3"/>
        <v>2.5000000000000001E-2</v>
      </c>
      <c r="AC39" s="203">
        <f t="shared" si="2"/>
        <v>1.9717437063295402</v>
      </c>
    </row>
    <row r="40" spans="1:29" ht="4.5" customHeight="1" x14ac:dyDescent="0.25">
      <c r="A40" s="211"/>
      <c r="B40" s="211"/>
      <c r="C40" s="209"/>
      <c r="D40" s="209"/>
      <c r="E40" s="209"/>
      <c r="F40" s="208"/>
      <c r="G40" s="210"/>
      <c r="H40" s="209"/>
      <c r="I40" s="209"/>
      <c r="J40" s="208"/>
      <c r="K40" s="209"/>
      <c r="L40" s="209"/>
      <c r="M40" s="210"/>
      <c r="N40" s="208"/>
      <c r="O40" s="209"/>
      <c r="P40" s="209"/>
      <c r="Q40" s="208"/>
      <c r="R40" s="209"/>
      <c r="S40" s="209"/>
      <c r="T40" s="209"/>
      <c r="U40" s="209"/>
      <c r="V40" s="209"/>
      <c r="W40" s="209"/>
      <c r="X40" s="209"/>
      <c r="Y40" s="209"/>
      <c r="Z40" s="208"/>
      <c r="AA40" s="538"/>
      <c r="AB40" s="207"/>
      <c r="AC40" s="206"/>
    </row>
    <row r="41" spans="1:29" ht="4.5" customHeight="1" x14ac:dyDescent="0.25">
      <c r="A41" s="180"/>
      <c r="B41" s="180"/>
      <c r="C41" s="185"/>
      <c r="D41" s="185"/>
      <c r="E41" s="185"/>
      <c r="F41" s="204"/>
      <c r="G41" s="205"/>
      <c r="H41" s="185"/>
      <c r="I41" s="185"/>
      <c r="J41" s="204"/>
      <c r="K41" s="185"/>
      <c r="L41" s="185"/>
      <c r="M41" s="205"/>
      <c r="N41" s="204"/>
      <c r="O41" s="185"/>
      <c r="P41" s="185"/>
      <c r="Q41" s="204"/>
      <c r="R41" s="185"/>
      <c r="S41" s="185"/>
      <c r="T41" s="185"/>
      <c r="U41" s="185"/>
      <c r="V41" s="185"/>
      <c r="W41" s="185"/>
      <c r="X41" s="185"/>
      <c r="Y41" s="185"/>
      <c r="Z41" s="204"/>
      <c r="AA41" s="270"/>
      <c r="AC41" s="203"/>
    </row>
    <row r="42" spans="1:29" s="189" customFormat="1" ht="30" x14ac:dyDescent="0.25">
      <c r="A42" s="198" t="s">
        <v>30</v>
      </c>
      <c r="C42" s="199">
        <f t="shared" ref="C42:Q42" si="18">SUM(C20:C39)</f>
        <v>3082900181</v>
      </c>
      <c r="D42" s="199">
        <f t="shared" si="18"/>
        <v>22127646396.603523</v>
      </c>
      <c r="E42" s="199">
        <f t="shared" si="18"/>
        <v>739110575.09748173</v>
      </c>
      <c r="F42" s="191">
        <f t="shared" si="18"/>
        <v>160849316.70999998</v>
      </c>
      <c r="G42" s="200">
        <f t="shared" si="18"/>
        <v>1925517789.6515417</v>
      </c>
      <c r="H42" s="199">
        <f t="shared" si="18"/>
        <v>13380498086.199961</v>
      </c>
      <c r="I42" s="199">
        <f t="shared" si="18"/>
        <v>452328709.44430816</v>
      </c>
      <c r="J42" s="191">
        <f>SUM(J20:J39)</f>
        <v>160849316.70999998</v>
      </c>
      <c r="K42" s="199">
        <f t="shared" si="18"/>
        <v>25419330391.02491</v>
      </c>
      <c r="L42" s="199">
        <f t="shared" si="18"/>
        <v>8496942917.4644346</v>
      </c>
      <c r="M42" s="200">
        <f t="shared" si="18"/>
        <v>15741330223.299309</v>
      </c>
      <c r="N42" s="191">
        <f t="shared" si="18"/>
        <v>5261868912.1550465</v>
      </c>
      <c r="O42" s="199">
        <f t="shared" si="18"/>
        <v>21003199135.454369</v>
      </c>
      <c r="P42" s="199">
        <f t="shared" si="18"/>
        <v>15306015875.851501</v>
      </c>
      <c r="Q42" s="191">
        <f t="shared" si="18"/>
        <v>-5697183259.6028605</v>
      </c>
      <c r="R42" s="199">
        <f>SUM(R20:R39)</f>
        <v>1550301686.2004967</v>
      </c>
      <c r="S42" s="199">
        <f t="shared" ref="S42:Z42" si="19">SUM(S20:S39)</f>
        <v>10477570867.947382</v>
      </c>
      <c r="T42" s="199">
        <f>SUM(T20:T39)</f>
        <v>361789694.96971083</v>
      </c>
      <c r="U42" s="199">
        <f t="shared" si="19"/>
        <v>160849316.70999998</v>
      </c>
      <c r="V42" s="199">
        <f t="shared" si="19"/>
        <v>12584669108.745863</v>
      </c>
      <c r="W42" s="199">
        <f t="shared" si="19"/>
        <v>4206688901.9998369</v>
      </c>
      <c r="X42" s="199">
        <f t="shared" si="19"/>
        <v>16791358010.745703</v>
      </c>
      <c r="Y42" s="199">
        <f>SUM(Y20:Y39)</f>
        <v>12027872554.147881</v>
      </c>
      <c r="Z42" s="191">
        <f t="shared" si="19"/>
        <v>-4763485456.5978251</v>
      </c>
      <c r="AA42" s="199"/>
      <c r="AB42" s="190"/>
      <c r="AC42" s="190"/>
    </row>
    <row r="43" spans="1:29" s="189" customFormat="1" ht="30" x14ac:dyDescent="0.25">
      <c r="A43" s="198" t="s">
        <v>31</v>
      </c>
      <c r="C43" s="192">
        <f>C42/$F$42</f>
        <v>19.166386553933908</v>
      </c>
      <c r="D43" s="192">
        <f t="shared" ref="D43:E43" si="20">D42/$F$42</f>
        <v>137.56754986095535</v>
      </c>
      <c r="E43" s="192">
        <f t="shared" si="20"/>
        <v>4.5950495172450507</v>
      </c>
      <c r="F43" s="195"/>
      <c r="G43" s="197">
        <f>G42/$F$42</f>
        <v>11.970941680300172</v>
      </c>
      <c r="H43" s="192">
        <f t="shared" ref="H43:I43" si="21">H42/$F$42</f>
        <v>83.186539799382913</v>
      </c>
      <c r="I43" s="192">
        <f t="shared" si="21"/>
        <v>2.8121270186047793</v>
      </c>
      <c r="J43" s="195"/>
      <c r="K43" s="196" t="s">
        <v>65</v>
      </c>
      <c r="L43" s="195">
        <f>SUM(K42:L42)/F42</f>
        <v>210.85742856861495</v>
      </c>
      <c r="M43" s="194" t="s">
        <v>83</v>
      </c>
      <c r="N43" s="193">
        <f>SUM(M42:N42)/F42</f>
        <v>130.57686265041241</v>
      </c>
      <c r="O43" s="192">
        <f>O42/$F$42</f>
        <v>130.57686265041249</v>
      </c>
      <c r="P43" s="192">
        <f>P42/$F$42</f>
        <v>95.157481479683085</v>
      </c>
      <c r="Q43" s="191"/>
      <c r="R43" s="539">
        <f>R42/$U$42</f>
        <v>9.638223636321575</v>
      </c>
      <c r="S43" s="539">
        <f>S42/$U$42</f>
        <v>65.139044928849188</v>
      </c>
      <c r="T43" s="539">
        <f>T42/$U$42</f>
        <v>2.2492460793103164</v>
      </c>
      <c r="U43" s="539"/>
      <c r="V43" s="199"/>
      <c r="W43" s="199"/>
      <c r="X43" s="539">
        <f>X42/$F$42</f>
        <v>104.3918516671062</v>
      </c>
      <c r="Y43" s="539">
        <f>Y42/$F$42</f>
        <v>74.777268565170786</v>
      </c>
      <c r="Z43" s="191"/>
      <c r="AA43" s="199"/>
      <c r="AB43" s="190"/>
      <c r="AC43" s="190"/>
    </row>
    <row r="44" spans="1:29" ht="9.75" customHeight="1" thickBot="1" x14ac:dyDescent="0.3">
      <c r="A44" s="169"/>
      <c r="B44" s="169"/>
      <c r="C44" s="169"/>
      <c r="D44" s="169"/>
      <c r="E44" s="169"/>
      <c r="F44" s="187"/>
      <c r="G44" s="188"/>
      <c r="H44" s="169"/>
      <c r="I44" s="169"/>
      <c r="J44" s="187"/>
      <c r="K44" s="169"/>
      <c r="L44" s="169"/>
      <c r="M44" s="188"/>
      <c r="N44" s="187"/>
      <c r="O44" s="169"/>
      <c r="P44" s="169"/>
      <c r="Q44" s="187"/>
      <c r="R44" s="169"/>
      <c r="S44" s="169"/>
      <c r="T44" s="169"/>
      <c r="U44" s="169"/>
      <c r="V44" s="169"/>
      <c r="W44" s="169"/>
      <c r="X44" s="169"/>
      <c r="Y44" s="169"/>
      <c r="Z44" s="187"/>
      <c r="AA44" s="169"/>
      <c r="AB44" s="186"/>
      <c r="AC44" s="186"/>
    </row>
    <row r="45" spans="1:29" ht="15.75" thickTop="1" x14ac:dyDescent="0.25"/>
  </sheetData>
  <mergeCells count="9">
    <mergeCell ref="R4:Z4"/>
    <mergeCell ref="R5:U5"/>
    <mergeCell ref="V5:W5"/>
    <mergeCell ref="X5:Z5"/>
    <mergeCell ref="C5:F5"/>
    <mergeCell ref="G5:J5"/>
    <mergeCell ref="M5:N5"/>
    <mergeCell ref="O5:Q5"/>
    <mergeCell ref="K5:L5"/>
  </mergeCells>
  <printOptions horizontalCentered="1" verticalCentered="1"/>
  <pageMargins left="0.2" right="0.2" top="0.75" bottom="0.75" header="0.3" footer="0.3"/>
  <pageSetup scale="75" orientation="landscape" r:id="rId1"/>
  <headerFoot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F1CF2-11CD-4426-A9A7-E0D9054F2638}">
  <sheetPr codeName="Sheet24"/>
  <dimension ref="A1:Y20"/>
  <sheetViews>
    <sheetView zoomScaleNormal="100" workbookViewId="0">
      <selection activeCell="D17" sqref="D17"/>
    </sheetView>
  </sheetViews>
  <sheetFormatPr defaultRowHeight="15" x14ac:dyDescent="0.25"/>
  <cols>
    <col min="1" max="1" width="17.7109375" style="3" bestFit="1" customWidth="1"/>
    <col min="2" max="3" width="9.140625" style="3"/>
    <col min="4" max="23" width="16.140625" style="3" customWidth="1"/>
    <col min="24" max="16384" width="9.140625" style="3"/>
  </cols>
  <sheetData>
    <row r="1" spans="1:25" x14ac:dyDescent="0.25">
      <c r="A1" s="31" t="s">
        <v>49</v>
      </c>
    </row>
    <row r="3" spans="1:25" x14ac:dyDescent="0.25">
      <c r="A3" s="2" t="s">
        <v>43</v>
      </c>
      <c r="B3" s="4"/>
      <c r="C3" s="4"/>
      <c r="D3" s="235">
        <v>2030</v>
      </c>
      <c r="E3" s="235">
        <v>2031</v>
      </c>
      <c r="F3" s="235">
        <v>2032</v>
      </c>
      <c r="G3" s="235">
        <v>2033</v>
      </c>
      <c r="H3" s="235">
        <v>2034</v>
      </c>
      <c r="I3" s="235">
        <v>2035</v>
      </c>
      <c r="J3" s="235">
        <v>2036</v>
      </c>
      <c r="K3" s="235">
        <v>2037</v>
      </c>
      <c r="L3" s="235">
        <v>2038</v>
      </c>
      <c r="M3" s="235">
        <v>2039</v>
      </c>
      <c r="N3" s="235">
        <v>2040</v>
      </c>
      <c r="O3" s="235">
        <v>2041</v>
      </c>
      <c r="P3" s="235">
        <v>2042</v>
      </c>
      <c r="Q3" s="235">
        <v>2043</v>
      </c>
      <c r="R3" s="235">
        <v>2044</v>
      </c>
      <c r="S3" s="235">
        <v>2045</v>
      </c>
      <c r="T3" s="235">
        <v>2046</v>
      </c>
      <c r="U3" s="235">
        <v>2047</v>
      </c>
      <c r="V3" s="235">
        <v>2048</v>
      </c>
      <c r="W3" s="235">
        <v>2049</v>
      </c>
    </row>
    <row r="4" spans="1:25" x14ac:dyDescent="0.25">
      <c r="A4" s="4" t="s">
        <v>44</v>
      </c>
      <c r="B4" s="4"/>
      <c r="C4" s="4"/>
      <c r="D4" s="5">
        <f>Batteries_Utility!G130</f>
        <v>62054210.131197676</v>
      </c>
      <c r="E4" s="5">
        <f>Batteries_Utility!H130</f>
        <v>121792005.12922843</v>
      </c>
      <c r="F4" s="5">
        <f>Batteries_Utility!I130</f>
        <v>161342647.51917401</v>
      </c>
      <c r="G4" s="5">
        <f>Batteries_Utility!J130</f>
        <v>200618735.63371146</v>
      </c>
      <c r="H4" s="5">
        <f>Batteries_Utility!K130</f>
        <v>249370652.93262294</v>
      </c>
      <c r="I4" s="5">
        <f>Batteries_Utility!L130</f>
        <v>297779377.38727421</v>
      </c>
      <c r="J4" s="5">
        <f>Batteries_Utility!M130</f>
        <v>297779377.38727421</v>
      </c>
      <c r="K4" s="5">
        <f>Batteries_Utility!N130</f>
        <v>297779377.38727421</v>
      </c>
      <c r="L4" s="5">
        <f>Batteries_Utility!O130</f>
        <v>297779377.38727421</v>
      </c>
      <c r="M4" s="5">
        <f>Batteries_Utility!P130</f>
        <v>297779377.38727421</v>
      </c>
      <c r="N4" s="5">
        <f>Batteries_Utility!Q130</f>
        <v>297779377.38727421</v>
      </c>
      <c r="O4" s="5">
        <f>Batteries_Utility!R130</f>
        <v>297779377.38727421</v>
      </c>
      <c r="P4" s="5">
        <f>Batteries_Utility!S130</f>
        <v>297779377.38727421</v>
      </c>
      <c r="Q4" s="5">
        <f>Batteries_Utility!T130</f>
        <v>297779377.38727421</v>
      </c>
      <c r="R4" s="5">
        <f>Batteries_Utility!U130</f>
        <v>297779377.38727421</v>
      </c>
      <c r="S4" s="5">
        <f>Batteries_Utility!V130</f>
        <v>297779377.38727421</v>
      </c>
      <c r="T4" s="5">
        <f>Batteries_Utility!W130</f>
        <v>297779377.38727421</v>
      </c>
      <c r="U4" s="5">
        <f>Batteries_Utility!X130</f>
        <v>297779377.38727421</v>
      </c>
      <c r="V4" s="5">
        <f>Batteries_Utility!Y130</f>
        <v>297779377.38727421</v>
      </c>
      <c r="W4" s="5">
        <f>Batteries_Utility!Z130</f>
        <v>297779377.38727421</v>
      </c>
    </row>
    <row r="5" spans="1:25" x14ac:dyDescent="0.25">
      <c r="A5" s="4" t="s">
        <v>45</v>
      </c>
      <c r="B5" s="4"/>
      <c r="C5" s="4"/>
      <c r="D5" s="574">
        <f>Batteries_Utility!G131</f>
        <v>185640469.14295405</v>
      </c>
      <c r="E5" s="574">
        <f>Batteries_Utility!H131</f>
        <v>364351184.5892325</v>
      </c>
      <c r="F5" s="574">
        <f>Batteries_Utility!I131</f>
        <v>482670308.99113071</v>
      </c>
      <c r="G5" s="574">
        <f>Batteries_Utility!J131</f>
        <v>600168080.83074164</v>
      </c>
      <c r="H5" s="574">
        <f>Batteries_Utility!K131</f>
        <v>746013604.92739582</v>
      </c>
      <c r="I5" s="574">
        <f>Batteries_Utility!L131</f>
        <v>890832438.3211906</v>
      </c>
      <c r="J5" s="574">
        <f>Batteries_Utility!M131</f>
        <v>890832438.3211906</v>
      </c>
      <c r="K5" s="574">
        <f>Batteries_Utility!N131</f>
        <v>890832438.3211906</v>
      </c>
      <c r="L5" s="574">
        <f>Batteries_Utility!O131</f>
        <v>890832438.3211906</v>
      </c>
      <c r="M5" s="574">
        <f>Batteries_Utility!P131</f>
        <v>890832438.3211906</v>
      </c>
      <c r="N5" s="574">
        <f>Batteries_Utility!Q131</f>
        <v>890832438.3211906</v>
      </c>
      <c r="O5" s="574">
        <f>Batteries_Utility!R131</f>
        <v>890832438.3211906</v>
      </c>
      <c r="P5" s="574">
        <f>Batteries_Utility!S131</f>
        <v>890832438.3211906</v>
      </c>
      <c r="Q5" s="574">
        <f>Batteries_Utility!T131</f>
        <v>890832438.3211906</v>
      </c>
      <c r="R5" s="574">
        <f>Batteries_Utility!U131</f>
        <v>890832438.3211906</v>
      </c>
      <c r="S5" s="574">
        <f>Batteries_Utility!V131</f>
        <v>890832438.3211906</v>
      </c>
      <c r="T5" s="574">
        <f>Batteries_Utility!W131</f>
        <v>890832438.3211906</v>
      </c>
      <c r="U5" s="574">
        <f>Batteries_Utility!X131</f>
        <v>890832438.3211906</v>
      </c>
      <c r="V5" s="574">
        <f>Batteries_Utility!Y131</f>
        <v>890832438.3211906</v>
      </c>
      <c r="W5" s="574">
        <f>Batteries_Utility!Z131</f>
        <v>890832438.3211906</v>
      </c>
    </row>
    <row r="9" spans="1:25" x14ac:dyDescent="0.25">
      <c r="A9" s="2" t="s">
        <v>84</v>
      </c>
      <c r="D9" s="4"/>
      <c r="E9" s="4"/>
      <c r="F9" s="9"/>
      <c r="G9" s="9"/>
      <c r="H9" s="9"/>
      <c r="I9" s="9"/>
      <c r="J9" s="9"/>
      <c r="K9" s="9"/>
      <c r="L9" s="9"/>
      <c r="M9" s="9"/>
      <c r="N9" s="9"/>
      <c r="O9" s="9"/>
      <c r="P9" s="9"/>
      <c r="Q9" s="9"/>
      <c r="R9" s="9"/>
      <c r="S9" s="9"/>
      <c r="T9" s="9"/>
      <c r="U9" s="9"/>
      <c r="V9" s="9"/>
      <c r="W9" s="9"/>
      <c r="X9" s="9"/>
      <c r="Y9" s="9"/>
    </row>
    <row r="10" spans="1:25" x14ac:dyDescent="0.25">
      <c r="A10" s="4" t="s">
        <v>44</v>
      </c>
      <c r="B10" s="13">
        <v>2022</v>
      </c>
      <c r="C10" s="9"/>
      <c r="D10" s="11">
        <f>Batteries_Utility!G134</f>
        <v>26003.557144148552</v>
      </c>
      <c r="E10" s="11">
        <f>Batteries_Utility!H134</f>
        <v>26003.557144148552</v>
      </c>
      <c r="F10" s="11">
        <f>Batteries_Utility!I134</f>
        <v>26003.557144148552</v>
      </c>
      <c r="G10" s="11">
        <f>Batteries_Utility!J134</f>
        <v>26003.557144148552</v>
      </c>
      <c r="H10" s="11">
        <f>Batteries_Utility!K134</f>
        <v>26003.557144148552</v>
      </c>
      <c r="I10" s="11">
        <f>Batteries_Utility!L134</f>
        <v>26003.557144148552</v>
      </c>
      <c r="J10" s="11">
        <f>Batteries_Utility!M134</f>
        <v>26003.557144148552</v>
      </c>
      <c r="K10" s="11">
        <f>Batteries_Utility!N134</f>
        <v>26003.557144148552</v>
      </c>
      <c r="L10" s="11">
        <f>Batteries_Utility!O134</f>
        <v>26003.557144148552</v>
      </c>
      <c r="M10" s="11">
        <f>Batteries_Utility!P134</f>
        <v>26003.557144148552</v>
      </c>
      <c r="N10" s="11">
        <f>Batteries_Utility!Q134</f>
        <v>26003.557144148552</v>
      </c>
      <c r="O10" s="11">
        <f>Batteries_Utility!R134</f>
        <v>26003.557144148552</v>
      </c>
      <c r="P10" s="11">
        <f>Batteries_Utility!S134</f>
        <v>26003.557144148552</v>
      </c>
      <c r="Q10" s="11">
        <f>Batteries_Utility!T134</f>
        <v>26003.557144148552</v>
      </c>
      <c r="R10" s="11">
        <f>Batteries_Utility!U134</f>
        <v>26003.557144148552</v>
      </c>
      <c r="S10" s="11">
        <f>Batteries_Utility!V134</f>
        <v>26003.557144148552</v>
      </c>
      <c r="T10" s="11">
        <f>Batteries_Utility!W134</f>
        <v>26003.557144148552</v>
      </c>
      <c r="U10" s="11">
        <f>Batteries_Utility!X134</f>
        <v>26003.557144148552</v>
      </c>
      <c r="V10" s="11">
        <f>Batteries_Utility!Y134</f>
        <v>26003.557144148552</v>
      </c>
      <c r="W10" s="11">
        <f>Batteries_Utility!Z134</f>
        <v>26003.557144148552</v>
      </c>
    </row>
    <row r="11" spans="1:25" x14ac:dyDescent="0.25">
      <c r="A11" s="4" t="s">
        <v>45</v>
      </c>
      <c r="B11" s="13">
        <v>2022</v>
      </c>
      <c r="C11" s="9"/>
      <c r="D11" s="11">
        <f>Batteries_Utility!G135</f>
        <v>77791861.94489044</v>
      </c>
      <c r="E11" s="11">
        <f>Batteries_Utility!H135</f>
        <v>77791861.94489044</v>
      </c>
      <c r="F11" s="11">
        <f>Batteries_Utility!I135</f>
        <v>77791861.94489044</v>
      </c>
      <c r="G11" s="11">
        <f>Batteries_Utility!J135</f>
        <v>77791861.94489044</v>
      </c>
      <c r="H11" s="11">
        <f>Batteries_Utility!K135</f>
        <v>77791861.94489044</v>
      </c>
      <c r="I11" s="11">
        <f>Batteries_Utility!L135</f>
        <v>77791861.94489044</v>
      </c>
      <c r="J11" s="11">
        <f>Batteries_Utility!M135</f>
        <v>77791861.94489044</v>
      </c>
      <c r="K11" s="11">
        <f>Batteries_Utility!N135</f>
        <v>77791861.94489044</v>
      </c>
      <c r="L11" s="11">
        <f>Batteries_Utility!O135</f>
        <v>77791861.94489044</v>
      </c>
      <c r="M11" s="11">
        <f>Batteries_Utility!P135</f>
        <v>77791861.94489044</v>
      </c>
      <c r="N11" s="11">
        <f>Batteries_Utility!Q135</f>
        <v>77791861.94489044</v>
      </c>
      <c r="O11" s="11">
        <f>Batteries_Utility!R135</f>
        <v>77791861.94489044</v>
      </c>
      <c r="P11" s="11">
        <f>Batteries_Utility!S135</f>
        <v>77791861.94489044</v>
      </c>
      <c r="Q11" s="11">
        <f>Batteries_Utility!T135</f>
        <v>77791861.94489044</v>
      </c>
      <c r="R11" s="11">
        <f>Batteries_Utility!U135</f>
        <v>77791861.94489044</v>
      </c>
      <c r="S11" s="11">
        <f>Batteries_Utility!V135</f>
        <v>77791861.94489044</v>
      </c>
      <c r="T11" s="11">
        <f>Batteries_Utility!W135</f>
        <v>77791861.94489044</v>
      </c>
      <c r="U11" s="11">
        <f>Batteries_Utility!X135</f>
        <v>77791861.94489044</v>
      </c>
      <c r="V11" s="11">
        <f>Batteries_Utility!Y135</f>
        <v>77791861.94489044</v>
      </c>
      <c r="W11" s="11">
        <f>Batteries_Utility!Z135</f>
        <v>77791861.94489044</v>
      </c>
    </row>
    <row r="12" spans="1:25" x14ac:dyDescent="0.25">
      <c r="A12" s="4"/>
      <c r="B12" s="13">
        <v>2022</v>
      </c>
      <c r="C12" s="10" t="s">
        <v>12</v>
      </c>
      <c r="D12" s="11">
        <f>SUM(D10:W11)</f>
        <v>1556357310.0406926</v>
      </c>
      <c r="E12" s="475"/>
      <c r="F12" s="475"/>
      <c r="G12" s="475"/>
      <c r="H12" s="475"/>
      <c r="I12" s="475"/>
      <c r="J12" s="475"/>
      <c r="K12" s="475"/>
      <c r="L12" s="475"/>
      <c r="M12" s="475"/>
      <c r="N12" s="475"/>
      <c r="O12" s="475"/>
      <c r="P12" s="475"/>
      <c r="Q12" s="475"/>
      <c r="R12" s="475"/>
      <c r="S12" s="475"/>
      <c r="T12" s="475"/>
      <c r="U12" s="475"/>
      <c r="V12" s="475"/>
      <c r="W12" s="475"/>
    </row>
    <row r="13" spans="1:25" x14ac:dyDescent="0.25">
      <c r="A13" s="4"/>
      <c r="B13" s="13"/>
      <c r="C13" s="10"/>
      <c r="D13" s="11"/>
      <c r="E13" s="475"/>
      <c r="F13" s="475"/>
      <c r="G13" s="475"/>
      <c r="H13" s="475"/>
      <c r="I13" s="475"/>
      <c r="J13" s="475"/>
      <c r="K13" s="475"/>
      <c r="L13" s="475"/>
      <c r="M13" s="475"/>
      <c r="N13" s="475"/>
      <c r="O13" s="475"/>
      <c r="P13" s="475"/>
      <c r="Q13" s="475"/>
      <c r="R13" s="475"/>
      <c r="S13" s="475"/>
      <c r="T13" s="475"/>
      <c r="U13" s="475"/>
      <c r="V13" s="475"/>
      <c r="W13" s="475"/>
    </row>
    <row r="14" spans="1:25" x14ac:dyDescent="0.25">
      <c r="A14" s="4" t="s">
        <v>90</v>
      </c>
      <c r="B14" s="13" t="s">
        <v>91</v>
      </c>
      <c r="C14" s="10"/>
      <c r="D14" s="474">
        <f>HLOOKUP(SooGreen_Annual!$AC$6,SooGreen_Annual!$AC$6:$AC$39,MATCH(D$3,SooGreen_Annual!$A$6:$A$39,0),0)</f>
        <v>1.2333803380061368</v>
      </c>
      <c r="E14" s="474">
        <f>HLOOKUP(SooGreen_Annual!$AC$6,SooGreen_Annual!$AC$6:$AC$39,MATCH(E$3,SooGreen_Annual!$A$6:$A$39,0),0)</f>
        <v>1.2642148464562901</v>
      </c>
      <c r="F14" s="474">
        <f>HLOOKUP(SooGreen_Annual!$AC$6,SooGreen_Annual!$AC$6:$AC$39,MATCH(F$3,SooGreen_Annual!$A$6:$A$39,0),0)</f>
        <v>1.2958202176176972</v>
      </c>
      <c r="G14" s="474">
        <f>HLOOKUP(SooGreen_Annual!$AC$6,SooGreen_Annual!$AC$6:$AC$39,MATCH(G$3,SooGreen_Annual!$A$6:$A$39,0),0)</f>
        <v>1.3282157230581395</v>
      </c>
      <c r="H14" s="474">
        <f>HLOOKUP(SooGreen_Annual!$AC$6,SooGreen_Annual!$AC$6:$AC$39,MATCH(H$3,SooGreen_Annual!$A$6:$A$39,0),0)</f>
        <v>1.3614211161345928</v>
      </c>
      <c r="I14" s="474">
        <f>HLOOKUP(SooGreen_Annual!$AC$6,SooGreen_Annual!$AC$6:$AC$39,MATCH(I$3,SooGreen_Annual!$A$6:$A$39,0),0)</f>
        <v>1.3954566440379574</v>
      </c>
      <c r="J14" s="474">
        <f>HLOOKUP(SooGreen_Annual!$AC$6,SooGreen_Annual!$AC$6:$AC$39,MATCH(J$3,SooGreen_Annual!$A$6:$A$39,0),0)</f>
        <v>1.4303430601389062</v>
      </c>
      <c r="K14" s="474">
        <f>HLOOKUP(SooGreen_Annual!$AC$6,SooGreen_Annual!$AC$6:$AC$39,MATCH(K$3,SooGreen_Annual!$A$6:$A$39,0),0)</f>
        <v>1.4661016366423787</v>
      </c>
      <c r="L14" s="474">
        <f>HLOOKUP(SooGreen_Annual!$AC$6,SooGreen_Annual!$AC$6:$AC$39,MATCH(L$3,SooGreen_Annual!$A$6:$A$39,0),0)</f>
        <v>1.5027541775584381</v>
      </c>
      <c r="M14" s="474">
        <f>HLOOKUP(SooGreen_Annual!$AC$6,SooGreen_Annual!$AC$6:$AC$39,MATCH(M$3,SooGreen_Annual!$A$6:$A$39,0),0)</f>
        <v>1.5403230319973988</v>
      </c>
      <c r="N14" s="474">
        <f>HLOOKUP(SooGreen_Annual!$AC$6,SooGreen_Annual!$AC$6:$AC$39,MATCH(N$3,SooGreen_Annual!$A$6:$A$39,0),0)</f>
        <v>1.5788311077973336</v>
      </c>
      <c r="O14" s="474">
        <f>HLOOKUP(SooGreen_Annual!$AC$6,SooGreen_Annual!$AC$6:$AC$39,MATCH(O$3,SooGreen_Annual!$A$6:$A$39,0),0)</f>
        <v>1.6183018854922668</v>
      </c>
      <c r="P14" s="474">
        <f>HLOOKUP(SooGreen_Annual!$AC$6,SooGreen_Annual!$AC$6:$AC$39,MATCH(P$3,SooGreen_Annual!$A$6:$A$39,0),0)</f>
        <v>1.6587594326295734</v>
      </c>
      <c r="Q14" s="474">
        <f>HLOOKUP(SooGreen_Annual!$AC$6,SooGreen_Annual!$AC$6:$AC$39,MATCH(Q$3,SooGreen_Annual!$A$6:$A$39,0),0)</f>
        <v>1.7002284184453125</v>
      </c>
      <c r="R14" s="474">
        <f>HLOOKUP(SooGreen_Annual!$AC$6,SooGreen_Annual!$AC$6:$AC$39,MATCH(R$3,SooGreen_Annual!$A$6:$A$39,0),0)</f>
        <v>1.7427341289064451</v>
      </c>
      <c r="S14" s="474">
        <f>HLOOKUP(SooGreen_Annual!$AC$6,SooGreen_Annual!$AC$6:$AC$39,MATCH(S$3,SooGreen_Annual!$A$6:$A$39,0),0)</f>
        <v>1.786302482129106</v>
      </c>
      <c r="T14" s="474">
        <f>HLOOKUP(SooGreen_Annual!$AC$6,SooGreen_Annual!$AC$6:$AC$39,MATCH(T$3,SooGreen_Annual!$A$6:$A$39,0),0)</f>
        <v>1.8309600441823335</v>
      </c>
      <c r="U14" s="474">
        <f>HLOOKUP(SooGreen_Annual!$AC$6,SooGreen_Annual!$AC$6:$AC$39,MATCH(U$3,SooGreen_Annual!$A$6:$A$39,0),0)</f>
        <v>1.8767340452868917</v>
      </c>
      <c r="V14" s="474">
        <f>HLOOKUP(SooGreen_Annual!$AC$6,SooGreen_Annual!$AC$6:$AC$39,MATCH(V$3,SooGreen_Annual!$A$6:$A$39,0),0)</f>
        <v>1.9236523964190637</v>
      </c>
      <c r="W14" s="474">
        <f>HLOOKUP(SooGreen_Annual!$AC$6,SooGreen_Annual!$AC$6:$AC$39,MATCH(W$3,SooGreen_Annual!$A$6:$A$39,0),0)</f>
        <v>1.9717437063295402</v>
      </c>
    </row>
    <row r="15" spans="1:25" x14ac:dyDescent="0.25">
      <c r="A15" s="4" t="s">
        <v>44</v>
      </c>
      <c r="B15" s="13" t="s">
        <v>89</v>
      </c>
      <c r="C15" s="10"/>
      <c r="D15" s="11">
        <f>D10*D$14</f>
        <v>32072.276099811832</v>
      </c>
      <c r="E15" s="11">
        <f t="shared" ref="E15:W16" si="0">E10*E$14</f>
        <v>32874.083002307125</v>
      </c>
      <c r="F15" s="11">
        <f t="shared" si="0"/>
        <v>33695.935077364797</v>
      </c>
      <c r="G15" s="11">
        <f t="shared" si="0"/>
        <v>34538.333454298918</v>
      </c>
      <c r="H15" s="11">
        <f t="shared" si="0"/>
        <v>35401.791790656389</v>
      </c>
      <c r="I15" s="11">
        <f t="shared" si="0"/>
        <v>36286.836585422789</v>
      </c>
      <c r="J15" s="11">
        <f t="shared" si="0"/>
        <v>37194.007500058353</v>
      </c>
      <c r="K15" s="11">
        <f t="shared" si="0"/>
        <v>38123.857687559808</v>
      </c>
      <c r="L15" s="11">
        <f t="shared" si="0"/>
        <v>39076.954129748803</v>
      </c>
      <c r="M15" s="11">
        <f t="shared" si="0"/>
        <v>40053.877982992519</v>
      </c>
      <c r="N15" s="11">
        <f t="shared" si="0"/>
        <v>41055.224932567326</v>
      </c>
      <c r="O15" s="11">
        <f t="shared" si="0"/>
        <v>42081.605555881506</v>
      </c>
      <c r="P15" s="11">
        <f t="shared" si="0"/>
        <v>43133.645694778541</v>
      </c>
      <c r="Q15" s="11">
        <f t="shared" si="0"/>
        <v>44211.986837147997</v>
      </c>
      <c r="R15" s="11">
        <f t="shared" si="0"/>
        <v>45317.286508076693</v>
      </c>
      <c r="S15" s="11">
        <f t="shared" si="0"/>
        <v>46450.218670778602</v>
      </c>
      <c r="T15" s="11">
        <f t="shared" si="0"/>
        <v>47611.474137548066</v>
      </c>
      <c r="U15" s="11">
        <f t="shared" si="0"/>
        <v>48801.760990986761</v>
      </c>
      <c r="V15" s="11">
        <f t="shared" si="0"/>
        <v>50021.805015761427</v>
      </c>
      <c r="W15" s="11">
        <f t="shared" si="0"/>
        <v>51272.350141155461</v>
      </c>
    </row>
    <row r="16" spans="1:25" x14ac:dyDescent="0.25">
      <c r="A16" s="4" t="s">
        <v>45</v>
      </c>
      <c r="B16" s="13" t="s">
        <v>89</v>
      </c>
      <c r="C16" s="10"/>
      <c r="D16" s="11">
        <f>D11*D$14</f>
        <v>95946952.979715705</v>
      </c>
      <c r="E16" s="11">
        <f t="shared" si="0"/>
        <v>98345626.804208592</v>
      </c>
      <c r="F16" s="11">
        <f t="shared" si="0"/>
        <v>100804267.47431378</v>
      </c>
      <c r="G16" s="11">
        <f t="shared" si="0"/>
        <v>103324374.16117162</v>
      </c>
      <c r="H16" s="11">
        <f t="shared" si="0"/>
        <v>105907483.5152009</v>
      </c>
      <c r="I16" s="11">
        <f t="shared" si="0"/>
        <v>108555170.6030809</v>
      </c>
      <c r="J16" s="11">
        <f t="shared" si="0"/>
        <v>111269049.86815792</v>
      </c>
      <c r="K16" s="11">
        <f t="shared" si="0"/>
        <v>114050776.11486185</v>
      </c>
      <c r="L16" s="11">
        <f t="shared" si="0"/>
        <v>116902045.5177334</v>
      </c>
      <c r="M16" s="11">
        <f t="shared" si="0"/>
        <v>119824596.65567671</v>
      </c>
      <c r="N16" s="11">
        <f t="shared" si="0"/>
        <v>122820211.57206862</v>
      </c>
      <c r="O16" s="11">
        <f t="shared" si="0"/>
        <v>125890716.86137033</v>
      </c>
      <c r="P16" s="11">
        <f t="shared" si="0"/>
        <v>129037984.78290457</v>
      </c>
      <c r="Q16" s="11">
        <f t="shared" si="0"/>
        <v>132263934.40247716</v>
      </c>
      <c r="R16" s="11">
        <f t="shared" si="0"/>
        <v>135570532.76253909</v>
      </c>
      <c r="S16" s="11">
        <f t="shared" si="0"/>
        <v>138959796.08160254</v>
      </c>
      <c r="T16" s="11">
        <f t="shared" si="0"/>
        <v>142433790.98364258</v>
      </c>
      <c r="U16" s="11">
        <f t="shared" si="0"/>
        <v>145994635.75823364</v>
      </c>
      <c r="V16" s="11">
        <f t="shared" si="0"/>
        <v>149644501.65218946</v>
      </c>
      <c r="W16" s="11">
        <f t="shared" si="0"/>
        <v>153385614.1934942</v>
      </c>
    </row>
    <row r="17" spans="1:23" x14ac:dyDescent="0.25">
      <c r="A17" s="4"/>
      <c r="B17" s="13"/>
      <c r="C17" s="10" t="s">
        <v>12</v>
      </c>
      <c r="D17" s="11">
        <f>SUM(D15:W16)</f>
        <v>2451751338.0564389</v>
      </c>
      <c r="E17" s="475"/>
      <c r="F17" s="475"/>
      <c r="G17" s="475"/>
      <c r="H17" s="475"/>
      <c r="I17" s="475"/>
      <c r="J17" s="475"/>
      <c r="K17" s="475"/>
      <c r="L17" s="475"/>
      <c r="M17" s="475"/>
      <c r="N17" s="475"/>
      <c r="O17" s="475"/>
      <c r="P17" s="475"/>
      <c r="Q17" s="475"/>
      <c r="R17" s="475"/>
      <c r="S17" s="475"/>
      <c r="T17" s="475"/>
      <c r="U17" s="475"/>
      <c r="V17" s="475"/>
      <c r="W17" s="475"/>
    </row>
    <row r="19" spans="1:23" x14ac:dyDescent="0.25">
      <c r="A19" s="12">
        <v>650</v>
      </c>
    </row>
    <row r="20" spans="1:23" x14ac:dyDescent="0.25">
      <c r="A20" s="265" t="s">
        <v>85</v>
      </c>
      <c r="B20" s="575">
        <v>0.6310679611650486</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E2CA8-8B92-4B8F-9D3F-1068684601AC}">
  <sheetPr codeName="Sheet25"/>
  <dimension ref="A1:AC45"/>
  <sheetViews>
    <sheetView zoomScale="70" zoomScaleNormal="70" workbookViewId="0">
      <pane xSplit="1" ySplit="10" topLeftCell="B11" activePane="bottomRight" state="frozen"/>
      <selection pane="topRight"/>
      <selection pane="bottomLeft"/>
      <selection pane="bottomRight" activeCell="N43" sqref="N43"/>
    </sheetView>
  </sheetViews>
  <sheetFormatPr defaultRowHeight="15" outlineLevelRow="1" x14ac:dyDescent="0.25"/>
  <cols>
    <col min="1" max="1" width="13.5703125" style="3" customWidth="1"/>
    <col min="2" max="2" width="10.28515625" style="3" bestFit="1" customWidth="1"/>
    <col min="3" max="4" width="16.7109375" style="3" customWidth="1"/>
    <col min="5" max="5" width="21.28515625" style="3" bestFit="1" customWidth="1"/>
    <col min="6" max="12" width="16.42578125" style="3" customWidth="1"/>
    <col min="13" max="13" width="19.7109375" style="3" customWidth="1"/>
    <col min="14" max="26" width="16.42578125" style="3" customWidth="1"/>
    <col min="27" max="27" width="18.7109375" style="3" customWidth="1"/>
    <col min="28" max="29" width="16.42578125" style="7" customWidth="1"/>
    <col min="30" max="16384" width="9.140625" style="3"/>
  </cols>
  <sheetData>
    <row r="1" spans="1:29" ht="18.75" x14ac:dyDescent="0.3">
      <c r="A1" s="233" t="s">
        <v>48</v>
      </c>
      <c r="C1" s="31"/>
    </row>
    <row r="2" spans="1:29" ht="19.5" thickBot="1" x14ac:dyDescent="0.35">
      <c r="A2" s="169"/>
      <c r="B2" s="169"/>
      <c r="C2" s="231"/>
      <c r="D2" s="169"/>
      <c r="E2" s="169"/>
      <c r="F2" s="169"/>
      <c r="G2" s="169"/>
      <c r="H2" s="169"/>
      <c r="I2" s="169"/>
      <c r="J2" s="169"/>
      <c r="K2" s="169"/>
      <c r="L2" s="169"/>
      <c r="M2" s="169"/>
      <c r="N2" s="169"/>
      <c r="O2" s="169"/>
      <c r="P2" s="169"/>
      <c r="Q2" s="169"/>
      <c r="R2" s="169"/>
      <c r="S2" s="533"/>
      <c r="T2" s="533"/>
      <c r="U2" s="533"/>
      <c r="V2" s="533"/>
      <c r="W2" s="533"/>
      <c r="X2" s="533"/>
      <c r="Y2" s="533"/>
      <c r="Z2" s="533"/>
      <c r="AA2" s="169"/>
      <c r="AB2" s="186"/>
      <c r="AC2" s="186"/>
    </row>
    <row r="3" spans="1:29" ht="9" customHeight="1" thickTop="1" x14ac:dyDescent="0.3">
      <c r="C3" s="230"/>
      <c r="D3" s="228"/>
      <c r="E3" s="228"/>
      <c r="F3" s="227"/>
      <c r="G3" s="229"/>
      <c r="H3" s="228"/>
      <c r="I3" s="228"/>
      <c r="J3" s="227"/>
      <c r="K3" s="229"/>
      <c r="L3" s="228"/>
      <c r="M3" s="227"/>
      <c r="N3" s="229"/>
      <c r="O3" s="228"/>
      <c r="Q3" s="228"/>
      <c r="R3" s="227"/>
      <c r="S3" s="534"/>
      <c r="T3" s="534"/>
      <c r="U3" s="534"/>
      <c r="V3" s="534"/>
      <c r="W3" s="534"/>
      <c r="X3" s="534"/>
      <c r="Y3" s="534"/>
      <c r="Z3" s="535"/>
      <c r="AA3" s="180"/>
    </row>
    <row r="4" spans="1:29" ht="18.75" x14ac:dyDescent="0.3">
      <c r="C4" s="31"/>
      <c r="F4" s="201"/>
      <c r="G4" s="202"/>
      <c r="J4" s="201"/>
      <c r="K4" s="202"/>
      <c r="M4" s="201"/>
      <c r="N4" s="202"/>
      <c r="R4" s="201"/>
      <c r="S4" s="598" t="s">
        <v>523</v>
      </c>
      <c r="T4" s="599"/>
      <c r="U4" s="599"/>
      <c r="V4" s="599"/>
      <c r="W4" s="599"/>
      <c r="X4" s="599"/>
      <c r="Y4" s="599"/>
      <c r="Z4" s="600"/>
      <c r="AA4" s="180"/>
    </row>
    <row r="5" spans="1:29" x14ac:dyDescent="0.25">
      <c r="C5" s="603" t="s">
        <v>17</v>
      </c>
      <c r="D5" s="604"/>
      <c r="E5" s="604"/>
      <c r="F5" s="605"/>
      <c r="G5" s="606" t="s">
        <v>18</v>
      </c>
      <c r="H5" s="601"/>
      <c r="I5" s="601"/>
      <c r="J5" s="602"/>
      <c r="K5" s="560" t="s">
        <v>88</v>
      </c>
      <c r="L5" s="226"/>
      <c r="M5" s="245"/>
      <c r="N5" s="606" t="s">
        <v>87</v>
      </c>
      <c r="O5" s="601"/>
      <c r="P5" s="601" t="s">
        <v>20</v>
      </c>
      <c r="Q5" s="601"/>
      <c r="R5" s="602"/>
      <c r="S5" s="606" t="s">
        <v>524</v>
      </c>
      <c r="T5" s="601"/>
      <c r="U5" s="601"/>
      <c r="V5" s="602"/>
      <c r="W5" s="561" t="s">
        <v>525</v>
      </c>
      <c r="X5" s="601" t="s">
        <v>526</v>
      </c>
      <c r="Y5" s="601"/>
      <c r="Z5" s="602"/>
      <c r="AA5" s="244" t="s">
        <v>527</v>
      </c>
      <c r="AB5" s="226"/>
      <c r="AC5" s="226"/>
    </row>
    <row r="6" spans="1:29" x14ac:dyDescent="0.25">
      <c r="B6" s="3" t="s">
        <v>42</v>
      </c>
      <c r="C6" s="219" t="s">
        <v>3</v>
      </c>
      <c r="D6" s="219" t="s">
        <v>4</v>
      </c>
      <c r="E6" s="222" t="s">
        <v>5</v>
      </c>
      <c r="F6" s="224" t="s">
        <v>6</v>
      </c>
      <c r="G6" s="221" t="s">
        <v>3</v>
      </c>
      <c r="H6" s="219" t="s">
        <v>4</v>
      </c>
      <c r="I6" s="222" t="s">
        <v>5</v>
      </c>
      <c r="J6" s="224" t="s">
        <v>6</v>
      </c>
      <c r="K6" s="221" t="s">
        <v>86</v>
      </c>
      <c r="L6" s="219" t="s">
        <v>61</v>
      </c>
      <c r="M6" s="562" t="s">
        <v>112</v>
      </c>
      <c r="N6" s="563"/>
      <c r="O6" s="222" t="s">
        <v>61</v>
      </c>
      <c r="P6" s="222" t="s">
        <v>23</v>
      </c>
      <c r="Q6" s="222" t="s">
        <v>24</v>
      </c>
      <c r="R6" s="225" t="s">
        <v>25</v>
      </c>
      <c r="S6" s="221" t="s">
        <v>3</v>
      </c>
      <c r="T6" s="219" t="s">
        <v>4</v>
      </c>
      <c r="U6" s="222" t="s">
        <v>5</v>
      </c>
      <c r="V6" s="224" t="s">
        <v>6</v>
      </c>
      <c r="W6" s="564" t="s">
        <v>21</v>
      </c>
      <c r="X6" s="222" t="s">
        <v>23</v>
      </c>
      <c r="Y6" s="222" t="s">
        <v>24</v>
      </c>
      <c r="Z6" s="225" t="s">
        <v>25</v>
      </c>
      <c r="AA6" s="222" t="s">
        <v>528</v>
      </c>
      <c r="AB6" s="7" t="s">
        <v>26</v>
      </c>
      <c r="AC6" s="182" t="s">
        <v>27</v>
      </c>
    </row>
    <row r="7" spans="1:29" x14ac:dyDescent="0.25">
      <c r="B7" s="3" t="s">
        <v>28</v>
      </c>
      <c r="C7" s="219" t="s">
        <v>29</v>
      </c>
      <c r="D7" s="219" t="s">
        <v>29</v>
      </c>
      <c r="E7" s="219" t="s">
        <v>29</v>
      </c>
      <c r="F7" s="224" t="s">
        <v>6</v>
      </c>
      <c r="G7" s="221" t="s">
        <v>29</v>
      </c>
      <c r="H7" s="219" t="s">
        <v>29</v>
      </c>
      <c r="I7" s="219" t="s">
        <v>29</v>
      </c>
      <c r="J7" s="224" t="s">
        <v>6</v>
      </c>
      <c r="K7" s="565" t="s">
        <v>86</v>
      </c>
      <c r="L7" s="566" t="s">
        <v>11</v>
      </c>
      <c r="M7" s="224" t="s">
        <v>29</v>
      </c>
      <c r="N7" s="565" t="s">
        <v>86</v>
      </c>
      <c r="O7" s="222" t="s">
        <v>40</v>
      </c>
      <c r="P7" s="219" t="s">
        <v>29</v>
      </c>
      <c r="Q7" s="219" t="s">
        <v>29</v>
      </c>
      <c r="R7" s="220" t="s">
        <v>29</v>
      </c>
      <c r="S7" s="221" t="s">
        <v>29</v>
      </c>
      <c r="T7" s="219" t="s">
        <v>29</v>
      </c>
      <c r="U7" s="219" t="s">
        <v>29</v>
      </c>
      <c r="V7" s="224" t="s">
        <v>6</v>
      </c>
      <c r="W7" s="564" t="s">
        <v>40</v>
      </c>
      <c r="X7" s="219" t="s">
        <v>29</v>
      </c>
      <c r="Y7" s="219" t="s">
        <v>29</v>
      </c>
      <c r="Z7" s="220" t="s">
        <v>29</v>
      </c>
      <c r="AA7" s="222"/>
      <c r="AC7" s="182"/>
    </row>
    <row r="8" spans="1:29" hidden="1" outlineLevel="1" x14ac:dyDescent="0.25">
      <c r="B8" s="3">
        <v>1</v>
      </c>
      <c r="C8" s="219">
        <f>1+B8</f>
        <v>2</v>
      </c>
      <c r="D8" s="219">
        <f t="shared" ref="D8:Z8" si="0">1+C8</f>
        <v>3</v>
      </c>
      <c r="E8" s="219">
        <f t="shared" si="0"/>
        <v>4</v>
      </c>
      <c r="F8" s="220">
        <f t="shared" si="0"/>
        <v>5</v>
      </c>
      <c r="G8" s="221">
        <f t="shared" si="0"/>
        <v>6</v>
      </c>
      <c r="H8" s="219">
        <f t="shared" si="0"/>
        <v>7</v>
      </c>
      <c r="I8" s="219">
        <f t="shared" si="0"/>
        <v>8</v>
      </c>
      <c r="J8" s="218">
        <f>1+I8</f>
        <v>9</v>
      </c>
      <c r="K8" s="217">
        <f>1+J8</f>
        <v>10</v>
      </c>
      <c r="L8" s="180">
        <f>1+K8</f>
        <v>11</v>
      </c>
      <c r="M8" s="218">
        <f>1+L8</f>
        <v>12</v>
      </c>
      <c r="N8" s="217">
        <f t="shared" ref="N8:Q8" si="1">1+M8</f>
        <v>13</v>
      </c>
      <c r="O8" s="180">
        <f t="shared" si="1"/>
        <v>14</v>
      </c>
      <c r="P8" s="219">
        <f t="shared" si="1"/>
        <v>15</v>
      </c>
      <c r="Q8" s="219">
        <f t="shared" si="1"/>
        <v>16</v>
      </c>
      <c r="R8" s="220">
        <f t="shared" si="0"/>
        <v>17</v>
      </c>
      <c r="S8" s="221">
        <f t="shared" si="0"/>
        <v>18</v>
      </c>
      <c r="T8" s="219">
        <f t="shared" si="0"/>
        <v>19</v>
      </c>
      <c r="U8" s="219">
        <f t="shared" si="0"/>
        <v>20</v>
      </c>
      <c r="V8" s="220">
        <f t="shared" si="0"/>
        <v>21</v>
      </c>
      <c r="W8" s="567">
        <f t="shared" si="0"/>
        <v>22</v>
      </c>
      <c r="X8" s="219">
        <f t="shared" si="0"/>
        <v>23</v>
      </c>
      <c r="Y8" s="219">
        <f t="shared" si="0"/>
        <v>24</v>
      </c>
      <c r="Z8" s="220">
        <f t="shared" si="0"/>
        <v>25</v>
      </c>
      <c r="AA8" s="222"/>
      <c r="AC8" s="182"/>
    </row>
    <row r="9" spans="1:29" collapsed="1" x14ac:dyDescent="0.25">
      <c r="B9" s="180" t="str">
        <f>"["&amp;B8&amp;"]"</f>
        <v>[1]</v>
      </c>
      <c r="C9" s="180" t="str">
        <f t="shared" ref="C9:Z9" si="2">"["&amp;C8&amp;"]"</f>
        <v>[2]</v>
      </c>
      <c r="D9" s="180" t="str">
        <f t="shared" si="2"/>
        <v>[3]</v>
      </c>
      <c r="E9" s="180" t="str">
        <f t="shared" si="2"/>
        <v>[4]</v>
      </c>
      <c r="F9" s="218" t="str">
        <f t="shared" si="2"/>
        <v>[5]</v>
      </c>
      <c r="G9" s="217" t="str">
        <f t="shared" si="2"/>
        <v>[6]</v>
      </c>
      <c r="H9" s="180" t="str">
        <f t="shared" si="2"/>
        <v>[7]</v>
      </c>
      <c r="I9" s="180" t="str">
        <f t="shared" si="2"/>
        <v>[8]</v>
      </c>
      <c r="J9" s="218" t="str">
        <f>"["&amp;J8&amp;"]"</f>
        <v>[9]</v>
      </c>
      <c r="K9" s="217" t="str">
        <f>"["&amp;K8&amp;"]"</f>
        <v>[10]</v>
      </c>
      <c r="L9" s="180" t="str">
        <f>"["&amp;L8&amp;"]"</f>
        <v>[11]</v>
      </c>
      <c r="M9" s="218" t="str">
        <f>"["&amp;M8&amp;"]"</f>
        <v>[12]</v>
      </c>
      <c r="N9" s="180" t="str">
        <f t="shared" si="2"/>
        <v>[13]</v>
      </c>
      <c r="O9" s="180" t="str">
        <f>"["&amp;O8&amp;"]"</f>
        <v>[14]</v>
      </c>
      <c r="P9" s="180" t="str">
        <f t="shared" si="2"/>
        <v>[15]</v>
      </c>
      <c r="Q9" s="180" t="str">
        <f t="shared" si="2"/>
        <v>[16]</v>
      </c>
      <c r="R9" s="218" t="str">
        <f t="shared" si="2"/>
        <v>[17]</v>
      </c>
      <c r="S9" s="217" t="str">
        <f t="shared" si="2"/>
        <v>[18]</v>
      </c>
      <c r="T9" s="180" t="str">
        <f t="shared" si="2"/>
        <v>[19]</v>
      </c>
      <c r="U9" s="180" t="str">
        <f t="shared" si="2"/>
        <v>[20]</v>
      </c>
      <c r="V9" s="218" t="str">
        <f t="shared" si="2"/>
        <v>[21]</v>
      </c>
      <c r="W9" s="568" t="str">
        <f t="shared" si="2"/>
        <v>[22]</v>
      </c>
      <c r="X9" s="180" t="str">
        <f t="shared" si="2"/>
        <v>[23]</v>
      </c>
      <c r="Y9" s="180" t="str">
        <f t="shared" si="2"/>
        <v>[24]</v>
      </c>
      <c r="Z9" s="218" t="str">
        <f t="shared" si="2"/>
        <v>[25]</v>
      </c>
      <c r="AA9" s="222"/>
      <c r="AC9" s="182"/>
    </row>
    <row r="10" spans="1:29" ht="4.5" customHeight="1" x14ac:dyDescent="0.25">
      <c r="A10" s="175"/>
      <c r="B10" s="211"/>
      <c r="C10" s="211"/>
      <c r="D10" s="211"/>
      <c r="E10" s="211"/>
      <c r="F10" s="215"/>
      <c r="G10" s="216"/>
      <c r="H10" s="211"/>
      <c r="I10" s="211"/>
      <c r="J10" s="215"/>
      <c r="K10" s="216"/>
      <c r="L10" s="211"/>
      <c r="M10" s="215"/>
      <c r="N10" s="217"/>
      <c r="O10" s="180"/>
      <c r="P10" s="211"/>
      <c r="Q10" s="211"/>
      <c r="R10" s="215"/>
      <c r="S10" s="216"/>
      <c r="T10" s="211"/>
      <c r="U10" s="211"/>
      <c r="V10" s="215"/>
      <c r="W10" s="569"/>
      <c r="X10" s="211"/>
      <c r="Y10" s="211"/>
      <c r="Z10" s="215"/>
      <c r="AA10" s="536"/>
      <c r="AB10" s="207"/>
      <c r="AC10" s="214"/>
    </row>
    <row r="11" spans="1:29" ht="4.5" customHeight="1" x14ac:dyDescent="0.25">
      <c r="C11" s="4"/>
      <c r="D11" s="4"/>
      <c r="E11" s="183"/>
      <c r="F11" s="212"/>
      <c r="G11" s="213"/>
      <c r="H11" s="183"/>
      <c r="I11" s="183"/>
      <c r="J11" s="212"/>
      <c r="K11" s="213"/>
      <c r="L11" s="183"/>
      <c r="M11" s="212"/>
      <c r="N11" s="213"/>
      <c r="O11" s="183"/>
      <c r="P11" s="183"/>
      <c r="Q11" s="183"/>
      <c r="R11" s="212"/>
      <c r="S11" s="213"/>
      <c r="T11" s="183"/>
      <c r="U11" s="183"/>
      <c r="V11" s="212"/>
      <c r="W11" s="564"/>
      <c r="X11" s="183"/>
      <c r="Y11" s="183"/>
      <c r="Z11" s="212"/>
      <c r="AA11" s="222"/>
      <c r="AB11" s="182"/>
      <c r="AC11" s="182"/>
    </row>
    <row r="12" spans="1:29" hidden="1" outlineLevel="1" x14ac:dyDescent="0.25">
      <c r="A12" s="180">
        <v>2022</v>
      </c>
      <c r="B12" s="180"/>
      <c r="C12" s="4"/>
      <c r="D12" s="4"/>
      <c r="E12" s="183"/>
      <c r="F12" s="212"/>
      <c r="G12" s="213"/>
      <c r="H12" s="183"/>
      <c r="I12" s="183"/>
      <c r="J12" s="212"/>
      <c r="K12" s="570">
        <f>'Soo Green_Backup'!$C$27</f>
        <v>149.21249999999998</v>
      </c>
      <c r="L12" s="270">
        <f>'Soo Green_Backup'!$D$42</f>
        <v>115.39146964788118</v>
      </c>
      <c r="M12" s="212"/>
      <c r="N12" s="570">
        <f t="shared" ref="N12:N39" si="3">K12/$AC12</f>
        <v>149.21249999999998</v>
      </c>
      <c r="O12" s="270">
        <f>'Soo Green_Backup'!$D$43</f>
        <v>74.623101264675498</v>
      </c>
      <c r="P12" s="183"/>
      <c r="Q12" s="183"/>
      <c r="R12" s="212"/>
      <c r="S12" s="213"/>
      <c r="T12" s="183"/>
      <c r="U12" s="183"/>
      <c r="V12" s="212"/>
      <c r="W12" s="564"/>
      <c r="X12" s="183"/>
      <c r="Y12" s="183"/>
      <c r="Z12" s="212"/>
      <c r="AA12" s="183"/>
      <c r="AB12" s="7">
        <v>0</v>
      </c>
      <c r="AC12" s="203">
        <v>1</v>
      </c>
    </row>
    <row r="13" spans="1:29" hidden="1" outlineLevel="1" x14ac:dyDescent="0.25">
      <c r="A13" s="180">
        <v>2023</v>
      </c>
      <c r="B13" s="180"/>
      <c r="C13" s="4"/>
      <c r="D13" s="4"/>
      <c r="E13" s="183"/>
      <c r="F13" s="212"/>
      <c r="G13" s="213"/>
      <c r="H13" s="183"/>
      <c r="I13" s="183"/>
      <c r="J13" s="212"/>
      <c r="K13" s="570">
        <f>'Soo Green_Backup'!$C$27</f>
        <v>149.21249999999998</v>
      </c>
      <c r="L13" s="270">
        <f>'Soo Green_Backup'!$D$42</f>
        <v>115.39146964788118</v>
      </c>
      <c r="M13" s="212"/>
      <c r="N13" s="570">
        <f t="shared" si="3"/>
        <v>143.80541634541245</v>
      </c>
      <c r="O13" s="270">
        <f>'Soo Green_Backup'!$D$43</f>
        <v>74.623101264675498</v>
      </c>
      <c r="P13" s="183"/>
      <c r="Q13" s="183"/>
      <c r="R13" s="212"/>
      <c r="S13" s="213"/>
      <c r="T13" s="183"/>
      <c r="U13" s="183"/>
      <c r="V13" s="212"/>
      <c r="W13" s="564"/>
      <c r="X13" s="183"/>
      <c r="Y13" s="183"/>
      <c r="Z13" s="212"/>
      <c r="AA13" s="183"/>
      <c r="AB13" s="7">
        <v>3.7600000000000001E-2</v>
      </c>
      <c r="AC13" s="203">
        <f>AC12*(1+AB13)</f>
        <v>1.0376000000000001</v>
      </c>
    </row>
    <row r="14" spans="1:29" hidden="1" outlineLevel="1" x14ac:dyDescent="0.25">
      <c r="A14" s="180">
        <v>2024</v>
      </c>
      <c r="B14" s="180"/>
      <c r="C14" s="4"/>
      <c r="D14" s="4"/>
      <c r="E14" s="183"/>
      <c r="F14" s="212"/>
      <c r="G14" s="213"/>
      <c r="H14" s="183"/>
      <c r="I14" s="183"/>
      <c r="J14" s="212"/>
      <c r="K14" s="570">
        <f>'Soo Green_Backup'!$C$27</f>
        <v>149.21249999999998</v>
      </c>
      <c r="L14" s="270">
        <f>'Soo Green_Backup'!$D$42</f>
        <v>115.39146964788118</v>
      </c>
      <c r="M14" s="212"/>
      <c r="N14" s="570">
        <f t="shared" si="3"/>
        <v>140.29796716625609</v>
      </c>
      <c r="O14" s="270">
        <f>'Soo Green_Backup'!$D$43</f>
        <v>74.623101264675498</v>
      </c>
      <c r="P14" s="183"/>
      <c r="Q14" s="183"/>
      <c r="R14" s="212"/>
      <c r="S14" s="213"/>
      <c r="T14" s="183"/>
      <c r="U14" s="183"/>
      <c r="V14" s="212"/>
      <c r="W14" s="564"/>
      <c r="X14" s="183"/>
      <c r="Y14" s="183"/>
      <c r="Z14" s="212"/>
      <c r="AA14" s="183"/>
      <c r="AB14" s="7">
        <v>2.5000000000000001E-2</v>
      </c>
      <c r="AC14" s="203">
        <f t="shared" ref="AC14:AC39" si="4">AC13*(1+AB14)</f>
        <v>1.0635399999999999</v>
      </c>
    </row>
    <row r="15" spans="1:29" hidden="1" outlineLevel="1" x14ac:dyDescent="0.25">
      <c r="A15" s="180">
        <v>2025</v>
      </c>
      <c r="B15" s="180"/>
      <c r="C15" s="4"/>
      <c r="D15" s="4"/>
      <c r="E15" s="183"/>
      <c r="F15" s="212"/>
      <c r="G15" s="213"/>
      <c r="H15" s="183"/>
      <c r="I15" s="183"/>
      <c r="J15" s="212"/>
      <c r="K15" s="570">
        <f>'Soo Green_Backup'!$C$27</f>
        <v>149.21249999999998</v>
      </c>
      <c r="L15" s="270">
        <f>'Soo Green_Backup'!$D$42</f>
        <v>115.39146964788118</v>
      </c>
      <c r="M15" s="212"/>
      <c r="N15" s="570">
        <f t="shared" si="3"/>
        <v>136.87606552805471</v>
      </c>
      <c r="O15" s="270">
        <f>'Soo Green_Backup'!$D$43</f>
        <v>74.623101264675498</v>
      </c>
      <c r="P15" s="183"/>
      <c r="Q15" s="183"/>
      <c r="R15" s="212"/>
      <c r="S15" s="213"/>
      <c r="T15" s="183"/>
      <c r="U15" s="183"/>
      <c r="V15" s="212"/>
      <c r="W15" s="564"/>
      <c r="X15" s="183"/>
      <c r="Y15" s="183"/>
      <c r="Z15" s="212"/>
      <c r="AA15" s="183"/>
      <c r="AB15" s="7">
        <f>$AB$14</f>
        <v>2.5000000000000001E-2</v>
      </c>
      <c r="AC15" s="203">
        <f t="shared" si="4"/>
        <v>1.0901284999999998</v>
      </c>
    </row>
    <row r="16" spans="1:29" hidden="1" outlineLevel="1" x14ac:dyDescent="0.25">
      <c r="A16" s="180">
        <v>2026</v>
      </c>
      <c r="B16" s="180"/>
      <c r="C16" s="4"/>
      <c r="D16" s="4"/>
      <c r="E16" s="183"/>
      <c r="F16" s="212"/>
      <c r="G16" s="213"/>
      <c r="H16" s="183"/>
      <c r="I16" s="183"/>
      <c r="J16" s="212"/>
      <c r="K16" s="570">
        <f>'Soo Green_Backup'!$C$27</f>
        <v>149.21249999999998</v>
      </c>
      <c r="L16" s="270">
        <f>'Soo Green_Backup'!$D$42</f>
        <v>115.39146964788118</v>
      </c>
      <c r="M16" s="212"/>
      <c r="N16" s="570">
        <f t="shared" si="3"/>
        <v>133.53762490541925</v>
      </c>
      <c r="O16" s="270">
        <f>'Soo Green_Backup'!$D$43</f>
        <v>74.623101264675498</v>
      </c>
      <c r="P16" s="183"/>
      <c r="Q16" s="183"/>
      <c r="R16" s="212"/>
      <c r="S16" s="213"/>
      <c r="T16" s="183"/>
      <c r="U16" s="183"/>
      <c r="V16" s="212"/>
      <c r="W16" s="564"/>
      <c r="X16" s="183"/>
      <c r="Y16" s="183"/>
      <c r="Z16" s="212"/>
      <c r="AA16" s="183"/>
      <c r="AB16" s="7">
        <f t="shared" ref="AB16:AB39" si="5">$AB$14</f>
        <v>2.5000000000000001E-2</v>
      </c>
      <c r="AC16" s="203">
        <f t="shared" si="4"/>
        <v>1.1173817124999996</v>
      </c>
    </row>
    <row r="17" spans="1:29" hidden="1" outlineLevel="1" x14ac:dyDescent="0.25">
      <c r="A17" s="180">
        <v>2027</v>
      </c>
      <c r="B17" s="180"/>
      <c r="C17" s="4"/>
      <c r="D17" s="4"/>
      <c r="E17" s="183"/>
      <c r="F17" s="212"/>
      <c r="G17" s="213"/>
      <c r="H17" s="183"/>
      <c r="I17" s="183"/>
      <c r="J17" s="212"/>
      <c r="K17" s="570">
        <f>'Soo Green_Backup'!$C$27</f>
        <v>149.21249999999998</v>
      </c>
      <c r="L17" s="270">
        <f>'Soo Green_Backup'!$D$42</f>
        <v>115.39146964788118</v>
      </c>
      <c r="M17" s="212"/>
      <c r="N17" s="570">
        <f t="shared" si="3"/>
        <v>130.28060966382367</v>
      </c>
      <c r="O17" s="270">
        <f>'Soo Green_Backup'!$D$43</f>
        <v>74.623101264675498</v>
      </c>
      <c r="P17" s="183"/>
      <c r="Q17" s="183"/>
      <c r="R17" s="212"/>
      <c r="S17" s="213"/>
      <c r="T17" s="183"/>
      <c r="U17" s="183"/>
      <c r="V17" s="212"/>
      <c r="W17" s="564"/>
      <c r="X17" s="183"/>
      <c r="Y17" s="183"/>
      <c r="Z17" s="212"/>
      <c r="AA17" s="183"/>
      <c r="AB17" s="7">
        <f t="shared" si="5"/>
        <v>2.5000000000000001E-2</v>
      </c>
      <c r="AC17" s="203">
        <f t="shared" si="4"/>
        <v>1.1453162553124996</v>
      </c>
    </row>
    <row r="18" spans="1:29" hidden="1" outlineLevel="1" x14ac:dyDescent="0.25">
      <c r="A18" s="180">
        <v>2028</v>
      </c>
      <c r="B18" s="180"/>
      <c r="C18" s="4"/>
      <c r="D18" s="4"/>
      <c r="E18" s="183"/>
      <c r="F18" s="212"/>
      <c r="G18" s="213"/>
      <c r="H18" s="183"/>
      <c r="I18" s="183"/>
      <c r="J18" s="212"/>
      <c r="K18" s="570">
        <f>'Soo Green_Backup'!$C$27</f>
        <v>149.21249999999998</v>
      </c>
      <c r="L18" s="270">
        <f>'Soo Green_Backup'!$D$42</f>
        <v>115.39146964788118</v>
      </c>
      <c r="M18" s="212"/>
      <c r="N18" s="570">
        <f t="shared" si="3"/>
        <v>127.10303381836458</v>
      </c>
      <c r="O18" s="270">
        <f>'Soo Green_Backup'!$D$43</f>
        <v>74.623101264675498</v>
      </c>
      <c r="P18" s="183"/>
      <c r="Q18" s="183"/>
      <c r="R18" s="212"/>
      <c r="S18" s="213"/>
      <c r="T18" s="183"/>
      <c r="U18" s="183"/>
      <c r="V18" s="212"/>
      <c r="W18" s="564"/>
      <c r="X18" s="183"/>
      <c r="Y18" s="183"/>
      <c r="Z18" s="212"/>
      <c r="AA18" s="183"/>
      <c r="AB18" s="7">
        <f t="shared" si="5"/>
        <v>2.5000000000000001E-2</v>
      </c>
      <c r="AC18" s="203">
        <f t="shared" si="4"/>
        <v>1.1739491616953119</v>
      </c>
    </row>
    <row r="19" spans="1:29" hidden="1" outlineLevel="1" x14ac:dyDescent="0.25">
      <c r="A19" s="180">
        <v>2029</v>
      </c>
      <c r="B19" s="180"/>
      <c r="C19" s="4"/>
      <c r="D19" s="4"/>
      <c r="E19" s="183"/>
      <c r="F19" s="212"/>
      <c r="G19" s="213"/>
      <c r="H19" s="183"/>
      <c r="I19" s="183"/>
      <c r="J19" s="212"/>
      <c r="K19" s="570">
        <f>'Soo Green_Backup'!$C$27</f>
        <v>149.21249999999998</v>
      </c>
      <c r="L19" s="270">
        <f>'Soo Green_Backup'!$D$42</f>
        <v>115.39146964788118</v>
      </c>
      <c r="M19" s="212"/>
      <c r="N19" s="570">
        <f t="shared" si="3"/>
        <v>124.00295982279472</v>
      </c>
      <c r="O19" s="270">
        <f>'Soo Green_Backup'!$D$43</f>
        <v>74.623101264675498</v>
      </c>
      <c r="P19" s="183"/>
      <c r="Q19" s="183"/>
      <c r="R19" s="212"/>
      <c r="S19" s="213"/>
      <c r="T19" s="183"/>
      <c r="U19" s="183"/>
      <c r="V19" s="212"/>
      <c r="W19" s="564"/>
      <c r="X19" s="183"/>
      <c r="Y19" s="183"/>
      <c r="Z19" s="212"/>
      <c r="AA19" s="183"/>
      <c r="AB19" s="7">
        <f t="shared" si="5"/>
        <v>2.5000000000000001E-2</v>
      </c>
      <c r="AC19" s="203">
        <f t="shared" si="4"/>
        <v>1.2032978907376946</v>
      </c>
    </row>
    <row r="20" spans="1:29" collapsed="1" x14ac:dyDescent="0.25">
      <c r="A20" s="180">
        <v>2030</v>
      </c>
      <c r="B20" s="180">
        <v>1</v>
      </c>
      <c r="C20" s="185">
        <f>'Energy Revenue'!R8</f>
        <v>374811342.33453524</v>
      </c>
      <c r="D20" s="185">
        <f>'Cap Revenue'!F9</f>
        <v>53706328.237563245</v>
      </c>
      <c r="E20" s="185">
        <f>'Energy Mkt Benefits'!R11</f>
        <v>160750959.2481823</v>
      </c>
      <c r="F20" s="204">
        <f>'Energy Revenue'!P8</f>
        <v>12850599.342334481</v>
      </c>
      <c r="G20" s="205">
        <f t="shared" ref="G20:G39" si="6">C20/$AC20</f>
        <v>303889506.57381922</v>
      </c>
      <c r="H20" s="185">
        <f t="shared" ref="H20:H39" si="7">D20/$AC20</f>
        <v>43544011.999075688</v>
      </c>
      <c r="I20" s="185">
        <f t="shared" ref="I20:I39" si="8">E20/$AC20</f>
        <v>130333648.34407023</v>
      </c>
      <c r="J20" s="204">
        <f>F20</f>
        <v>12850599.342334481</v>
      </c>
      <c r="K20" s="570">
        <f>'Soo Green_Backup'!$C$27</f>
        <v>149.21249999999998</v>
      </c>
      <c r="L20" s="270">
        <f>'Soo Green_Backup'!$D$42</f>
        <v>115.39146964788118</v>
      </c>
      <c r="M20" s="204">
        <f>L20*J20</f>
        <v>1482849543.9680712</v>
      </c>
      <c r="N20" s="570">
        <f t="shared" si="3"/>
        <v>120.97849738809244</v>
      </c>
      <c r="O20" s="270">
        <f>'Soo Green_Backup'!$D$43</f>
        <v>74.623101264675498</v>
      </c>
      <c r="P20" s="185">
        <f t="shared" ref="P20:P39" si="9">O20*J20</f>
        <v>958951576.03479838</v>
      </c>
      <c r="Q20" s="185">
        <f t="shared" ref="Q20:Q39" si="10">SUM(G20:H20)</f>
        <v>347433518.57289493</v>
      </c>
      <c r="R20" s="204">
        <f>Q20-P20</f>
        <v>-611518057.46190345</v>
      </c>
      <c r="S20" s="205">
        <f>G20*$AA20</f>
        <v>297930888.79786199</v>
      </c>
      <c r="T20" s="185">
        <f>H20*$AA20</f>
        <v>42690207.842231065</v>
      </c>
      <c r="U20" s="185">
        <f>I20*$AA20</f>
        <v>127778086.61183354</v>
      </c>
      <c r="V20" s="185">
        <f>F20</f>
        <v>12850599.342334481</v>
      </c>
      <c r="W20" s="571">
        <f t="shared" ref="W20:Z39" si="11">O20*$AA20</f>
        <v>73.159903200662256</v>
      </c>
      <c r="X20" s="185">
        <f t="shared" si="11"/>
        <v>940148603.95568466</v>
      </c>
      <c r="Y20" s="185">
        <f t="shared" si="11"/>
        <v>340621096.64009303</v>
      </c>
      <c r="Z20" s="204">
        <f>Y20-X20</f>
        <v>-599527507.31559157</v>
      </c>
      <c r="AA20" s="270">
        <f t="shared" ref="AA20:AA39" si="12">(1/(1+discount_rate))^(B20-0)</f>
        <v>0.98039215686274506</v>
      </c>
      <c r="AB20" s="7">
        <f t="shared" si="5"/>
        <v>2.5000000000000001E-2</v>
      </c>
      <c r="AC20" s="203">
        <f t="shared" si="4"/>
        <v>1.2333803380061368</v>
      </c>
    </row>
    <row r="21" spans="1:29" x14ac:dyDescent="0.25">
      <c r="A21" s="180">
        <v>2031</v>
      </c>
      <c r="B21" s="180">
        <f>1+B20</f>
        <v>2</v>
      </c>
      <c r="C21" s="185">
        <f>'Energy Revenue'!R9</f>
        <v>379315316.97451508</v>
      </c>
      <c r="D21" s="185">
        <f>'Cap Revenue'!F10</f>
        <v>68902492.989089504</v>
      </c>
      <c r="E21" s="185">
        <f>'Energy Mkt Benefits'!R12</f>
        <v>138847414.80002403</v>
      </c>
      <c r="F21" s="204">
        <f>'Energy Revenue'!P9</f>
        <v>12843337.791726798</v>
      </c>
      <c r="G21" s="205">
        <f t="shared" si="6"/>
        <v>300040232.90643251</v>
      </c>
      <c r="H21" s="185">
        <f t="shared" si="7"/>
        <v>54502202.044398934</v>
      </c>
      <c r="I21" s="185">
        <f t="shared" si="8"/>
        <v>109828970.28082374</v>
      </c>
      <c r="J21" s="204">
        <f t="shared" ref="J21:J39" si="13">F21</f>
        <v>12843337.791726798</v>
      </c>
      <c r="K21" s="570">
        <f>'Soo Green_Backup'!$C$27</f>
        <v>149.21249999999998</v>
      </c>
      <c r="L21" s="270">
        <f>'Soo Green_Backup'!$D$42</f>
        <v>115.39146964788118</v>
      </c>
      <c r="M21" s="204">
        <f t="shared" ref="M21:M39" si="14">L21*J21</f>
        <v>1482011622.9715281</v>
      </c>
      <c r="N21" s="570">
        <f t="shared" si="3"/>
        <v>118.02780232984628</v>
      </c>
      <c r="O21" s="270">
        <f>'Soo Green_Backup'!$D$43</f>
        <v>74.623101264675498</v>
      </c>
      <c r="P21" s="185">
        <f t="shared" si="9"/>
        <v>958409696.60846257</v>
      </c>
      <c r="Q21" s="185">
        <f t="shared" si="10"/>
        <v>354542434.95083141</v>
      </c>
      <c r="R21" s="204">
        <f t="shared" ref="R21:R39" si="15">Q21-P21</f>
        <v>-603867261.65763116</v>
      </c>
      <c r="S21" s="205">
        <f t="shared" ref="S21:U39" si="16">G21*$AA21</f>
        <v>288389304.98503697</v>
      </c>
      <c r="T21" s="185">
        <f t="shared" si="16"/>
        <v>52385815.113801353</v>
      </c>
      <c r="U21" s="185">
        <f t="shared" si="16"/>
        <v>105564177.50944227</v>
      </c>
      <c r="V21" s="185">
        <f t="shared" ref="V21:V39" si="17">F21</f>
        <v>12843337.791726798</v>
      </c>
      <c r="W21" s="571">
        <f t="shared" si="11"/>
        <v>71.725395294766912</v>
      </c>
      <c r="X21" s="185">
        <f t="shared" si="11"/>
        <v>921193480.01582325</v>
      </c>
      <c r="Y21" s="185">
        <f t="shared" si="11"/>
        <v>340775120.09883833</v>
      </c>
      <c r="Z21" s="204">
        <f t="shared" si="11"/>
        <v>-580418359.91698492</v>
      </c>
      <c r="AA21" s="270">
        <f t="shared" si="12"/>
        <v>0.96116878123798533</v>
      </c>
      <c r="AB21" s="7">
        <f t="shared" si="5"/>
        <v>2.5000000000000001E-2</v>
      </c>
      <c r="AC21" s="203">
        <f t="shared" si="4"/>
        <v>1.2642148464562901</v>
      </c>
    </row>
    <row r="22" spans="1:29" x14ac:dyDescent="0.25">
      <c r="A22" s="180">
        <v>2032</v>
      </c>
      <c r="B22" s="180">
        <f t="shared" ref="B22:B39" si="18">1+B21</f>
        <v>3</v>
      </c>
      <c r="C22" s="185">
        <f>'Energy Revenue'!R10</f>
        <v>380664823.27372724</v>
      </c>
      <c r="D22" s="185">
        <f>'Cap Revenue'!F11</f>
        <v>67938482.286083654</v>
      </c>
      <c r="E22" s="185">
        <f>'Energy Mkt Benefits'!R13</f>
        <v>175090803.08836937</v>
      </c>
      <c r="F22" s="204">
        <f>'Energy Revenue'!P10</f>
        <v>12852098.944366684</v>
      </c>
      <c r="G22" s="205">
        <f t="shared" si="6"/>
        <v>293763608.63821149</v>
      </c>
      <c r="H22" s="185">
        <f t="shared" si="7"/>
        <v>52428941.424440242</v>
      </c>
      <c r="I22" s="185">
        <f t="shared" si="8"/>
        <v>135119672.24146676</v>
      </c>
      <c r="J22" s="204">
        <f t="shared" si="13"/>
        <v>12852098.944366684</v>
      </c>
      <c r="K22" s="570">
        <f>'Soo Green_Backup'!$C$27</f>
        <v>149.21249999999998</v>
      </c>
      <c r="L22" s="270">
        <f>'Soo Green_Backup'!$D$42</f>
        <v>115.39146964788118</v>
      </c>
      <c r="M22" s="204">
        <f t="shared" si="14"/>
        <v>1483022585.2504539</v>
      </c>
      <c r="N22" s="570">
        <f t="shared" si="3"/>
        <v>115.14907544375249</v>
      </c>
      <c r="O22" s="270">
        <f>'Soo Green_Backup'!$D$43</f>
        <v>74.623101264675498</v>
      </c>
      <c r="P22" s="185">
        <f t="shared" si="9"/>
        <v>959063480.98910415</v>
      </c>
      <c r="Q22" s="185">
        <f t="shared" si="10"/>
        <v>346192550.06265175</v>
      </c>
      <c r="R22" s="204">
        <f t="shared" si="15"/>
        <v>-612870930.9264524</v>
      </c>
      <c r="S22" s="205">
        <f t="shared" si="16"/>
        <v>276820009.49692374</v>
      </c>
      <c r="T22" s="185">
        <f t="shared" si="16"/>
        <v>49404962.480908774</v>
      </c>
      <c r="U22" s="185">
        <f t="shared" si="16"/>
        <v>127326284.98981042</v>
      </c>
      <c r="V22" s="185">
        <f t="shared" si="17"/>
        <v>12852098.944366684</v>
      </c>
      <c r="W22" s="571">
        <f t="shared" si="11"/>
        <v>70.319014994869519</v>
      </c>
      <c r="X22" s="185">
        <f t="shared" si="11"/>
        <v>903746938.3844676</v>
      </c>
      <c r="Y22" s="185">
        <f t="shared" si="11"/>
        <v>326224971.97783256</v>
      </c>
      <c r="Z22" s="204">
        <f t="shared" si="11"/>
        <v>-577521966.40663505</v>
      </c>
      <c r="AA22" s="270">
        <f t="shared" si="12"/>
        <v>0.94232233454704439</v>
      </c>
      <c r="AB22" s="7">
        <f t="shared" si="5"/>
        <v>2.5000000000000001E-2</v>
      </c>
      <c r="AC22" s="203">
        <f t="shared" si="4"/>
        <v>1.2958202176176972</v>
      </c>
    </row>
    <row r="23" spans="1:29" x14ac:dyDescent="0.25">
      <c r="A23" s="180">
        <v>2033</v>
      </c>
      <c r="B23" s="180">
        <f t="shared" si="18"/>
        <v>4</v>
      </c>
      <c r="C23" s="185">
        <f>'Energy Revenue'!R11</f>
        <v>391299294.44435865</v>
      </c>
      <c r="D23" s="185">
        <f>'Cap Revenue'!F12</f>
        <v>133585719.06998934</v>
      </c>
      <c r="E23" s="185">
        <f>'Energy Mkt Benefits'!R14</f>
        <v>154553588.74776459</v>
      </c>
      <c r="F23" s="204">
        <f>'Energy Revenue'!P11</f>
        <v>13118911.879411019</v>
      </c>
      <c r="G23" s="205">
        <f t="shared" si="6"/>
        <v>294605226.88544506</v>
      </c>
      <c r="H23" s="185">
        <f t="shared" si="7"/>
        <v>100575318.26412654</v>
      </c>
      <c r="I23" s="185">
        <f t="shared" si="8"/>
        <v>116361812.3657759</v>
      </c>
      <c r="J23" s="204">
        <f t="shared" si="13"/>
        <v>13118911.879411019</v>
      </c>
      <c r="K23" s="570">
        <f>'Soo Green_Backup'!$C$27</f>
        <v>149.21249999999998</v>
      </c>
      <c r="L23" s="270">
        <f>'Soo Green_Backup'!$D$42</f>
        <v>115.39146964788118</v>
      </c>
      <c r="M23" s="204">
        <f t="shared" si="14"/>
        <v>1513810521.9462845</v>
      </c>
      <c r="N23" s="570">
        <f t="shared" si="3"/>
        <v>112.34056140853902</v>
      </c>
      <c r="O23" s="270">
        <f>'Soo Green_Backup'!$D$43</f>
        <v>74.623101264675498</v>
      </c>
      <c r="P23" s="185">
        <f t="shared" si="9"/>
        <v>978973889.65964282</v>
      </c>
      <c r="Q23" s="185">
        <f t="shared" si="10"/>
        <v>395180545.1495716</v>
      </c>
      <c r="R23" s="204">
        <f t="shared" si="15"/>
        <v>-583793344.51007128</v>
      </c>
      <c r="S23" s="205">
        <f t="shared" si="16"/>
        <v>272169691.34162182</v>
      </c>
      <c r="T23" s="185">
        <f t="shared" si="16"/>
        <v>92916047.749474227</v>
      </c>
      <c r="U23" s="185">
        <f t="shared" si="16"/>
        <v>107500328.11827753</v>
      </c>
      <c r="V23" s="185">
        <f t="shared" si="17"/>
        <v>13118911.879411019</v>
      </c>
      <c r="W23" s="571">
        <f t="shared" si="11"/>
        <v>68.940210779283831</v>
      </c>
      <c r="X23" s="185">
        <f t="shared" si="11"/>
        <v>904420550.16144633</v>
      </c>
      <c r="Y23" s="185">
        <f t="shared" si="11"/>
        <v>365085739.09109604</v>
      </c>
      <c r="Z23" s="204">
        <f t="shared" si="11"/>
        <v>-539334811.07035029</v>
      </c>
      <c r="AA23" s="270">
        <f t="shared" si="12"/>
        <v>0.92384542602651409</v>
      </c>
      <c r="AB23" s="7">
        <f t="shared" si="5"/>
        <v>2.5000000000000001E-2</v>
      </c>
      <c r="AC23" s="203">
        <f t="shared" si="4"/>
        <v>1.3282157230581395</v>
      </c>
    </row>
    <row r="24" spans="1:29" x14ac:dyDescent="0.25">
      <c r="A24" s="180">
        <v>2034</v>
      </c>
      <c r="B24" s="180">
        <f t="shared" si="18"/>
        <v>5</v>
      </c>
      <c r="C24" s="185">
        <f>'Energy Revenue'!R12</f>
        <v>392019753.42864984</v>
      </c>
      <c r="D24" s="185">
        <f>'Cap Revenue'!F13</f>
        <v>140794202.75065383</v>
      </c>
      <c r="E24" s="185">
        <f>'Energy Mkt Benefits'!R15</f>
        <v>175621577.2252512</v>
      </c>
      <c r="F24" s="204">
        <f>'Energy Revenue'!P12</f>
        <v>12856337.41439745</v>
      </c>
      <c r="G24" s="205">
        <f t="shared" si="6"/>
        <v>287948929.82245618</v>
      </c>
      <c r="H24" s="185">
        <f t="shared" si="7"/>
        <v>103417084.60524175</v>
      </c>
      <c r="I24" s="185">
        <f t="shared" si="8"/>
        <v>128998716.96120284</v>
      </c>
      <c r="J24" s="204">
        <f t="shared" si="13"/>
        <v>12856337.41439745</v>
      </c>
      <c r="K24" s="570">
        <f>'Soo Green_Backup'!$C$27</f>
        <v>149.21249999999998</v>
      </c>
      <c r="L24" s="270">
        <f>'Soo Green_Backup'!$D$42</f>
        <v>115.39146964788118</v>
      </c>
      <c r="M24" s="204">
        <f t="shared" si="14"/>
        <v>1483511668.5363626</v>
      </c>
      <c r="N24" s="570">
        <f t="shared" si="3"/>
        <v>109.60054771564783</v>
      </c>
      <c r="O24" s="270">
        <f>'Soo Green_Backup'!$D$43</f>
        <v>74.623101264675498</v>
      </c>
      <c r="P24" s="185">
        <f t="shared" si="9"/>
        <v>959379768.76741731</v>
      </c>
      <c r="Q24" s="185">
        <f t="shared" si="10"/>
        <v>391366014.4276979</v>
      </c>
      <c r="R24" s="204">
        <f t="shared" si="15"/>
        <v>-568013754.33971941</v>
      </c>
      <c r="S24" s="205">
        <f t="shared" si="16"/>
        <v>260804217.39775079</v>
      </c>
      <c r="T24" s="185">
        <f t="shared" si="16"/>
        <v>93668039.78975451</v>
      </c>
      <c r="U24" s="185">
        <f t="shared" si="16"/>
        <v>116838112.38029034</v>
      </c>
      <c r="V24" s="185">
        <f t="shared" si="17"/>
        <v>12856337.41439745</v>
      </c>
      <c r="W24" s="571">
        <f t="shared" si="11"/>
        <v>67.58844194047434</v>
      </c>
      <c r="X24" s="185">
        <f t="shared" si="11"/>
        <v>868939814.90015018</v>
      </c>
      <c r="Y24" s="185">
        <f t="shared" si="11"/>
        <v>354472257.1875053</v>
      </c>
      <c r="Z24" s="204">
        <f t="shared" si="11"/>
        <v>-514467557.71264488</v>
      </c>
      <c r="AA24" s="270">
        <f t="shared" si="12"/>
        <v>0.90573080982991572</v>
      </c>
      <c r="AB24" s="7">
        <f t="shared" si="5"/>
        <v>2.5000000000000001E-2</v>
      </c>
      <c r="AC24" s="203">
        <f t="shared" si="4"/>
        <v>1.3614211161345928</v>
      </c>
    </row>
    <row r="25" spans="1:29" x14ac:dyDescent="0.25">
      <c r="A25" s="180">
        <v>2035</v>
      </c>
      <c r="B25" s="180">
        <f t="shared" si="18"/>
        <v>6</v>
      </c>
      <c r="C25" s="185">
        <f>'Energy Revenue'!R13</f>
        <v>404040786.4448964</v>
      </c>
      <c r="D25" s="185">
        <f>'Cap Revenue'!F14</f>
        <v>195275237.05178452</v>
      </c>
      <c r="E25" s="185">
        <f>'Energy Mkt Benefits'!R16</f>
        <v>187448196.69274521</v>
      </c>
      <c r="F25" s="204">
        <f>'Energy Revenue'!P13</f>
        <v>12835395.124119302</v>
      </c>
      <c r="G25" s="205">
        <f t="shared" si="6"/>
        <v>289540193.29167074</v>
      </c>
      <c r="H25" s="185">
        <f t="shared" si="7"/>
        <v>139936441.51259843</v>
      </c>
      <c r="I25" s="185">
        <f t="shared" si="8"/>
        <v>134327495.94450781</v>
      </c>
      <c r="J25" s="204">
        <f t="shared" si="13"/>
        <v>12835395.124119302</v>
      </c>
      <c r="K25" s="570">
        <f>'Soo Green_Backup'!$C$27</f>
        <v>149.21249999999998</v>
      </c>
      <c r="L25" s="270">
        <f>'Soo Green_Backup'!$D$42</f>
        <v>115.39146964788118</v>
      </c>
      <c r="M25" s="204">
        <f t="shared" si="14"/>
        <v>1481095106.8833745</v>
      </c>
      <c r="N25" s="570">
        <f t="shared" si="3"/>
        <v>106.92736362502229</v>
      </c>
      <c r="O25" s="270">
        <f>'Soo Green_Backup'!$D$43</f>
        <v>74.623101264675498</v>
      </c>
      <c r="P25" s="185">
        <f t="shared" si="9"/>
        <v>957816990.11927676</v>
      </c>
      <c r="Q25" s="185">
        <f t="shared" si="10"/>
        <v>429476634.80426919</v>
      </c>
      <c r="R25" s="204">
        <f t="shared" si="15"/>
        <v>-528340355.31500757</v>
      </c>
      <c r="S25" s="205">
        <f t="shared" si="16"/>
        <v>257103405.63566202</v>
      </c>
      <c r="T25" s="185">
        <f t="shared" si="16"/>
        <v>124259555.38815922</v>
      </c>
      <c r="U25" s="185">
        <f t="shared" si="16"/>
        <v>119278972.23945469</v>
      </c>
      <c r="V25" s="185">
        <f t="shared" si="17"/>
        <v>12835395.124119302</v>
      </c>
      <c r="W25" s="571">
        <f t="shared" si="11"/>
        <v>66.263178373014071</v>
      </c>
      <c r="X25" s="185">
        <f t="shared" si="11"/>
        <v>850514076.59763229</v>
      </c>
      <c r="Y25" s="185">
        <f t="shared" si="11"/>
        <v>381362961.02382129</v>
      </c>
      <c r="Z25" s="204">
        <f t="shared" si="11"/>
        <v>-469151115.57381099</v>
      </c>
      <c r="AA25" s="270">
        <f t="shared" si="12"/>
        <v>0.88797138218619187</v>
      </c>
      <c r="AB25" s="7">
        <f t="shared" si="5"/>
        <v>2.5000000000000001E-2</v>
      </c>
      <c r="AC25" s="203">
        <f t="shared" si="4"/>
        <v>1.3954566440379574</v>
      </c>
    </row>
    <row r="26" spans="1:29" x14ac:dyDescent="0.25">
      <c r="A26" s="180">
        <v>2036</v>
      </c>
      <c r="B26" s="180">
        <f t="shared" si="18"/>
        <v>7</v>
      </c>
      <c r="C26" s="185">
        <f>'Energy Revenue'!R14</f>
        <v>415582515.84851176</v>
      </c>
      <c r="D26" s="185">
        <f>'Cap Revenue'!F15</f>
        <v>262053905.9058319</v>
      </c>
      <c r="E26" s="185">
        <f>'Energy Mkt Benefits'!R17</f>
        <v>195416549.12431431</v>
      </c>
      <c r="F26" s="204">
        <f>'Energy Revenue'!P14</f>
        <v>12847716.69638812</v>
      </c>
      <c r="G26" s="205">
        <f t="shared" si="6"/>
        <v>290547440.98115379</v>
      </c>
      <c r="H26" s="185">
        <f t="shared" si="7"/>
        <v>183210527.04683506</v>
      </c>
      <c r="I26" s="185">
        <f t="shared" si="8"/>
        <v>136622153.50304607</v>
      </c>
      <c r="J26" s="204">
        <f t="shared" si="13"/>
        <v>12847716.69638812</v>
      </c>
      <c r="K26" s="570">
        <f>'Soo Green_Backup'!$C$27</f>
        <v>149.21249999999998</v>
      </c>
      <c r="L26" s="270">
        <f>'Soo Green_Backup'!$D$42</f>
        <v>115.39146964788118</v>
      </c>
      <c r="M26" s="204">
        <f t="shared" si="14"/>
        <v>1482516911.2158461</v>
      </c>
      <c r="N26" s="570">
        <f t="shared" si="3"/>
        <v>104.31937914636323</v>
      </c>
      <c r="O26" s="270">
        <f>'Soo Green_Backup'!$D$43</f>
        <v>74.623101264675498</v>
      </c>
      <c r="P26" s="185">
        <f t="shared" si="9"/>
        <v>958736464.05443287</v>
      </c>
      <c r="Q26" s="185">
        <f t="shared" si="10"/>
        <v>473757968.02798885</v>
      </c>
      <c r="R26" s="204">
        <f t="shared" si="15"/>
        <v>-484978496.02644402</v>
      </c>
      <c r="S26" s="205">
        <f t="shared" si="16"/>
        <v>252939032.11636874</v>
      </c>
      <c r="T26" s="185">
        <f t="shared" si="16"/>
        <v>159495789.14984196</v>
      </c>
      <c r="U26" s="185">
        <f t="shared" si="16"/>
        <v>118937806.35622929</v>
      </c>
      <c r="V26" s="185">
        <f t="shared" si="17"/>
        <v>12847716.69638812</v>
      </c>
      <c r="W26" s="571">
        <f t="shared" si="11"/>
        <v>64.963900365700056</v>
      </c>
      <c r="X26" s="185">
        <f t="shared" si="11"/>
        <v>834637787.39089894</v>
      </c>
      <c r="Y26" s="185">
        <f t="shared" si="11"/>
        <v>412434821.26621073</v>
      </c>
      <c r="Z26" s="204">
        <f t="shared" si="11"/>
        <v>-422202966.12468827</v>
      </c>
      <c r="AA26" s="270">
        <f t="shared" si="12"/>
        <v>0.87056017861391355</v>
      </c>
      <c r="AB26" s="7">
        <f t="shared" si="5"/>
        <v>2.5000000000000001E-2</v>
      </c>
      <c r="AC26" s="203">
        <f t="shared" si="4"/>
        <v>1.4303430601389062</v>
      </c>
    </row>
    <row r="27" spans="1:29" x14ac:dyDescent="0.25">
      <c r="A27" s="180">
        <v>2037</v>
      </c>
      <c r="B27" s="180">
        <f t="shared" si="18"/>
        <v>8</v>
      </c>
      <c r="C27" s="185">
        <f>'Energy Revenue'!R15</f>
        <v>419298963.34424484</v>
      </c>
      <c r="D27" s="185">
        <f>'Cap Revenue'!F16</f>
        <v>407504849.89044476</v>
      </c>
      <c r="E27" s="185">
        <f>'Energy Mkt Benefits'!R18</f>
        <v>207424044.05322075</v>
      </c>
      <c r="F27" s="204">
        <f>'Energy Revenue'!P15</f>
        <v>12799689.660943752</v>
      </c>
      <c r="G27" s="205">
        <f t="shared" si="6"/>
        <v>285995836.07621539</v>
      </c>
      <c r="H27" s="185">
        <f t="shared" si="7"/>
        <v>277951295.94405198</v>
      </c>
      <c r="I27" s="185">
        <f t="shared" si="8"/>
        <v>141479989.4284662</v>
      </c>
      <c r="J27" s="204">
        <f t="shared" si="13"/>
        <v>12799689.660943752</v>
      </c>
      <c r="K27" s="570">
        <f>'Soo Green_Backup'!$C$27</f>
        <v>149.21249999999998</v>
      </c>
      <c r="L27" s="270">
        <f>'Soo Green_Backup'!$D$42</f>
        <v>115.39146964788118</v>
      </c>
      <c r="M27" s="204">
        <f t="shared" si="14"/>
        <v>1476975001.0130894</v>
      </c>
      <c r="N27" s="570">
        <f t="shared" si="3"/>
        <v>101.77500404523244</v>
      </c>
      <c r="O27" s="270">
        <f>'Soo Green_Backup'!$D$43</f>
        <v>74.623101264675498</v>
      </c>
      <c r="P27" s="185">
        <f t="shared" si="9"/>
        <v>955152537.72502565</v>
      </c>
      <c r="Q27" s="185">
        <f t="shared" si="10"/>
        <v>563947132.02026737</v>
      </c>
      <c r="R27" s="204">
        <f t="shared" si="15"/>
        <v>-391205405.70475829</v>
      </c>
      <c r="S27" s="205">
        <f t="shared" si="16"/>
        <v>244094692.29151529</v>
      </c>
      <c r="T27" s="185">
        <f t="shared" si="16"/>
        <v>237228754.74806139</v>
      </c>
      <c r="U27" s="185">
        <f t="shared" si="16"/>
        <v>120751808.69327463</v>
      </c>
      <c r="V27" s="185">
        <f t="shared" si="17"/>
        <v>12799689.660943752</v>
      </c>
      <c r="W27" s="571">
        <f t="shared" si="11"/>
        <v>63.690098397745153</v>
      </c>
      <c r="X27" s="185">
        <f t="shared" si="11"/>
        <v>815213493.96610892</v>
      </c>
      <c r="Y27" s="185">
        <f t="shared" si="11"/>
        <v>481323447.03957671</v>
      </c>
      <c r="Z27" s="204">
        <f t="shared" si="11"/>
        <v>-333890046.92653221</v>
      </c>
      <c r="AA27" s="270">
        <f t="shared" si="12"/>
        <v>0.85349037119011129</v>
      </c>
      <c r="AB27" s="7">
        <f t="shared" si="5"/>
        <v>2.5000000000000001E-2</v>
      </c>
      <c r="AC27" s="203">
        <f t="shared" si="4"/>
        <v>1.4661016366423787</v>
      </c>
    </row>
    <row r="28" spans="1:29" x14ac:dyDescent="0.25">
      <c r="A28" s="180">
        <v>2038</v>
      </c>
      <c r="B28" s="180">
        <f t="shared" si="18"/>
        <v>9</v>
      </c>
      <c r="C28" s="185">
        <f>'Energy Revenue'!R16</f>
        <v>436346314.79352933</v>
      </c>
      <c r="D28" s="185">
        <f>'Cap Revenue'!F17</f>
        <v>422398566.79551846</v>
      </c>
      <c r="E28" s="185">
        <f>'Energy Mkt Benefits'!R19</f>
        <v>211217158.55345535</v>
      </c>
      <c r="F28" s="204">
        <f>'Energy Revenue'!P16</f>
        <v>12795590.557906089</v>
      </c>
      <c r="G28" s="205">
        <f t="shared" si="6"/>
        <v>290364399.78657854</v>
      </c>
      <c r="H28" s="185">
        <f t="shared" si="7"/>
        <v>281082942.97461206</v>
      </c>
      <c r="I28" s="185">
        <f t="shared" si="8"/>
        <v>140553366.41727066</v>
      </c>
      <c r="J28" s="204">
        <f t="shared" si="13"/>
        <v>12795590.557906089</v>
      </c>
      <c r="K28" s="570">
        <f>'Soo Green_Backup'!$C$27</f>
        <v>149.21249999999998</v>
      </c>
      <c r="L28" s="270">
        <f>'Soo Green_Backup'!$D$42</f>
        <v>115.39146964788118</v>
      </c>
      <c r="M28" s="204">
        <f t="shared" si="14"/>
        <v>1476501999.4893355</v>
      </c>
      <c r="N28" s="570">
        <f t="shared" si="3"/>
        <v>99.2926868733975</v>
      </c>
      <c r="O28" s="270">
        <f>'Soo Green_Backup'!$D$43</f>
        <v>74.623101264675498</v>
      </c>
      <c r="P28" s="185">
        <f t="shared" si="9"/>
        <v>954846649.94395173</v>
      </c>
      <c r="Q28" s="185">
        <f t="shared" si="10"/>
        <v>571447342.76119065</v>
      </c>
      <c r="R28" s="204">
        <f t="shared" si="15"/>
        <v>-383399307.18276107</v>
      </c>
      <c r="S28" s="205">
        <f t="shared" si="16"/>
        <v>242963940.54337332</v>
      </c>
      <c r="T28" s="185">
        <f t="shared" si="16"/>
        <v>235197632.68099073</v>
      </c>
      <c r="U28" s="185">
        <f t="shared" si="16"/>
        <v>117608769.48578045</v>
      </c>
      <c r="V28" s="185">
        <f t="shared" si="17"/>
        <v>12795590.557906089</v>
      </c>
      <c r="W28" s="571">
        <f t="shared" si="11"/>
        <v>62.441272938965838</v>
      </c>
      <c r="X28" s="185">
        <f t="shared" si="11"/>
        <v>798972962.44146824</v>
      </c>
      <c r="Y28" s="185">
        <f t="shared" si="11"/>
        <v>478161573.2243641</v>
      </c>
      <c r="Z28" s="204">
        <f t="shared" si="11"/>
        <v>-320811389.2171042</v>
      </c>
      <c r="AA28" s="270">
        <f t="shared" si="12"/>
        <v>0.83675526587265814</v>
      </c>
      <c r="AB28" s="7">
        <f t="shared" si="5"/>
        <v>2.5000000000000001E-2</v>
      </c>
      <c r="AC28" s="203">
        <f t="shared" si="4"/>
        <v>1.5027541775584381</v>
      </c>
    </row>
    <row r="29" spans="1:29" x14ac:dyDescent="0.25">
      <c r="A29" s="180">
        <v>2039</v>
      </c>
      <c r="B29" s="180">
        <f t="shared" si="18"/>
        <v>10</v>
      </c>
      <c r="C29" s="185">
        <f>'Energy Revenue'!R17</f>
        <v>436153352.05776006</v>
      </c>
      <c r="D29" s="185">
        <f>'Cap Revenue'!F18</f>
        <v>364518267.1566276</v>
      </c>
      <c r="E29" s="185">
        <f>'Energy Mkt Benefits'!R20</f>
        <v>245472004.10857677</v>
      </c>
      <c r="F29" s="204">
        <f>'Energy Revenue'!P17</f>
        <v>13030315.604506744</v>
      </c>
      <c r="G29" s="205">
        <f t="shared" si="6"/>
        <v>283157067.05507249</v>
      </c>
      <c r="H29" s="185">
        <f t="shared" si="7"/>
        <v>236650533.41696909</v>
      </c>
      <c r="I29" s="185">
        <f t="shared" si="8"/>
        <v>159363976.91220871</v>
      </c>
      <c r="J29" s="204">
        <f t="shared" si="13"/>
        <v>13030315.604506744</v>
      </c>
      <c r="K29" s="570">
        <f>'Soo Green_Backup'!$C$27</f>
        <v>149.21249999999998</v>
      </c>
      <c r="L29" s="270">
        <f>'Soo Green_Backup'!$D$42</f>
        <v>115.39146964788118</v>
      </c>
      <c r="M29" s="204">
        <f t="shared" si="14"/>
        <v>1503587267.5797524</v>
      </c>
      <c r="N29" s="570">
        <f t="shared" si="3"/>
        <v>96.870914022826838</v>
      </c>
      <c r="O29" s="270">
        <f>'Soo Green_Backup'!$D$43</f>
        <v>74.623101264675498</v>
      </c>
      <c r="P29" s="185">
        <f t="shared" si="9"/>
        <v>972362560.8657881</v>
      </c>
      <c r="Q29" s="185">
        <f t="shared" si="10"/>
        <v>519807600.47204161</v>
      </c>
      <c r="R29" s="204">
        <f t="shared" si="15"/>
        <v>-452554960.3937465</v>
      </c>
      <c r="S29" s="205">
        <f t="shared" si="16"/>
        <v>232287418.55626398</v>
      </c>
      <c r="T29" s="185">
        <f t="shared" si="16"/>
        <v>194135862.75315917</v>
      </c>
      <c r="U29" s="185">
        <f t="shared" si="16"/>
        <v>130733967.52127387</v>
      </c>
      <c r="V29" s="185">
        <f t="shared" si="17"/>
        <v>13030315.604506744</v>
      </c>
      <c r="W29" s="571">
        <f t="shared" si="11"/>
        <v>61.216934253888077</v>
      </c>
      <c r="X29" s="185">
        <f t="shared" si="11"/>
        <v>797675973.66850126</v>
      </c>
      <c r="Y29" s="185">
        <f t="shared" si="11"/>
        <v>426423281.30942315</v>
      </c>
      <c r="Z29" s="204">
        <f t="shared" si="11"/>
        <v>-371252692.35907805</v>
      </c>
      <c r="AA29" s="270">
        <f t="shared" si="12"/>
        <v>0.82034829987515501</v>
      </c>
      <c r="AB29" s="7">
        <f t="shared" si="5"/>
        <v>2.5000000000000001E-2</v>
      </c>
      <c r="AC29" s="203">
        <f t="shared" si="4"/>
        <v>1.5403230319973988</v>
      </c>
    </row>
    <row r="30" spans="1:29" x14ac:dyDescent="0.25">
      <c r="A30" s="180">
        <v>2040</v>
      </c>
      <c r="B30" s="180">
        <f t="shared" si="18"/>
        <v>11</v>
      </c>
      <c r="C30" s="185">
        <f>'Energy Revenue'!R18</f>
        <v>450685378.53878963</v>
      </c>
      <c r="D30" s="185">
        <f>'Cap Revenue'!F19</f>
        <v>318427317.68035924</v>
      </c>
      <c r="E30" s="185">
        <f>'Energy Mkt Benefits'!R21</f>
        <v>272392588.90308857</v>
      </c>
      <c r="F30" s="204">
        <f>'Energy Revenue'!P18</f>
        <v>12807888.638442865</v>
      </c>
      <c r="G30" s="205">
        <f t="shared" si="6"/>
        <v>285455091.62633103</v>
      </c>
      <c r="H30" s="185">
        <f t="shared" si="7"/>
        <v>201685484.98173758</v>
      </c>
      <c r="I30" s="185">
        <f t="shared" si="8"/>
        <v>172528009.84084374</v>
      </c>
      <c r="J30" s="204">
        <f t="shared" si="13"/>
        <v>12807888.638442865</v>
      </c>
      <c r="K30" s="570">
        <f>'Soo Green_Backup'!$C$27</f>
        <v>149.21249999999998</v>
      </c>
      <c r="L30" s="270">
        <f>'Soo Green_Backup'!$D$42</f>
        <v>115.39146964788118</v>
      </c>
      <c r="M30" s="204">
        <f t="shared" si="14"/>
        <v>1477921093.0763221</v>
      </c>
      <c r="N30" s="570">
        <f t="shared" si="3"/>
        <v>94.508208802757906</v>
      </c>
      <c r="O30" s="270">
        <f>'Soo Green_Backup'!$D$43</f>
        <v>74.623101264675498</v>
      </c>
      <c r="P30" s="185">
        <f t="shared" si="9"/>
        <v>955764370.85320866</v>
      </c>
      <c r="Q30" s="185">
        <f t="shared" si="10"/>
        <v>487140576.60806859</v>
      </c>
      <c r="R30" s="204">
        <f t="shared" si="15"/>
        <v>-468623794.24514008</v>
      </c>
      <c r="S30" s="205">
        <f t="shared" si="16"/>
        <v>229580979.51604629</v>
      </c>
      <c r="T30" s="185">
        <f t="shared" si="16"/>
        <v>162208181.0924162</v>
      </c>
      <c r="U30" s="185">
        <f t="shared" si="16"/>
        <v>138757901.52331388</v>
      </c>
      <c r="V30" s="185">
        <f t="shared" si="17"/>
        <v>12807888.638442865</v>
      </c>
      <c r="W30" s="571">
        <f t="shared" si="11"/>
        <v>60.016602209694184</v>
      </c>
      <c r="X30" s="185">
        <f t="shared" si="11"/>
        <v>768685957.55948699</v>
      </c>
      <c r="Y30" s="185">
        <f t="shared" si="11"/>
        <v>391789160.60846245</v>
      </c>
      <c r="Z30" s="204">
        <f t="shared" si="11"/>
        <v>-376896796.95102459</v>
      </c>
      <c r="AA30" s="270">
        <f t="shared" si="12"/>
        <v>0.80426303909328911</v>
      </c>
      <c r="AB30" s="7">
        <f t="shared" si="5"/>
        <v>2.5000000000000001E-2</v>
      </c>
      <c r="AC30" s="203">
        <f t="shared" si="4"/>
        <v>1.5788311077973336</v>
      </c>
    </row>
    <row r="31" spans="1:29" x14ac:dyDescent="0.25">
      <c r="A31" s="180">
        <v>2041</v>
      </c>
      <c r="B31" s="180">
        <f t="shared" si="18"/>
        <v>12</v>
      </c>
      <c r="C31" s="185">
        <f>'Energy Revenue'!R19</f>
        <v>475398301.53449041</v>
      </c>
      <c r="D31" s="185">
        <f>'Cap Revenue'!F20</f>
        <v>454520630.41188461</v>
      </c>
      <c r="E31" s="185">
        <f>'Energy Mkt Benefits'!R22</f>
        <v>307944566.47240639</v>
      </c>
      <c r="F31" s="204">
        <f>'Energy Revenue'!P19</f>
        <v>12806903.270333949</v>
      </c>
      <c r="G31" s="205">
        <f t="shared" si="6"/>
        <v>293763670.29930282</v>
      </c>
      <c r="H31" s="185">
        <f t="shared" si="7"/>
        <v>280862695.94478363</v>
      </c>
      <c r="I31" s="185">
        <f t="shared" si="8"/>
        <v>190288702.76495636</v>
      </c>
      <c r="J31" s="204">
        <f t="shared" si="13"/>
        <v>12806903.270333949</v>
      </c>
      <c r="K31" s="570">
        <f>'Soo Green_Backup'!$C$27</f>
        <v>149.21249999999998</v>
      </c>
      <c r="L31" s="270">
        <f>'Soo Green_Backup'!$D$42</f>
        <v>115.39146964788118</v>
      </c>
      <c r="M31" s="204">
        <f t="shared" si="14"/>
        <v>1477807390.0020902</v>
      </c>
      <c r="N31" s="570">
        <f t="shared" si="3"/>
        <v>92.203130539276017</v>
      </c>
      <c r="O31" s="270">
        <f>'Soo Green_Backup'!$D$43</f>
        <v>74.623101264675498</v>
      </c>
      <c r="P31" s="185">
        <f t="shared" si="9"/>
        <v>955690839.62903416</v>
      </c>
      <c r="Q31" s="185">
        <f t="shared" si="10"/>
        <v>574626366.2440865</v>
      </c>
      <c r="R31" s="204">
        <f t="shared" si="15"/>
        <v>-381064473.38494766</v>
      </c>
      <c r="S31" s="205">
        <f t="shared" si="16"/>
        <v>231630649.26481989</v>
      </c>
      <c r="T31" s="185">
        <f t="shared" si="16"/>
        <v>221458319.02792755</v>
      </c>
      <c r="U31" s="185">
        <f t="shared" si="16"/>
        <v>150041343.52045429</v>
      </c>
      <c r="V31" s="185">
        <f t="shared" si="17"/>
        <v>12806903.270333949</v>
      </c>
      <c r="W31" s="571">
        <f t="shared" si="11"/>
        <v>58.839806087935472</v>
      </c>
      <c r="X31" s="185">
        <f t="shared" si="11"/>
        <v>753555705.01339626</v>
      </c>
      <c r="Y31" s="185">
        <f t="shared" si="11"/>
        <v>453088968.29274744</v>
      </c>
      <c r="Z31" s="204">
        <f t="shared" si="11"/>
        <v>-300466736.72064883</v>
      </c>
      <c r="AA31" s="270">
        <f t="shared" si="12"/>
        <v>0.78849317558165599</v>
      </c>
      <c r="AB31" s="7">
        <f t="shared" si="5"/>
        <v>2.5000000000000001E-2</v>
      </c>
      <c r="AC31" s="203">
        <f t="shared" si="4"/>
        <v>1.6183018854922668</v>
      </c>
    </row>
    <row r="32" spans="1:29" x14ac:dyDescent="0.25">
      <c r="A32" s="180">
        <v>2042</v>
      </c>
      <c r="B32" s="180">
        <f t="shared" si="18"/>
        <v>13</v>
      </c>
      <c r="C32" s="185">
        <f>'Energy Revenue'!R20</f>
        <v>477354863.1496551</v>
      </c>
      <c r="D32" s="185">
        <f>'Cap Revenue'!F21</f>
        <v>480070736.44718212</v>
      </c>
      <c r="E32" s="185">
        <f>'Energy Mkt Benefits'!R23</f>
        <v>301122840.64856339</v>
      </c>
      <c r="F32" s="204">
        <f>'Energy Revenue'!P20</f>
        <v>12751204.132024102</v>
      </c>
      <c r="G32" s="205">
        <f t="shared" si="6"/>
        <v>287778235.80657572</v>
      </c>
      <c r="H32" s="185">
        <f t="shared" si="7"/>
        <v>289415527.65499139</v>
      </c>
      <c r="I32" s="185">
        <f t="shared" si="8"/>
        <v>181534968.07623506</v>
      </c>
      <c r="J32" s="204">
        <f t="shared" si="13"/>
        <v>12751204.132024102</v>
      </c>
      <c r="K32" s="570">
        <f>'Soo Green_Backup'!$C$27</f>
        <v>149.21249999999998</v>
      </c>
      <c r="L32" s="270">
        <f>'Soo Green_Backup'!$D$42</f>
        <v>115.39146964788118</v>
      </c>
      <c r="M32" s="204">
        <f t="shared" si="14"/>
        <v>1471380184.5743961</v>
      </c>
      <c r="N32" s="570">
        <f t="shared" si="3"/>
        <v>89.954273696854656</v>
      </c>
      <c r="O32" s="270">
        <f>'Soo Green_Backup'!$D$43</f>
        <v>74.623101264675498</v>
      </c>
      <c r="P32" s="185">
        <f t="shared" si="9"/>
        <v>951534397.19058323</v>
      </c>
      <c r="Q32" s="185">
        <f t="shared" si="10"/>
        <v>577193763.46156716</v>
      </c>
      <c r="R32" s="204">
        <f t="shared" si="15"/>
        <v>-374340633.72901607</v>
      </c>
      <c r="S32" s="205">
        <f t="shared" si="16"/>
        <v>222461936.28864068</v>
      </c>
      <c r="T32" s="185">
        <f t="shared" si="16"/>
        <v>223727616.14051443</v>
      </c>
      <c r="U32" s="185">
        <f t="shared" si="16"/>
        <v>140332434.76229912</v>
      </c>
      <c r="V32" s="185">
        <f t="shared" si="17"/>
        <v>12751204.132024102</v>
      </c>
      <c r="W32" s="571">
        <f t="shared" si="11"/>
        <v>57.686084399936732</v>
      </c>
      <c r="X32" s="185">
        <f t="shared" si="11"/>
        <v>735567037.76076436</v>
      </c>
      <c r="Y32" s="185">
        <f t="shared" si="11"/>
        <v>446189552.42915517</v>
      </c>
      <c r="Z32" s="204">
        <f t="shared" si="11"/>
        <v>-289377485.33160925</v>
      </c>
      <c r="AA32" s="270">
        <f t="shared" si="12"/>
        <v>0.77303252508005482</v>
      </c>
      <c r="AB32" s="7">
        <f t="shared" si="5"/>
        <v>2.5000000000000001E-2</v>
      </c>
      <c r="AC32" s="203">
        <f t="shared" si="4"/>
        <v>1.6587594326295734</v>
      </c>
    </row>
    <row r="33" spans="1:29" x14ac:dyDescent="0.25">
      <c r="A33" s="180">
        <v>2043</v>
      </c>
      <c r="B33" s="180">
        <f t="shared" si="18"/>
        <v>14</v>
      </c>
      <c r="C33" s="185">
        <f>'Energy Revenue'!R21</f>
        <v>496315598.45671517</v>
      </c>
      <c r="D33" s="185">
        <f>'Cap Revenue'!F22</f>
        <v>498793070.40379518</v>
      </c>
      <c r="E33" s="185">
        <f>'Energy Mkt Benefits'!R24</f>
        <v>319146823.09569073</v>
      </c>
      <c r="F33" s="204">
        <f>'Energy Revenue'!P21</f>
        <v>12722727.065365393</v>
      </c>
      <c r="G33" s="205">
        <f t="shared" si="6"/>
        <v>291911129.74722874</v>
      </c>
      <c r="H33" s="185">
        <f t="shared" si="7"/>
        <v>293368270.39974499</v>
      </c>
      <c r="I33" s="185">
        <f t="shared" si="8"/>
        <v>187708204.16442534</v>
      </c>
      <c r="J33" s="204">
        <f t="shared" si="13"/>
        <v>12722727.065365393</v>
      </c>
      <c r="K33" s="570">
        <f>'Soo Green_Backup'!$C$27</f>
        <v>149.21249999999998</v>
      </c>
      <c r="L33" s="270">
        <f>'Soo Green_Backup'!$D$42</f>
        <v>115.39146964788118</v>
      </c>
      <c r="M33" s="204">
        <f t="shared" si="14"/>
        <v>1468094174.0013871</v>
      </c>
      <c r="N33" s="570">
        <f t="shared" si="3"/>
        <v>87.760267021321624</v>
      </c>
      <c r="O33" s="270">
        <f>'Soo Green_Backup'!$D$43</f>
        <v>74.623101264675498</v>
      </c>
      <c r="P33" s="185">
        <f t="shared" si="9"/>
        <v>949409350.16158938</v>
      </c>
      <c r="Q33" s="185">
        <f t="shared" si="10"/>
        <v>585279400.14697373</v>
      </c>
      <c r="R33" s="204">
        <f t="shared" si="15"/>
        <v>-364129950.01461565</v>
      </c>
      <c r="S33" s="205">
        <f t="shared" si="16"/>
        <v>221232154.6347762</v>
      </c>
      <c r="T33" s="185">
        <f t="shared" si="16"/>
        <v>222336485.14263055</v>
      </c>
      <c r="U33" s="185">
        <f t="shared" si="16"/>
        <v>142259359.84653744</v>
      </c>
      <c r="V33" s="185">
        <f t="shared" si="17"/>
        <v>12722727.065365393</v>
      </c>
      <c r="W33" s="571">
        <f t="shared" si="11"/>
        <v>56.554984705820324</v>
      </c>
      <c r="X33" s="185">
        <f t="shared" si="11"/>
        <v>719533634.59806609</v>
      </c>
      <c r="Y33" s="185">
        <f t="shared" si="11"/>
        <v>443568639.77740675</v>
      </c>
      <c r="Z33" s="204">
        <f t="shared" si="11"/>
        <v>-275964994.82065928</v>
      </c>
      <c r="AA33" s="270">
        <f t="shared" si="12"/>
        <v>0.75787502458828904</v>
      </c>
      <c r="AB33" s="7">
        <f t="shared" si="5"/>
        <v>2.5000000000000001E-2</v>
      </c>
      <c r="AC33" s="203">
        <f t="shared" si="4"/>
        <v>1.7002284184453125</v>
      </c>
    </row>
    <row r="34" spans="1:29" x14ac:dyDescent="0.25">
      <c r="A34" s="180">
        <v>2044</v>
      </c>
      <c r="B34" s="180">
        <f t="shared" si="18"/>
        <v>15</v>
      </c>
      <c r="C34" s="185">
        <f>'Energy Revenue'!R22</f>
        <v>508326685.97168154</v>
      </c>
      <c r="D34" s="185">
        <f>'Cap Revenue'!F23</f>
        <v>372427015.55097437</v>
      </c>
      <c r="E34" s="185">
        <f>'Energy Mkt Benefits'!R25</f>
        <v>249402999.45919132</v>
      </c>
      <c r="F34" s="204">
        <f>'Energy Revenue'!P22</f>
        <v>12997122.505169785</v>
      </c>
      <c r="G34" s="205">
        <f t="shared" si="6"/>
        <v>291683440.14164305</v>
      </c>
      <c r="H34" s="185">
        <f t="shared" si="7"/>
        <v>213702715.39048243</v>
      </c>
      <c r="I34" s="185">
        <f t="shared" si="8"/>
        <v>143110182.62762213</v>
      </c>
      <c r="J34" s="204">
        <f t="shared" si="13"/>
        <v>12997122.505169785</v>
      </c>
      <c r="K34" s="570">
        <f>'Soo Green_Backup'!$C$27</f>
        <v>149.21249999999998</v>
      </c>
      <c r="L34" s="270">
        <f>'Soo Green_Backup'!$D$42</f>
        <v>115.39146964788118</v>
      </c>
      <c r="M34" s="204">
        <f t="shared" si="14"/>
        <v>1499757067.0650926</v>
      </c>
      <c r="N34" s="570">
        <f t="shared" si="3"/>
        <v>85.61977270372843</v>
      </c>
      <c r="O34" s="270">
        <f>'Soo Green_Backup'!$D$43</f>
        <v>74.623101264675498</v>
      </c>
      <c r="P34" s="185">
        <f t="shared" si="9"/>
        <v>969885588.8526777</v>
      </c>
      <c r="Q34" s="185">
        <f t="shared" si="10"/>
        <v>505386155.53212547</v>
      </c>
      <c r="R34" s="204">
        <f t="shared" si="15"/>
        <v>-464499433.32055223</v>
      </c>
      <c r="S34" s="205">
        <f t="shared" si="16"/>
        <v>216725092.51896515</v>
      </c>
      <c r="T34" s="185">
        <f t="shared" si="16"/>
        <v>158784265.37367254</v>
      </c>
      <c r="U34" s="185">
        <f t="shared" si="16"/>
        <v>106332973.70367025</v>
      </c>
      <c r="V34" s="185">
        <f t="shared" si="17"/>
        <v>12997122.505169785</v>
      </c>
      <c r="W34" s="571">
        <f t="shared" si="11"/>
        <v>55.446063437078756</v>
      </c>
      <c r="X34" s="185">
        <f t="shared" si="11"/>
        <v>720639278.9211278</v>
      </c>
      <c r="Y34" s="185">
        <f t="shared" si="11"/>
        <v>375509357.89263773</v>
      </c>
      <c r="Z34" s="204">
        <f t="shared" si="11"/>
        <v>-345129921.02849007</v>
      </c>
      <c r="AA34" s="270">
        <f t="shared" si="12"/>
        <v>0.7430147299885187</v>
      </c>
      <c r="AB34" s="7">
        <f t="shared" si="5"/>
        <v>2.5000000000000001E-2</v>
      </c>
      <c r="AC34" s="203">
        <f t="shared" si="4"/>
        <v>1.7427341289064451</v>
      </c>
    </row>
    <row r="35" spans="1:29" x14ac:dyDescent="0.25">
      <c r="A35" s="180">
        <v>2045</v>
      </c>
      <c r="B35" s="180">
        <f t="shared" si="18"/>
        <v>16</v>
      </c>
      <c r="C35" s="185">
        <f>'Energy Revenue'!R23</f>
        <v>545992224.00230062</v>
      </c>
      <c r="D35" s="185">
        <f>'Cap Revenue'!F24</f>
        <v>518920425.11440265</v>
      </c>
      <c r="E35" s="185">
        <f>'Energy Mkt Benefits'!R26</f>
        <v>433976413.53864479</v>
      </c>
      <c r="F35" s="204">
        <f>'Energy Revenue'!P23</f>
        <v>12847423.688868789</v>
      </c>
      <c r="G35" s="205">
        <f t="shared" si="6"/>
        <v>305654965.7544722</v>
      </c>
      <c r="H35" s="185">
        <f t="shared" si="7"/>
        <v>290499750.35353357</v>
      </c>
      <c r="I35" s="185">
        <f t="shared" si="8"/>
        <v>242946767.34781522</v>
      </c>
      <c r="J35" s="204">
        <f t="shared" si="13"/>
        <v>12847423.688868789</v>
      </c>
      <c r="K35" s="570">
        <f>'Soo Green_Backup'!$C$27</f>
        <v>149.21249999999998</v>
      </c>
      <c r="L35" s="270">
        <f>'Soo Green_Backup'!$D$42</f>
        <v>115.39146964788118</v>
      </c>
      <c r="M35" s="204">
        <f t="shared" si="14"/>
        <v>1482483100.6475725</v>
      </c>
      <c r="N35" s="570">
        <f t="shared" si="3"/>
        <v>83.531485564613106</v>
      </c>
      <c r="O35" s="270">
        <f>'Soo Green_Backup'!$D$43</f>
        <v>74.623101264675498</v>
      </c>
      <c r="P35" s="185">
        <f t="shared" si="9"/>
        <v>958714598.9246465</v>
      </c>
      <c r="Q35" s="185">
        <f t="shared" si="10"/>
        <v>596154716.10800576</v>
      </c>
      <c r="R35" s="204">
        <f t="shared" si="15"/>
        <v>-362559882.81664073</v>
      </c>
      <c r="S35" s="205">
        <f t="shared" si="16"/>
        <v>222653080.24481279</v>
      </c>
      <c r="T35" s="185">
        <f t="shared" si="16"/>
        <v>211613327.03006157</v>
      </c>
      <c r="U35" s="185">
        <f t="shared" si="16"/>
        <v>176973555.62992191</v>
      </c>
      <c r="V35" s="185">
        <f t="shared" si="17"/>
        <v>12847423.688868789</v>
      </c>
      <c r="W35" s="571">
        <f t="shared" si="11"/>
        <v>54.358885722626219</v>
      </c>
      <c r="X35" s="185">
        <f t="shared" si="11"/>
        <v>698371636.13337946</v>
      </c>
      <c r="Y35" s="185">
        <f t="shared" si="11"/>
        <v>434266407.27487433</v>
      </c>
      <c r="Z35" s="204">
        <f t="shared" si="11"/>
        <v>-264105228.85850516</v>
      </c>
      <c r="AA35" s="270">
        <f t="shared" si="12"/>
        <v>0.72844581371423389</v>
      </c>
      <c r="AB35" s="7">
        <f t="shared" si="5"/>
        <v>2.5000000000000001E-2</v>
      </c>
      <c r="AC35" s="203">
        <f t="shared" si="4"/>
        <v>1.786302482129106</v>
      </c>
    </row>
    <row r="36" spans="1:29" x14ac:dyDescent="0.25">
      <c r="A36" s="180">
        <v>2046</v>
      </c>
      <c r="B36" s="180">
        <f t="shared" si="18"/>
        <v>17</v>
      </c>
      <c r="C36" s="185">
        <f>'Energy Revenue'!R24</f>
        <v>562036375.70027101</v>
      </c>
      <c r="D36" s="185">
        <f>'Cap Revenue'!F25</f>
        <v>544888606.7668345</v>
      </c>
      <c r="E36" s="185">
        <f>'Energy Mkt Benefits'!R27</f>
        <v>508798035.5548315</v>
      </c>
      <c r="F36" s="204">
        <f>'Energy Revenue'!P24</f>
        <v>12743880.607878415</v>
      </c>
      <c r="G36" s="205">
        <f t="shared" si="6"/>
        <v>306962665.56229746</v>
      </c>
      <c r="H36" s="185">
        <f t="shared" si="7"/>
        <v>297597213.27516448</v>
      </c>
      <c r="I36" s="185">
        <f t="shared" si="8"/>
        <v>277885930.48301584</v>
      </c>
      <c r="J36" s="204">
        <f t="shared" si="13"/>
        <v>12743880.607878415</v>
      </c>
      <c r="K36" s="570">
        <f>'Soo Green_Backup'!$C$27</f>
        <v>149.21249999999998</v>
      </c>
      <c r="L36" s="270">
        <f>'Soo Green_Backup'!$D$42</f>
        <v>115.39146964788118</v>
      </c>
      <c r="M36" s="204">
        <f t="shared" si="14"/>
        <v>1470535112.3602238</v>
      </c>
      <c r="N36" s="570">
        <f t="shared" si="3"/>
        <v>81.494132258159141</v>
      </c>
      <c r="O36" s="270">
        <f>'Soo Green_Backup'!$D$43</f>
        <v>74.623101264675498</v>
      </c>
      <c r="P36" s="185">
        <f t="shared" si="9"/>
        <v>950987893.10664535</v>
      </c>
      <c r="Q36" s="185">
        <f t="shared" si="10"/>
        <v>604559878.83746195</v>
      </c>
      <c r="R36" s="204">
        <f t="shared" si="15"/>
        <v>-346428014.2691834</v>
      </c>
      <c r="S36" s="205">
        <f t="shared" si="16"/>
        <v>219221243.81903726</v>
      </c>
      <c r="T36" s="185">
        <f t="shared" si="16"/>
        <v>212532788.41501528</v>
      </c>
      <c r="U36" s="185">
        <f t="shared" si="16"/>
        <v>198455728.18670341</v>
      </c>
      <c r="V36" s="185">
        <f t="shared" si="17"/>
        <v>12743880.607878415</v>
      </c>
      <c r="W36" s="571">
        <f t="shared" si="11"/>
        <v>53.293025218260993</v>
      </c>
      <c r="X36" s="185">
        <f t="shared" si="11"/>
        <v>679159950.61417162</v>
      </c>
      <c r="Y36" s="185">
        <f t="shared" si="11"/>
        <v>431754032.23405254</v>
      </c>
      <c r="Z36" s="204">
        <f t="shared" si="11"/>
        <v>-247405918.38011914</v>
      </c>
      <c r="AA36" s="270">
        <f t="shared" si="12"/>
        <v>0.71416256246493515</v>
      </c>
      <c r="AB36" s="7">
        <f t="shared" si="5"/>
        <v>2.5000000000000001E-2</v>
      </c>
      <c r="AC36" s="203">
        <f t="shared" si="4"/>
        <v>1.8309600441823335</v>
      </c>
    </row>
    <row r="37" spans="1:29" x14ac:dyDescent="0.25">
      <c r="A37" s="180">
        <v>2047</v>
      </c>
      <c r="B37" s="180">
        <f t="shared" si="18"/>
        <v>18</v>
      </c>
      <c r="C37" s="185">
        <f>'Energy Revenue'!R25</f>
        <v>580611915.97177291</v>
      </c>
      <c r="D37" s="185">
        <f>'Cap Revenue'!F26</f>
        <v>566927068.73848617</v>
      </c>
      <c r="E37" s="185">
        <f>'Energy Mkt Benefits'!R28</f>
        <v>476589331.47469139</v>
      </c>
      <c r="F37" s="204">
        <f>'Energy Revenue'!P25</f>
        <v>12801672.61066974</v>
      </c>
      <c r="G37" s="205">
        <f t="shared" si="6"/>
        <v>309373572.36625195</v>
      </c>
      <c r="H37" s="185">
        <f t="shared" si="7"/>
        <v>302081730.84632319</v>
      </c>
      <c r="I37" s="185">
        <f t="shared" si="8"/>
        <v>253946121.27997941</v>
      </c>
      <c r="J37" s="204">
        <f t="shared" si="13"/>
        <v>12801672.61066974</v>
      </c>
      <c r="K37" s="570">
        <f>'Soo Green_Backup'!$C$27</f>
        <v>149.21249999999998</v>
      </c>
      <c r="L37" s="270">
        <f>'Soo Green_Backup'!$D$42</f>
        <v>115.39146964788118</v>
      </c>
      <c r="M37" s="204">
        <f t="shared" si="14"/>
        <v>1477203816.4962091</v>
      </c>
      <c r="N37" s="570">
        <f t="shared" si="3"/>
        <v>79.506470495765015</v>
      </c>
      <c r="O37" s="270">
        <f>'Soo Green_Backup'!$D$43</f>
        <v>74.623101264675498</v>
      </c>
      <c r="P37" s="185">
        <f t="shared" si="9"/>
        <v>955300511.58323073</v>
      </c>
      <c r="Q37" s="185">
        <f t="shared" si="10"/>
        <v>611455303.2125752</v>
      </c>
      <c r="R37" s="204">
        <f t="shared" si="15"/>
        <v>-343845208.37065554</v>
      </c>
      <c r="S37" s="205">
        <f t="shared" si="16"/>
        <v>216610807.05883679</v>
      </c>
      <c r="T37" s="185">
        <f t="shared" si="16"/>
        <v>211505355.85789511</v>
      </c>
      <c r="U37" s="185">
        <f t="shared" si="16"/>
        <v>177802757.55033457</v>
      </c>
      <c r="V37" s="185">
        <f t="shared" si="17"/>
        <v>12801672.61066974</v>
      </c>
      <c r="W37" s="571">
        <f t="shared" si="11"/>
        <v>52.248063939471564</v>
      </c>
      <c r="X37" s="185">
        <f t="shared" si="11"/>
        <v>668862609.09445441</v>
      </c>
      <c r="Y37" s="185">
        <f t="shared" si="11"/>
        <v>428116162.91673189</v>
      </c>
      <c r="Z37" s="204">
        <f t="shared" si="11"/>
        <v>-240746446.17772245</v>
      </c>
      <c r="AA37" s="270">
        <f t="shared" si="12"/>
        <v>0.70015937496562264</v>
      </c>
      <c r="AB37" s="7">
        <f t="shared" si="5"/>
        <v>2.5000000000000001E-2</v>
      </c>
      <c r="AC37" s="203">
        <f t="shared" si="4"/>
        <v>1.8767340452868917</v>
      </c>
    </row>
    <row r="38" spans="1:29" x14ac:dyDescent="0.25">
      <c r="A38" s="180">
        <v>2048</v>
      </c>
      <c r="B38" s="180">
        <f t="shared" si="18"/>
        <v>19</v>
      </c>
      <c r="C38" s="185">
        <f>'Energy Revenue'!R26</f>
        <v>599141301.09911919</v>
      </c>
      <c r="D38" s="185">
        <f>'Cap Revenue'!F27</f>
        <v>589062046.45260775</v>
      </c>
      <c r="E38" s="185">
        <f>'Energy Mkt Benefits'!R29</f>
        <v>521529943.66351128</v>
      </c>
      <c r="F38" s="204">
        <f>'Energy Revenue'!P26</f>
        <v>12785199.544010354</v>
      </c>
      <c r="G38" s="205">
        <f t="shared" si="6"/>
        <v>311460273.28764731</v>
      </c>
      <c r="H38" s="185">
        <f t="shared" si="7"/>
        <v>306220628.81483388</v>
      </c>
      <c r="I38" s="185">
        <f t="shared" si="8"/>
        <v>271114440.75569725</v>
      </c>
      <c r="J38" s="204">
        <f t="shared" si="13"/>
        <v>12785199.544010354</v>
      </c>
      <c r="K38" s="570">
        <f>'Soo Green_Backup'!$C$27</f>
        <v>149.21249999999998</v>
      </c>
      <c r="L38" s="270">
        <f>'Soo Green_Backup'!$D$42</f>
        <v>115.39146964788118</v>
      </c>
      <c r="M38" s="204">
        <f t="shared" si="14"/>
        <v>1475302965.1247752</v>
      </c>
      <c r="N38" s="570">
        <f t="shared" si="3"/>
        <v>77.567288288551239</v>
      </c>
      <c r="O38" s="270">
        <f>'Soo Green_Backup'!$D$43</f>
        <v>74.623101264675498</v>
      </c>
      <c r="P38" s="185">
        <f t="shared" si="9"/>
        <v>954071240.26176763</v>
      </c>
      <c r="Q38" s="185">
        <f t="shared" si="10"/>
        <v>617680902.10248113</v>
      </c>
      <c r="R38" s="204">
        <f t="shared" si="15"/>
        <v>-336390338.1592865</v>
      </c>
      <c r="S38" s="205">
        <f t="shared" si="16"/>
        <v>213795912.03107956</v>
      </c>
      <c r="T38" s="185">
        <f t="shared" si="16"/>
        <v>210199258.89468041</v>
      </c>
      <c r="U38" s="185">
        <f t="shared" si="16"/>
        <v>186101291.55261108</v>
      </c>
      <c r="V38" s="185">
        <f t="shared" si="17"/>
        <v>12785199.544010354</v>
      </c>
      <c r="W38" s="571">
        <f t="shared" si="11"/>
        <v>51.223592097521141</v>
      </c>
      <c r="X38" s="185">
        <f t="shared" si="11"/>
        <v>654903846.32779968</v>
      </c>
      <c r="Y38" s="185">
        <f t="shared" si="11"/>
        <v>423995170.92575991</v>
      </c>
      <c r="Z38" s="204">
        <f t="shared" si="11"/>
        <v>-230908675.40203968</v>
      </c>
      <c r="AA38" s="270">
        <f t="shared" si="12"/>
        <v>0.68643075977021828</v>
      </c>
      <c r="AB38" s="7">
        <f t="shared" si="5"/>
        <v>2.5000000000000001E-2</v>
      </c>
      <c r="AC38" s="203">
        <f t="shared" si="4"/>
        <v>1.9236523964190637</v>
      </c>
    </row>
    <row r="39" spans="1:29" x14ac:dyDescent="0.25">
      <c r="A39" s="180">
        <v>2049</v>
      </c>
      <c r="B39" s="180">
        <f t="shared" si="18"/>
        <v>20</v>
      </c>
      <c r="C39" s="185">
        <f>'Energy Revenue'!R27</f>
        <v>622879794.31688154</v>
      </c>
      <c r="D39" s="185">
        <f>'Cap Revenue'!F28</f>
        <v>612090607.04577434</v>
      </c>
      <c r="E39" s="185">
        <f>'Energy Mkt Benefits'!R30</f>
        <v>615296133.81305695</v>
      </c>
      <c r="F39" s="204">
        <f>'Energy Revenue'!P27</f>
        <v>12797132.906223472</v>
      </c>
      <c r="G39" s="205">
        <f t="shared" si="6"/>
        <v>315903021.43090945</v>
      </c>
      <c r="H39" s="185">
        <f t="shared" si="7"/>
        <v>310431119.9680202</v>
      </c>
      <c r="I39" s="185">
        <f t="shared" si="8"/>
        <v>312056851.93155712</v>
      </c>
      <c r="J39" s="204">
        <f t="shared" si="13"/>
        <v>12797132.906223472</v>
      </c>
      <c r="K39" s="570">
        <f>'Soo Green_Backup'!$C$27</f>
        <v>149.21249999999998</v>
      </c>
      <c r="L39" s="270">
        <f>'Soo Green_Backup'!$D$42</f>
        <v>115.39146964788118</v>
      </c>
      <c r="M39" s="204">
        <f t="shared" si="14"/>
        <v>1476679973.3283873</v>
      </c>
      <c r="N39" s="570">
        <f t="shared" si="3"/>
        <v>75.675403208342686</v>
      </c>
      <c r="O39" s="270">
        <f>'Soo Green_Backup'!$D$43</f>
        <v>74.623101264675498</v>
      </c>
      <c r="P39" s="185">
        <f t="shared" si="9"/>
        <v>954961744.75862527</v>
      </c>
      <c r="Q39" s="185">
        <f t="shared" si="10"/>
        <v>626334141.3989296</v>
      </c>
      <c r="R39" s="204">
        <f t="shared" si="15"/>
        <v>-328627603.35969567</v>
      </c>
      <c r="S39" s="205">
        <f t="shared" si="16"/>
        <v>212593677.46522227</v>
      </c>
      <c r="T39" s="185">
        <f t="shared" si="16"/>
        <v>208911244.64310578</v>
      </c>
      <c r="U39" s="185">
        <f t="shared" si="16"/>
        <v>210005315.6498836</v>
      </c>
      <c r="V39" s="185">
        <f t="shared" si="17"/>
        <v>12797132.906223472</v>
      </c>
      <c r="W39" s="571">
        <f t="shared" si="11"/>
        <v>50.219207938746216</v>
      </c>
      <c r="X39" s="185">
        <f t="shared" si="11"/>
        <v>642661878.43740821</v>
      </c>
      <c r="Y39" s="185">
        <f t="shared" si="11"/>
        <v>421504922.10832798</v>
      </c>
      <c r="Z39" s="204">
        <f t="shared" si="11"/>
        <v>-221156956.32908022</v>
      </c>
      <c r="AA39" s="270">
        <f t="shared" si="12"/>
        <v>0.67297133310805712</v>
      </c>
      <c r="AB39" s="7">
        <f t="shared" si="5"/>
        <v>2.5000000000000001E-2</v>
      </c>
      <c r="AC39" s="203">
        <f t="shared" si="4"/>
        <v>1.9717437063295402</v>
      </c>
    </row>
    <row r="40" spans="1:29" ht="4.5" customHeight="1" x14ac:dyDescent="0.25">
      <c r="A40" s="211"/>
      <c r="B40" s="211"/>
      <c r="C40" s="209"/>
      <c r="D40" s="209"/>
      <c r="E40" s="209"/>
      <c r="F40" s="208"/>
      <c r="G40" s="210"/>
      <c r="H40" s="209"/>
      <c r="I40" s="209"/>
      <c r="J40" s="208"/>
      <c r="K40" s="210"/>
      <c r="L40" s="209"/>
      <c r="M40" s="208"/>
      <c r="N40" s="210"/>
      <c r="O40" s="209"/>
      <c r="P40" s="209"/>
      <c r="Q40" s="209"/>
      <c r="R40" s="208"/>
      <c r="S40" s="210"/>
      <c r="T40" s="209"/>
      <c r="U40" s="209"/>
      <c r="V40" s="208"/>
      <c r="W40" s="572"/>
      <c r="X40" s="209"/>
      <c r="Y40" s="209"/>
      <c r="Z40" s="208"/>
      <c r="AA40" s="538"/>
      <c r="AB40" s="207"/>
      <c r="AC40" s="206"/>
    </row>
    <row r="41" spans="1:29" ht="4.5" customHeight="1" x14ac:dyDescent="0.25">
      <c r="A41" s="180"/>
      <c r="B41" s="180"/>
      <c r="C41" s="185"/>
      <c r="D41" s="185"/>
      <c r="E41" s="185"/>
      <c r="F41" s="204"/>
      <c r="G41" s="205"/>
      <c r="H41" s="185"/>
      <c r="I41" s="185"/>
      <c r="J41" s="204"/>
      <c r="K41" s="205"/>
      <c r="L41" s="185"/>
      <c r="M41" s="204"/>
      <c r="N41" s="205"/>
      <c r="O41" s="185"/>
      <c r="P41" s="185"/>
      <c r="Q41" s="185"/>
      <c r="R41" s="204"/>
      <c r="S41" s="205"/>
      <c r="T41" s="185"/>
      <c r="U41" s="185"/>
      <c r="V41" s="204"/>
      <c r="W41" s="571"/>
      <c r="X41" s="185"/>
      <c r="Y41" s="185"/>
      <c r="Z41" s="204"/>
      <c r="AA41" s="270"/>
      <c r="AC41" s="203"/>
    </row>
    <row r="42" spans="1:29" s="189" customFormat="1" ht="30" x14ac:dyDescent="0.25">
      <c r="A42" s="198" t="s">
        <v>30</v>
      </c>
      <c r="C42" s="199">
        <f t="shared" ref="C42:J42" si="19">SUM(C20:C39)</f>
        <v>9348274901.6864071</v>
      </c>
      <c r="D42" s="199">
        <f t="shared" si="19"/>
        <v>7072805576.7458887</v>
      </c>
      <c r="E42" s="199">
        <f t="shared" si="19"/>
        <v>5858041972.2655802</v>
      </c>
      <c r="F42" s="191">
        <f t="shared" si="19"/>
        <v>256891147.98508731</v>
      </c>
      <c r="G42" s="200">
        <f t="shared" si="19"/>
        <v>5919798508.0397139</v>
      </c>
      <c r="H42" s="199">
        <f t="shared" si="19"/>
        <v>4259164436.8619652</v>
      </c>
      <c r="I42" s="199">
        <f t="shared" si="19"/>
        <v>3566109981.6709867</v>
      </c>
      <c r="J42" s="191">
        <f t="shared" si="19"/>
        <v>256891147.98508731</v>
      </c>
      <c r="K42" s="200"/>
      <c r="L42" s="199"/>
      <c r="M42" s="191">
        <f>SUM(M20:M39)</f>
        <v>29643047105.530556</v>
      </c>
      <c r="N42" s="200"/>
      <c r="O42" s="199"/>
      <c r="P42" s="199">
        <f t="shared" ref="P42:Z42" si="20">SUM(P20:P39)</f>
        <v>19170014150.089909</v>
      </c>
      <c r="Q42" s="199">
        <f t="shared" si="20"/>
        <v>10178962944.90168</v>
      </c>
      <c r="R42" s="191">
        <f t="shared" si="20"/>
        <v>-8991051205.1882286</v>
      </c>
      <c r="S42" s="200">
        <f t="shared" si="20"/>
        <v>4832008134.0046158</v>
      </c>
      <c r="T42" s="199">
        <f t="shared" si="20"/>
        <v>3324659509.3143024</v>
      </c>
      <c r="U42" s="199">
        <f t="shared" si="20"/>
        <v>2819380975.8313966</v>
      </c>
      <c r="V42" s="191">
        <f t="shared" si="20"/>
        <v>256891147.98508731</v>
      </c>
      <c r="W42" s="573">
        <f t="shared" si="20"/>
        <v>1220.1946662964617</v>
      </c>
      <c r="X42" s="199">
        <f t="shared" si="20"/>
        <v>15677405215.942236</v>
      </c>
      <c r="Y42" s="199">
        <f t="shared" si="20"/>
        <v>8156667643.3189182</v>
      </c>
      <c r="Z42" s="191">
        <f t="shared" si="20"/>
        <v>-7520737572.6233206</v>
      </c>
      <c r="AA42" s="199"/>
      <c r="AB42" s="190"/>
      <c r="AC42" s="190"/>
    </row>
    <row r="43" spans="1:29" s="189" customFormat="1" ht="30" x14ac:dyDescent="0.25">
      <c r="A43" s="198" t="s">
        <v>31</v>
      </c>
      <c r="C43" s="192">
        <f>C42/$F$42</f>
        <v>36.390023459387869</v>
      </c>
      <c r="D43" s="192">
        <f t="shared" ref="D43:E43" si="21">D42/$F$42</f>
        <v>27.532305539607265</v>
      </c>
      <c r="E43" s="192">
        <f t="shared" si="21"/>
        <v>22.803596068657232</v>
      </c>
      <c r="F43" s="195"/>
      <c r="G43" s="197">
        <f>G42/$F$42</f>
        <v>23.043995694173791</v>
      </c>
      <c r="H43" s="192">
        <f t="shared" ref="H43:I43" si="22">H42/$F$42</f>
        <v>16.579646555626791</v>
      </c>
      <c r="I43" s="192">
        <f t="shared" si="22"/>
        <v>13.881793941292214</v>
      </c>
      <c r="J43" s="195"/>
      <c r="K43" s="197"/>
      <c r="L43" s="192"/>
      <c r="M43" s="195">
        <f>M42/J42</f>
        <v>115.39146964788118</v>
      </c>
      <c r="N43" s="197"/>
      <c r="O43" s="199"/>
      <c r="P43" s="192">
        <f t="shared" ref="P43:Q43" si="23">P42/$F$42</f>
        <v>74.623101264675498</v>
      </c>
      <c r="Q43" s="192">
        <f t="shared" si="23"/>
        <v>39.623642249800589</v>
      </c>
      <c r="R43" s="191"/>
      <c r="S43" s="197">
        <f>S42/$V$42</f>
        <v>18.809554832481489</v>
      </c>
      <c r="T43" s="192">
        <f>T42/$V$42</f>
        <v>12.941899848987015</v>
      </c>
      <c r="U43" s="192">
        <f>U42/$V$42</f>
        <v>10.975002439535455</v>
      </c>
      <c r="V43" s="195"/>
      <c r="W43" s="573"/>
      <c r="X43" s="539">
        <f t="shared" ref="X43:Y43" si="24">X42/$F$42</f>
        <v>61.027424801933307</v>
      </c>
      <c r="Y43" s="539">
        <f t="shared" si="24"/>
        <v>31.751454681468502</v>
      </c>
      <c r="Z43" s="191"/>
      <c r="AA43" s="199"/>
      <c r="AB43" s="190"/>
      <c r="AC43" s="190"/>
    </row>
    <row r="44" spans="1:29" ht="9.75" customHeight="1" thickBot="1" x14ac:dyDescent="0.3">
      <c r="A44" s="169"/>
      <c r="B44" s="169"/>
      <c r="C44" s="169"/>
      <c r="D44" s="169"/>
      <c r="E44" s="169"/>
      <c r="F44" s="187"/>
      <c r="G44" s="188"/>
      <c r="H44" s="169"/>
      <c r="I44" s="169"/>
      <c r="J44" s="187"/>
      <c r="K44" s="188"/>
      <c r="L44" s="169"/>
      <c r="M44" s="187"/>
      <c r="N44" s="188"/>
      <c r="O44" s="169"/>
      <c r="P44" s="169"/>
      <c r="Q44" s="169"/>
      <c r="R44" s="187"/>
      <c r="S44" s="169"/>
      <c r="T44" s="169"/>
      <c r="U44" s="169"/>
      <c r="V44" s="169"/>
      <c r="W44" s="169"/>
      <c r="X44" s="169"/>
      <c r="Y44" s="169"/>
      <c r="Z44" s="169"/>
      <c r="AA44" s="169"/>
      <c r="AB44" s="186"/>
      <c r="AC44" s="186"/>
    </row>
    <row r="45" spans="1:29" ht="15.75" thickTop="1" x14ac:dyDescent="0.25"/>
  </sheetData>
  <mergeCells count="7">
    <mergeCell ref="C5:F5"/>
    <mergeCell ref="G5:J5"/>
    <mergeCell ref="P5:R5"/>
    <mergeCell ref="N5:O5"/>
    <mergeCell ref="S4:Z4"/>
    <mergeCell ref="S5:V5"/>
    <mergeCell ref="X5:Z5"/>
  </mergeCells>
  <printOptions horizontalCentered="1" verticalCentered="1"/>
  <pageMargins left="0.2" right="0.2" top="0.75" bottom="0.75" header="0.3" footer="0.3"/>
  <pageSetup scale="75" orientation="landscape" r:id="rId1"/>
  <headerFoot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7D0C0-5B71-4417-95DA-4EACA808989A}">
  <sheetPr codeName="Sheet26">
    <pageSetUpPr fitToPage="1"/>
  </sheetPr>
  <dimension ref="A1:W49"/>
  <sheetViews>
    <sheetView tabSelected="1" zoomScale="85" zoomScaleNormal="85" workbookViewId="0">
      <selection activeCell="F21" sqref="F21"/>
    </sheetView>
  </sheetViews>
  <sheetFormatPr defaultRowHeight="15" x14ac:dyDescent="0.25"/>
  <cols>
    <col min="1" max="1" width="55.28515625" style="3" customWidth="1"/>
    <col min="2" max="2" width="19" style="3" bestFit="1" customWidth="1"/>
    <col min="3" max="3" width="9.140625" style="3"/>
    <col min="4" max="4" width="16.140625" style="3" customWidth="1"/>
    <col min="5" max="7" width="12.7109375" style="3" customWidth="1"/>
    <col min="8" max="8" width="8.42578125" style="3" customWidth="1"/>
    <col min="9" max="9" width="16.140625" style="3" customWidth="1"/>
    <col min="10" max="13" width="8.28515625" style="3" customWidth="1"/>
    <col min="14" max="23" width="16.140625" style="3" customWidth="1"/>
    <col min="24" max="16384" width="9.140625" style="3"/>
  </cols>
  <sheetData>
    <row r="1" spans="1:23" ht="18.75" x14ac:dyDescent="0.3">
      <c r="A1" s="36" t="s">
        <v>50</v>
      </c>
      <c r="B1" s="7"/>
      <c r="C1" s="7"/>
    </row>
    <row r="2" spans="1:23" ht="15.75" thickBot="1" x14ac:dyDescent="0.3">
      <c r="A2" s="541"/>
      <c r="B2" s="186"/>
      <c r="C2" s="186"/>
      <c r="D2" s="169"/>
      <c r="E2" s="169"/>
      <c r="F2" s="169"/>
      <c r="G2" s="169"/>
      <c r="I2" s="169"/>
      <c r="J2" s="169"/>
      <c r="K2" s="169"/>
      <c r="L2" s="169"/>
      <c r="M2" s="169"/>
    </row>
    <row r="3" spans="1:23" ht="15.75" thickTop="1" x14ac:dyDescent="0.25">
      <c r="A3" s="40"/>
      <c r="B3" s="7"/>
      <c r="C3" s="7"/>
      <c r="O3" s="235"/>
      <c r="P3" s="235"/>
      <c r="Q3" s="235"/>
      <c r="R3" s="235"/>
      <c r="S3" s="235"/>
      <c r="T3" s="235"/>
      <c r="U3" s="235"/>
      <c r="V3" s="235"/>
      <c r="W3" s="235"/>
    </row>
    <row r="4" spans="1:23" x14ac:dyDescent="0.25">
      <c r="A4" s="542"/>
      <c r="B4" s="607" t="s">
        <v>51</v>
      </c>
      <c r="C4" s="607"/>
      <c r="D4" s="607"/>
      <c r="E4" s="604" t="s">
        <v>52</v>
      </c>
      <c r="F4" s="604"/>
      <c r="G4" s="604"/>
      <c r="J4" s="604" t="s">
        <v>53</v>
      </c>
      <c r="K4" s="604"/>
      <c r="L4" s="603" t="s">
        <v>54</v>
      </c>
      <c r="M4" s="604"/>
      <c r="O4" s="5"/>
      <c r="P4" s="5"/>
      <c r="Q4" s="5"/>
      <c r="R4" s="5"/>
      <c r="S4" s="5"/>
      <c r="T4" s="5"/>
      <c r="U4" s="5"/>
      <c r="V4" s="5"/>
      <c r="W4" s="5"/>
    </row>
    <row r="5" spans="1:23" x14ac:dyDescent="0.25">
      <c r="A5" s="180" t="s">
        <v>28</v>
      </c>
      <c r="B5" s="243" t="s">
        <v>55</v>
      </c>
      <c r="C5" s="243" t="s">
        <v>56</v>
      </c>
      <c r="D5" s="243" t="s">
        <v>57</v>
      </c>
      <c r="E5" s="243" t="s">
        <v>55</v>
      </c>
      <c r="F5" s="243" t="s">
        <v>56</v>
      </c>
      <c r="G5" s="243" t="s">
        <v>57</v>
      </c>
      <c r="H5" s="31"/>
      <c r="I5" s="180" t="s">
        <v>28</v>
      </c>
      <c r="J5" s="243" t="s">
        <v>55</v>
      </c>
      <c r="K5" s="243" t="s">
        <v>56</v>
      </c>
      <c r="L5" s="243" t="s">
        <v>55</v>
      </c>
      <c r="M5" s="243" t="s">
        <v>56</v>
      </c>
      <c r="O5" s="6"/>
      <c r="P5" s="6"/>
      <c r="Q5" s="6"/>
      <c r="R5" s="6"/>
      <c r="S5" s="6"/>
      <c r="T5" s="6"/>
      <c r="U5" s="6"/>
      <c r="V5" s="6"/>
      <c r="W5" s="6"/>
    </row>
    <row r="6" spans="1:23" ht="3.75" customHeight="1" x14ac:dyDescent="0.25">
      <c r="A6" s="211"/>
      <c r="B6" s="543"/>
      <c r="C6" s="543"/>
      <c r="D6" s="543"/>
      <c r="E6" s="543"/>
      <c r="F6" s="543"/>
      <c r="G6" s="543"/>
      <c r="H6" s="31"/>
      <c r="I6" s="211"/>
      <c r="J6" s="543"/>
      <c r="K6" s="543"/>
      <c r="L6" s="543"/>
      <c r="M6" s="543"/>
    </row>
    <row r="7" spans="1:23" ht="3.75" customHeight="1" x14ac:dyDescent="0.25">
      <c r="A7" s="180"/>
      <c r="B7" s="243"/>
      <c r="C7" s="243"/>
      <c r="D7" s="243"/>
      <c r="E7" s="243"/>
      <c r="F7" s="243"/>
      <c r="G7" s="243"/>
      <c r="H7" s="31"/>
      <c r="I7" s="180"/>
      <c r="J7" s="243"/>
      <c r="K7" s="243"/>
      <c r="L7" s="243"/>
      <c r="M7" s="243"/>
    </row>
    <row r="8" spans="1:23" x14ac:dyDescent="0.25">
      <c r="A8" s="544">
        <f>'LCOE of Utility-Scale PV'!A27</f>
        <v>2010</v>
      </c>
      <c r="B8" s="545">
        <f>'LCOE of Utility-Scale PV'!G27</f>
        <v>402.48464054483179</v>
      </c>
      <c r="C8" s="545">
        <f>'LCOE of Utility-Scale PV'!E27</f>
        <v>0</v>
      </c>
      <c r="D8" s="545"/>
      <c r="E8" s="545">
        <f>'Wind LCOE Over Time'!H36</f>
        <v>131.52678549864089</v>
      </c>
      <c r="F8" s="545">
        <f>'Wind LCOE Over Time'!E36</f>
        <v>93.974273299916447</v>
      </c>
      <c r="G8" s="545" t="e">
        <f>'Wind LCOE Over Time'!J36</f>
        <v>#N/A</v>
      </c>
      <c r="H8" s="31"/>
      <c r="I8" s="546">
        <f t="shared" ref="I8:I20" si="0">A8</f>
        <v>2010</v>
      </c>
      <c r="J8" s="247"/>
      <c r="K8" s="247"/>
      <c r="L8" s="243"/>
      <c r="M8" s="243"/>
    </row>
    <row r="9" spans="1:23" x14ac:dyDescent="0.25">
      <c r="A9" s="544">
        <f>'LCOE of Utility-Scale PV'!A28</f>
        <v>2011</v>
      </c>
      <c r="B9" s="545">
        <f>'LCOE of Utility-Scale PV'!G28</f>
        <v>304.7034949751573</v>
      </c>
      <c r="C9" s="545">
        <f>'LCOE of Utility-Scale PV'!E28</f>
        <v>0</v>
      </c>
      <c r="D9" s="545"/>
      <c r="E9" s="545">
        <f>'Wind LCOE Over Time'!H37</f>
        <v>124.84206587737353</v>
      </c>
      <c r="F9" s="545">
        <f>'Wind LCOE Over Time'!E37</f>
        <v>96.807061572579798</v>
      </c>
      <c r="G9" s="545">
        <f>'Wind LCOE Over Time'!J37</f>
        <v>129.36948738410337</v>
      </c>
      <c r="H9" s="31"/>
      <c r="I9" s="546">
        <f t="shared" si="0"/>
        <v>2011</v>
      </c>
      <c r="J9" s="247"/>
      <c r="K9" s="247"/>
      <c r="L9" s="243"/>
      <c r="M9" s="243"/>
    </row>
    <row r="10" spans="1:23" x14ac:dyDescent="0.25">
      <c r="A10" s="544">
        <f>'LCOE of Utility-Scale PV'!A29</f>
        <v>2012</v>
      </c>
      <c r="B10" s="545">
        <f>'LCOE of Utility-Scale PV'!G29</f>
        <v>263.98856510397263</v>
      </c>
      <c r="C10" s="545">
        <f>'LCOE of Utility-Scale PV'!E29</f>
        <v>0</v>
      </c>
      <c r="D10" s="545"/>
      <c r="E10" s="545">
        <f>'Wind LCOE Over Time'!H38</f>
        <v>104.00012520488583</v>
      </c>
      <c r="F10" s="545">
        <f>'Wind LCOE Over Time'!E38</f>
        <v>70.255415460469308</v>
      </c>
      <c r="G10" s="545">
        <f>'Wind LCOE Over Time'!J38</f>
        <v>108.57688248341587</v>
      </c>
      <c r="H10" s="31"/>
      <c r="I10" s="546">
        <f t="shared" si="0"/>
        <v>2012</v>
      </c>
      <c r="J10" s="247"/>
      <c r="K10" s="247"/>
      <c r="L10" s="243"/>
      <c r="M10" s="243"/>
    </row>
    <row r="11" spans="1:23" x14ac:dyDescent="0.25">
      <c r="A11" s="544">
        <f>'LCOE of Utility-Scale PV'!A30</f>
        <v>2013</v>
      </c>
      <c r="B11" s="545">
        <f>'LCOE of Utility-Scale PV'!G30</f>
        <v>293.92837072738979</v>
      </c>
      <c r="C11" s="545">
        <f>'LCOE of Utility-Scale PV'!E30</f>
        <v>199.39401778179294</v>
      </c>
      <c r="D11" s="545"/>
      <c r="E11" s="545" t="e">
        <f>'Wind LCOE Over Time'!H39</f>
        <v>#N/A</v>
      </c>
      <c r="F11" s="545">
        <f>'Wind LCOE Over Time'!E39</f>
        <v>63.090214601021799</v>
      </c>
      <c r="G11" s="545" t="e">
        <f>'Wind LCOE Over Time'!J39</f>
        <v>#N/A</v>
      </c>
      <c r="H11" s="31"/>
      <c r="I11" s="546">
        <f t="shared" si="0"/>
        <v>2013</v>
      </c>
      <c r="J11" s="247"/>
      <c r="K11" s="247"/>
      <c r="L11" s="243"/>
      <c r="M11" s="243"/>
    </row>
    <row r="12" spans="1:23" x14ac:dyDescent="0.25">
      <c r="A12" s="544">
        <f>'LCOE of Utility-Scale PV'!A31</f>
        <v>2014</v>
      </c>
      <c r="B12" s="545">
        <f>'LCOE of Utility-Scale PV'!G31</f>
        <v>161.73292289793136</v>
      </c>
      <c r="C12" s="545">
        <f>'LCOE of Utility-Scale PV'!E31</f>
        <v>187.48854340252271</v>
      </c>
      <c r="D12" s="545"/>
      <c r="E12" s="545">
        <f>'Wind LCOE Over Time'!H40</f>
        <v>96.288654746439718</v>
      </c>
      <c r="F12" s="545">
        <f>'Wind LCOE Over Time'!E40</f>
        <v>61.58481407136091</v>
      </c>
      <c r="G12" s="545">
        <f>'Wind LCOE Over Time'!J40</f>
        <v>82.010882231236266</v>
      </c>
      <c r="H12" s="31"/>
      <c r="I12" s="546">
        <f t="shared" si="0"/>
        <v>2014</v>
      </c>
      <c r="J12" s="247"/>
      <c r="K12" s="247"/>
      <c r="L12" s="243"/>
      <c r="M12" s="243"/>
    </row>
    <row r="13" spans="1:23" x14ac:dyDescent="0.25">
      <c r="A13" s="544">
        <f>'LCOE of Utility-Scale PV'!A32</f>
        <v>2015</v>
      </c>
      <c r="B13" s="545">
        <f>'LCOE of Utility-Scale PV'!G32</f>
        <v>123.64298172566386</v>
      </c>
      <c r="C13" s="545">
        <f>'LCOE of Utility-Scale PV'!E32</f>
        <v>176.90528795177204</v>
      </c>
      <c r="D13" s="545"/>
      <c r="E13" s="545">
        <f>'Wind LCOE Over Time'!H41</f>
        <v>86.52444615875217</v>
      </c>
      <c r="F13" s="545">
        <f>'Wind LCOE Over Time'!E41</f>
        <v>49.542183386748533</v>
      </c>
      <c r="G13" s="545" t="e">
        <f>'Wind LCOE Over Time'!J41</f>
        <v>#N/A</v>
      </c>
      <c r="H13" s="31"/>
      <c r="I13" s="546">
        <f t="shared" si="0"/>
        <v>2015</v>
      </c>
      <c r="J13" s="247"/>
      <c r="K13" s="247"/>
      <c r="L13" s="243"/>
      <c r="M13" s="243"/>
    </row>
    <row r="14" spans="1:23" x14ac:dyDescent="0.25">
      <c r="A14" s="544">
        <f>'LCOE of Utility-Scale PV'!A33</f>
        <v>2016</v>
      </c>
      <c r="B14" s="545">
        <f>'LCOE of Utility-Scale PV'!G33</f>
        <v>122.70127261480289</v>
      </c>
      <c r="C14" s="545">
        <f>'LCOE of Utility-Scale PV'!E33</f>
        <v>104.20037414882532</v>
      </c>
      <c r="D14" s="545"/>
      <c r="E14" s="545">
        <f>'Wind LCOE Over Time'!H42</f>
        <v>85.222821810187881</v>
      </c>
      <c r="F14" s="545">
        <f>'Wind LCOE Over Time'!E42</f>
        <v>45.342652271699137</v>
      </c>
      <c r="G14" s="545">
        <f>'Wind LCOE Over Time'!J42</f>
        <v>73.084828171290951</v>
      </c>
      <c r="H14" s="31"/>
      <c r="I14" s="546">
        <f t="shared" si="0"/>
        <v>2016</v>
      </c>
      <c r="J14" s="247"/>
      <c r="K14" s="247"/>
      <c r="L14" s="243"/>
      <c r="M14" s="243"/>
    </row>
    <row r="15" spans="1:23" x14ac:dyDescent="0.25">
      <c r="A15" s="544">
        <f>'LCOE of Utility-Scale PV'!A34</f>
        <v>2017</v>
      </c>
      <c r="B15" s="545">
        <f>'LCOE of Utility-Scale PV'!G34</f>
        <v>88.385724791948817</v>
      </c>
      <c r="C15" s="545">
        <f>'LCOE of Utility-Scale PV'!E34</f>
        <v>105.30463449022122</v>
      </c>
      <c r="D15" s="545">
        <f>'LCOE of Utility-Scale PV'!L34</f>
        <v>128.37069915470917</v>
      </c>
      <c r="E15" s="545">
        <f>'Wind LCOE Over Time'!H43</f>
        <v>60.650049168969069</v>
      </c>
      <c r="F15" s="545">
        <f>'Wind LCOE Over Time'!E43</f>
        <v>42.476486171563607</v>
      </c>
      <c r="G15" s="545" t="e">
        <f>'Wind LCOE Over Time'!J43</f>
        <v>#N/A</v>
      </c>
      <c r="H15" s="31"/>
      <c r="I15" s="546">
        <f t="shared" si="0"/>
        <v>2017</v>
      </c>
      <c r="J15" s="247">
        <f t="shared" ref="J15:K20" si="1">B15/$D15</f>
        <v>0.68851946257166163</v>
      </c>
      <c r="K15" s="247">
        <f t="shared" si="1"/>
        <v>0.82031674816470923</v>
      </c>
      <c r="L15" s="243"/>
      <c r="M15" s="247"/>
    </row>
    <row r="16" spans="1:23" x14ac:dyDescent="0.25">
      <c r="A16" s="544">
        <f>'LCOE of Utility-Scale PV'!A35</f>
        <v>2018</v>
      </c>
      <c r="B16" s="545">
        <f>'LCOE of Utility-Scale PV'!G35</f>
        <v>86.295773378681972</v>
      </c>
      <c r="C16" s="545">
        <f>'LCOE of Utility-Scale PV'!E35</f>
        <v>50.034777042161139</v>
      </c>
      <c r="D16" s="545" t="e">
        <f>'LCOE of Utility-Scale PV'!L35</f>
        <v>#N/A</v>
      </c>
      <c r="E16" s="545" t="e">
        <f>'Wind LCOE Over Time'!H44</f>
        <v>#N/A</v>
      </c>
      <c r="F16" s="545">
        <f>'Wind LCOE Over Time'!E44</f>
        <v>36.661026460622239</v>
      </c>
      <c r="G16" s="545">
        <f>'Wind LCOE Over Time'!J44</f>
        <v>57.748301709030336</v>
      </c>
      <c r="H16" s="31"/>
      <c r="I16" s="546">
        <f t="shared" si="0"/>
        <v>2018</v>
      </c>
      <c r="J16" s="247" t="e">
        <f t="shared" si="1"/>
        <v>#N/A</v>
      </c>
      <c r="K16" s="247" t="e">
        <f t="shared" si="1"/>
        <v>#N/A</v>
      </c>
      <c r="L16" s="243"/>
      <c r="M16" s="247">
        <f>F16/G16</f>
        <v>0.63484163820681505</v>
      </c>
    </row>
    <row r="17" spans="1:14" x14ac:dyDescent="0.25">
      <c r="A17" s="544">
        <f>'LCOE of Utility-Scale PV'!A36</f>
        <v>2019</v>
      </c>
      <c r="B17" s="545">
        <f>'LCOE of Utility-Scale PV'!G36</f>
        <v>69.78876720717949</v>
      </c>
      <c r="C17" s="545">
        <f>'LCOE of Utility-Scale PV'!E36</f>
        <v>71.394622341299396</v>
      </c>
      <c r="D17" s="545">
        <f>'LCOE of Utility-Scale PV'!L36</f>
        <v>91.838645490111958</v>
      </c>
      <c r="E17" s="545">
        <f>'Wind LCOE Over Time'!H45</f>
        <v>67.118876155122919</v>
      </c>
      <c r="F17" s="545">
        <f>'Wind LCOE Over Time'!E45</f>
        <v>35.689766538678711</v>
      </c>
      <c r="G17" s="545" t="e">
        <f>'Wind LCOE Over Time'!J45</f>
        <v>#N/A</v>
      </c>
      <c r="I17" s="546">
        <f t="shared" si="0"/>
        <v>2019</v>
      </c>
      <c r="J17" s="247">
        <f t="shared" si="1"/>
        <v>0.75990632086024701</v>
      </c>
      <c r="K17" s="247">
        <f t="shared" si="1"/>
        <v>0.77739193517380745</v>
      </c>
      <c r="L17" s="247"/>
      <c r="M17" s="247"/>
    </row>
    <row r="18" spans="1:14" x14ac:dyDescent="0.25">
      <c r="A18" s="544">
        <f>'LCOE of Utility-Scale PV'!A37</f>
        <v>2020</v>
      </c>
      <c r="B18" s="545">
        <f>'LCOE of Utility-Scale PV'!G37</f>
        <v>68.057158940462855</v>
      </c>
      <c r="C18" s="545">
        <f>'LCOE of Utility-Scale PV'!E37</f>
        <v>59.005433994880896</v>
      </c>
      <c r="D18" s="545">
        <f>'LCOE of Utility-Scale PV'!L37</f>
        <v>92.221100686601417</v>
      </c>
      <c r="E18" s="545">
        <f>'Wind LCOE Over Time'!H46</f>
        <v>60.552242584833266</v>
      </c>
      <c r="F18" s="545">
        <f>'Wind LCOE Over Time'!E46</f>
        <v>37.59181362809688</v>
      </c>
      <c r="G18" s="545" t="e">
        <f>'Wind LCOE Over Time'!J46</f>
        <v>#N/A</v>
      </c>
      <c r="I18" s="546">
        <f t="shared" si="0"/>
        <v>2020</v>
      </c>
      <c r="J18" s="247">
        <f t="shared" si="1"/>
        <v>0.73797816805227867</v>
      </c>
      <c r="K18" s="247">
        <f t="shared" si="1"/>
        <v>0.63982574004837978</v>
      </c>
      <c r="L18" s="247"/>
      <c r="M18" s="247"/>
    </row>
    <row r="19" spans="1:14" x14ac:dyDescent="0.25">
      <c r="A19" s="544">
        <f>'LCOE of Utility-Scale PV'!A38</f>
        <v>2021</v>
      </c>
      <c r="B19" s="545">
        <f>'LCOE of Utility-Scale PV'!G38</f>
        <v>47.734502571840338</v>
      </c>
      <c r="C19" s="545">
        <f>'LCOE of Utility-Scale PV'!E38</f>
        <v>46.811922646094295</v>
      </c>
      <c r="D19" s="545" t="e">
        <f>'LCOE of Utility-Scale PV'!L38</f>
        <v>#N/A</v>
      </c>
      <c r="E19" s="545" t="e">
        <f>'Wind LCOE Over Time'!H47</f>
        <v>#N/A</v>
      </c>
      <c r="F19" s="545">
        <f>'Wind LCOE Over Time'!E47</f>
        <v>39.022830558580779</v>
      </c>
      <c r="G19" s="545">
        <f>'Wind LCOE Over Time'!J47</f>
        <v>58.470717528509581</v>
      </c>
      <c r="I19" s="546">
        <f t="shared" si="0"/>
        <v>2021</v>
      </c>
      <c r="J19" s="247" t="e">
        <f t="shared" si="1"/>
        <v>#N/A</v>
      </c>
      <c r="K19" s="247" t="e">
        <f t="shared" si="1"/>
        <v>#N/A</v>
      </c>
      <c r="L19" s="247"/>
      <c r="M19" s="247">
        <f>F19/G19</f>
        <v>0.66739099857212703</v>
      </c>
    </row>
    <row r="20" spans="1:14" x14ac:dyDescent="0.25">
      <c r="A20" s="544">
        <f>'LCOE of Utility-Scale PV'!A39</f>
        <v>2022</v>
      </c>
      <c r="B20" s="545">
        <f>'LCOE of Utility-Scale PV'!G39</f>
        <v>50.087959235848949</v>
      </c>
      <c r="C20" s="545">
        <f>'LCOE of Utility-Scale PV'!E39</f>
        <v>52.203656728519036</v>
      </c>
      <c r="D20" s="545">
        <f>'LCOE of Utility-Scale PV'!L39</f>
        <v>48.970215599167211</v>
      </c>
      <c r="E20" s="545" t="e">
        <f>'Wind LCOE Over Time'!H48</f>
        <v>#N/A</v>
      </c>
      <c r="F20" s="545">
        <f>'Wind LCOE Over Time'!E48</f>
        <v>42.007361409857857</v>
      </c>
      <c r="G20" s="545" t="e">
        <f>'Wind LCOE Over Time'!J48</f>
        <v>#N/A</v>
      </c>
      <c r="I20" s="546">
        <f t="shared" si="0"/>
        <v>2022</v>
      </c>
      <c r="J20" s="247">
        <f t="shared" si="1"/>
        <v>1.0228249686672963</v>
      </c>
      <c r="K20" s="247">
        <f t="shared" si="1"/>
        <v>1.0660287297041595</v>
      </c>
      <c r="L20" s="247"/>
      <c r="M20" s="247"/>
    </row>
    <row r="21" spans="1:14" ht="3.75" customHeight="1" thickBot="1" x14ac:dyDescent="0.3">
      <c r="A21" s="169"/>
      <c r="B21" s="186"/>
      <c r="C21" s="186"/>
      <c r="D21" s="169"/>
      <c r="E21" s="169"/>
      <c r="F21" s="169"/>
      <c r="G21" s="169"/>
      <c r="I21" s="169"/>
      <c r="J21" s="169"/>
      <c r="K21" s="169"/>
      <c r="L21" s="169"/>
      <c r="M21" s="169"/>
    </row>
    <row r="22" spans="1:14" ht="15.75" thickTop="1" x14ac:dyDescent="0.25">
      <c r="B22" s="7"/>
      <c r="C22" s="7"/>
    </row>
    <row r="23" spans="1:14" x14ac:dyDescent="0.25">
      <c r="A23" s="547" t="s">
        <v>58</v>
      </c>
      <c r="B23" s="547" t="s">
        <v>59</v>
      </c>
      <c r="C23" s="184" t="s">
        <v>60</v>
      </c>
      <c r="D23" s="184" t="s">
        <v>61</v>
      </c>
    </row>
    <row r="24" spans="1:14" x14ac:dyDescent="0.25">
      <c r="A24" s="548"/>
      <c r="B24" s="548"/>
      <c r="C24" s="549"/>
      <c r="D24" s="549"/>
      <c r="I24" s="31" t="s">
        <v>66</v>
      </c>
      <c r="K24" s="427">
        <f>AVERAGE(K20,K17:K18,K15)</f>
        <v>0.82589078827276408</v>
      </c>
      <c r="L24" s="550"/>
      <c r="M24" s="427">
        <f>AVERAGE(M16:M19)</f>
        <v>0.65111631838947104</v>
      </c>
    </row>
    <row r="25" spans="1:14" x14ac:dyDescent="0.25">
      <c r="A25" s="547"/>
      <c r="B25" s="547"/>
      <c r="C25" s="184"/>
      <c r="D25" s="184"/>
      <c r="I25" s="31" t="s">
        <v>67</v>
      </c>
      <c r="K25" s="550">
        <v>1</v>
      </c>
      <c r="L25" s="550"/>
      <c r="M25" s="550">
        <v>2</v>
      </c>
      <c r="N25" s="31" t="s">
        <v>750</v>
      </c>
    </row>
    <row r="26" spans="1:14" x14ac:dyDescent="0.25">
      <c r="A26" s="4" t="s">
        <v>78</v>
      </c>
      <c r="B26" s="4" t="s">
        <v>76</v>
      </c>
      <c r="C26" s="171">
        <v>129.75</v>
      </c>
      <c r="D26" s="184"/>
      <c r="I26" s="31"/>
      <c r="K26" s="550"/>
      <c r="L26" s="550"/>
      <c r="M26" s="550"/>
    </row>
    <row r="27" spans="1:14" x14ac:dyDescent="0.25">
      <c r="A27" s="4" t="s">
        <v>95</v>
      </c>
      <c r="B27" s="4" t="s">
        <v>76</v>
      </c>
      <c r="C27" s="171">
        <f>C26*1.15</f>
        <v>149.21249999999998</v>
      </c>
      <c r="D27" s="551" t="s">
        <v>107</v>
      </c>
      <c r="E27" s="497"/>
      <c r="I27" s="31" t="s">
        <v>68</v>
      </c>
      <c r="K27" s="550"/>
      <c r="L27" s="550"/>
      <c r="M27" s="552">
        <f>(K25*K24+M25*M24)/SUM(K25:M25)</f>
        <v>0.70937447501723538</v>
      </c>
    </row>
    <row r="28" spans="1:14" x14ac:dyDescent="0.25">
      <c r="A28" s="4" t="s">
        <v>95</v>
      </c>
      <c r="B28" s="4" t="s">
        <v>77</v>
      </c>
      <c r="C28" s="171">
        <f>AVERAGE(SooGreen_Annual!N20:N39)</f>
        <v>96.655113228904526</v>
      </c>
      <c r="D28" s="171"/>
    </row>
    <row r="29" spans="1:14" x14ac:dyDescent="0.25">
      <c r="A29" s="4"/>
      <c r="B29" s="265"/>
      <c r="C29" s="171"/>
      <c r="D29" s="171"/>
    </row>
    <row r="30" spans="1:14" x14ac:dyDescent="0.25">
      <c r="A30" s="2" t="s">
        <v>62</v>
      </c>
      <c r="B30" s="265"/>
      <c r="C30" s="171"/>
      <c r="D30" s="171"/>
    </row>
    <row r="31" spans="1:14" x14ac:dyDescent="0.25">
      <c r="A31" s="547" t="s">
        <v>63</v>
      </c>
      <c r="B31" s="4" t="s">
        <v>76</v>
      </c>
      <c r="C31" s="171"/>
      <c r="D31" s="553">
        <f>C27*$M$27</f>
        <v>105.84753885350922</v>
      </c>
    </row>
    <row r="32" spans="1:14" x14ac:dyDescent="0.25">
      <c r="A32" s="547" t="s">
        <v>63</v>
      </c>
      <c r="B32" s="4" t="s">
        <v>77</v>
      </c>
      <c r="C32" s="171"/>
      <c r="D32" s="553">
        <f>C28*$M$27</f>
        <v>68.564670204485594</v>
      </c>
    </row>
    <row r="33" spans="1:4" x14ac:dyDescent="0.25">
      <c r="A33" s="547"/>
      <c r="B33" s="265"/>
      <c r="C33" s="171"/>
      <c r="D33" s="171"/>
    </row>
    <row r="34" spans="1:4" x14ac:dyDescent="0.25">
      <c r="A34" s="548"/>
      <c r="B34" s="554"/>
      <c r="C34" s="555"/>
      <c r="D34" s="555"/>
    </row>
    <row r="35" spans="1:4" x14ac:dyDescent="0.25">
      <c r="A35" s="547"/>
      <c r="B35" s="265"/>
      <c r="C35" s="171"/>
      <c r="D35" s="171"/>
    </row>
    <row r="36" spans="1:4" x14ac:dyDescent="0.25">
      <c r="A36" s="4" t="s">
        <v>92</v>
      </c>
      <c r="B36" s="27">
        <f>Storage_Backup!D17</f>
        <v>2451751338.0564389</v>
      </c>
      <c r="C36" s="171"/>
      <c r="D36" s="171"/>
    </row>
    <row r="37" spans="1:4" x14ac:dyDescent="0.25">
      <c r="A37" s="4" t="s">
        <v>74</v>
      </c>
      <c r="B37" s="27">
        <f>Storage_Backup!D12</f>
        <v>1556357310.0406926</v>
      </c>
      <c r="C37" s="556" t="s">
        <v>72</v>
      </c>
      <c r="D37" s="171"/>
    </row>
    <row r="38" spans="1:4" x14ac:dyDescent="0.25">
      <c r="A38" s="4" t="s">
        <v>73</v>
      </c>
      <c r="B38" s="437">
        <f>SUM(SooGreen_Annual!J20:J39)</f>
        <v>256891147.98508731</v>
      </c>
      <c r="C38" s="557"/>
      <c r="D38" s="171"/>
    </row>
    <row r="39" spans="1:4" x14ac:dyDescent="0.25">
      <c r="A39" s="4" t="s">
        <v>93</v>
      </c>
      <c r="B39" s="558">
        <f>B36/B$38</f>
        <v>9.5439307943719598</v>
      </c>
      <c r="C39" s="557"/>
      <c r="D39" s="171"/>
    </row>
    <row r="40" spans="1:4" x14ac:dyDescent="0.25">
      <c r="A40" s="4" t="s">
        <v>94</v>
      </c>
      <c r="B40" s="558">
        <f>B37/B$38</f>
        <v>6.0584310601898981</v>
      </c>
      <c r="C40" s="557"/>
      <c r="D40" s="171"/>
    </row>
    <row r="41" spans="1:4" x14ac:dyDescent="0.25">
      <c r="A41" s="4"/>
      <c r="B41" s="558"/>
      <c r="C41" s="557"/>
      <c r="D41" s="171"/>
    </row>
    <row r="42" spans="1:4" x14ac:dyDescent="0.25">
      <c r="A42" s="2" t="s">
        <v>62</v>
      </c>
      <c r="B42" s="4" t="s">
        <v>76</v>
      </c>
      <c r="C42" s="557"/>
      <c r="D42" s="553">
        <f>D31+B39</f>
        <v>115.39146964788118</v>
      </c>
    </row>
    <row r="43" spans="1:4" x14ac:dyDescent="0.25">
      <c r="A43" s="2" t="s">
        <v>62</v>
      </c>
      <c r="B43" s="4" t="s">
        <v>77</v>
      </c>
      <c r="C43" s="7"/>
      <c r="D43" s="553">
        <f>D32+B40</f>
        <v>74.623101264675498</v>
      </c>
    </row>
    <row r="44" spans="1:4" x14ac:dyDescent="0.25">
      <c r="A44" s="547" t="s">
        <v>75</v>
      </c>
      <c r="B44" s="7"/>
      <c r="C44" s="7"/>
    </row>
    <row r="46" spans="1:4" x14ac:dyDescent="0.25">
      <c r="A46" s="4"/>
    </row>
    <row r="49" spans="1:3" x14ac:dyDescent="0.25">
      <c r="A49" s="4"/>
      <c r="B49" s="475"/>
      <c r="C49" s="559"/>
    </row>
  </sheetData>
  <mergeCells count="4">
    <mergeCell ref="B4:D4"/>
    <mergeCell ref="E4:G4"/>
    <mergeCell ref="J4:K4"/>
    <mergeCell ref="L4:M4"/>
  </mergeCells>
  <printOptions horizontalCentered="1" verticalCentered="1"/>
  <pageMargins left="0.2" right="0.2" top="0.75" bottom="0.75" header="0.3" footer="0.3"/>
  <pageSetup scale="5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FAB8C-EBB8-4C7C-B897-DDA3FF67AA82}">
  <sheetPr codeName="Sheet27"/>
  <dimension ref="A1:AC90"/>
  <sheetViews>
    <sheetView zoomScale="85" zoomScaleNormal="85" workbookViewId="0">
      <pane xSplit="1" ySplit="10" topLeftCell="B11" activePane="bottomRight" state="frozen"/>
      <selection pane="topRight"/>
      <selection pane="bottomLeft"/>
      <selection pane="bottomRight"/>
    </sheetView>
  </sheetViews>
  <sheetFormatPr defaultRowHeight="15" outlineLevelRow="1" x14ac:dyDescent="0.25"/>
  <cols>
    <col min="1" max="1" width="13.5703125" style="3" customWidth="1"/>
    <col min="2" max="2" width="10.28515625" style="3" bestFit="1" customWidth="1"/>
    <col min="3" max="4" width="16.7109375" style="3" customWidth="1"/>
    <col min="5" max="5" width="21.28515625" style="3" bestFit="1" customWidth="1"/>
    <col min="6" max="27" width="16.42578125" style="3" customWidth="1"/>
    <col min="28" max="29" width="16.42578125" style="7" customWidth="1"/>
    <col min="30" max="16384" width="9.140625" style="3"/>
  </cols>
  <sheetData>
    <row r="1" spans="1:29" ht="18.75" x14ac:dyDescent="0.3">
      <c r="A1" s="233" t="s">
        <v>96</v>
      </c>
      <c r="C1" s="31"/>
    </row>
    <row r="2" spans="1:29" ht="19.5" thickBot="1" x14ac:dyDescent="0.35">
      <c r="A2" s="169"/>
      <c r="B2" s="169"/>
      <c r="C2" s="169"/>
      <c r="D2" s="169"/>
      <c r="E2" s="169"/>
      <c r="F2" s="169"/>
      <c r="G2" s="169"/>
      <c r="H2" s="169"/>
      <c r="I2" s="169"/>
      <c r="J2" s="169"/>
      <c r="K2" s="169"/>
      <c r="L2" s="169"/>
      <c r="M2" s="169"/>
      <c r="N2" s="169"/>
      <c r="O2" s="169"/>
      <c r="P2" s="169"/>
      <c r="Q2" s="169"/>
      <c r="R2" s="533"/>
      <c r="S2" s="533"/>
      <c r="T2" s="533"/>
      <c r="U2" s="533"/>
      <c r="V2" s="533"/>
      <c r="W2" s="533"/>
      <c r="X2" s="533"/>
      <c r="Y2" s="533"/>
      <c r="Z2" s="533"/>
      <c r="AA2" s="186"/>
      <c r="AB2" s="186"/>
      <c r="AC2" s="186"/>
    </row>
    <row r="3" spans="1:29" ht="9" customHeight="1" thickTop="1" x14ac:dyDescent="0.3">
      <c r="C3" s="230"/>
      <c r="D3" s="228"/>
      <c r="E3" s="228"/>
      <c r="F3" s="227"/>
      <c r="G3" s="229"/>
      <c r="H3" s="228"/>
      <c r="I3" s="228"/>
      <c r="J3" s="227"/>
      <c r="K3" s="228"/>
      <c r="L3" s="227"/>
      <c r="M3" s="229"/>
      <c r="N3" s="227"/>
      <c r="O3" s="228"/>
      <c r="P3" s="228"/>
      <c r="Q3" s="227"/>
      <c r="R3" s="534"/>
      <c r="S3" s="534"/>
      <c r="T3" s="534"/>
      <c r="U3" s="534"/>
      <c r="V3" s="534"/>
      <c r="W3" s="534"/>
      <c r="X3" s="534"/>
      <c r="Y3" s="534"/>
      <c r="Z3" s="535"/>
      <c r="AA3" s="180"/>
    </row>
    <row r="4" spans="1:29" ht="18.75" x14ac:dyDescent="0.3">
      <c r="C4" s="31"/>
      <c r="F4" s="201"/>
      <c r="G4" s="202"/>
      <c r="J4" s="201"/>
      <c r="L4" s="201"/>
      <c r="M4" s="202"/>
      <c r="N4" s="201"/>
      <c r="Q4" s="201"/>
      <c r="R4" s="598" t="s">
        <v>523</v>
      </c>
      <c r="S4" s="599"/>
      <c r="T4" s="599"/>
      <c r="U4" s="599"/>
      <c r="V4" s="599"/>
      <c r="W4" s="599"/>
      <c r="X4" s="599"/>
      <c r="Y4" s="599"/>
      <c r="Z4" s="600"/>
      <c r="AA4" s="180"/>
    </row>
    <row r="5" spans="1:29" x14ac:dyDescent="0.25">
      <c r="C5" s="603" t="s">
        <v>17</v>
      </c>
      <c r="D5" s="604"/>
      <c r="E5" s="604"/>
      <c r="F5" s="605"/>
      <c r="G5" s="606" t="s">
        <v>18</v>
      </c>
      <c r="H5" s="601"/>
      <c r="I5" s="601"/>
      <c r="J5" s="602"/>
      <c r="K5" s="606" t="s">
        <v>64</v>
      </c>
      <c r="L5" s="601"/>
      <c r="M5" s="606" t="s">
        <v>19</v>
      </c>
      <c r="N5" s="602"/>
      <c r="O5" s="601" t="s">
        <v>20</v>
      </c>
      <c r="P5" s="601"/>
      <c r="Q5" s="602"/>
      <c r="R5" s="601" t="s">
        <v>524</v>
      </c>
      <c r="S5" s="601"/>
      <c r="T5" s="601"/>
      <c r="U5" s="601"/>
      <c r="V5" s="601" t="s">
        <v>525</v>
      </c>
      <c r="W5" s="601"/>
      <c r="X5" s="601" t="s">
        <v>526</v>
      </c>
      <c r="Y5" s="601"/>
      <c r="Z5" s="602"/>
      <c r="AA5" s="244" t="s">
        <v>527</v>
      </c>
      <c r="AB5" s="226"/>
      <c r="AC5" s="226"/>
    </row>
    <row r="6" spans="1:29" x14ac:dyDescent="0.25">
      <c r="B6" s="3" t="s">
        <v>42</v>
      </c>
      <c r="C6" s="219" t="s">
        <v>3</v>
      </c>
      <c r="D6" s="219" t="s">
        <v>4</v>
      </c>
      <c r="E6" s="222" t="s">
        <v>5</v>
      </c>
      <c r="F6" s="224" t="s">
        <v>6</v>
      </c>
      <c r="G6" s="221" t="s">
        <v>3</v>
      </c>
      <c r="H6" s="219" t="s">
        <v>4</v>
      </c>
      <c r="I6" s="222" t="s">
        <v>5</v>
      </c>
      <c r="J6" s="224" t="s">
        <v>6</v>
      </c>
      <c r="K6" s="223" t="s">
        <v>21</v>
      </c>
      <c r="L6" s="222" t="s">
        <v>22</v>
      </c>
      <c r="M6" s="223" t="s">
        <v>21</v>
      </c>
      <c r="N6" s="224" t="s">
        <v>22</v>
      </c>
      <c r="O6" s="222" t="s">
        <v>23</v>
      </c>
      <c r="P6" s="222" t="s">
        <v>24</v>
      </c>
      <c r="Q6" s="225" t="s">
        <v>25</v>
      </c>
      <c r="R6" s="219" t="s">
        <v>3</v>
      </c>
      <c r="S6" s="219" t="s">
        <v>4</v>
      </c>
      <c r="T6" s="222" t="s">
        <v>5</v>
      </c>
      <c r="U6" s="222" t="s">
        <v>6</v>
      </c>
      <c r="V6" s="222" t="s">
        <v>21</v>
      </c>
      <c r="W6" s="222" t="s">
        <v>22</v>
      </c>
      <c r="X6" s="222" t="s">
        <v>23</v>
      </c>
      <c r="Y6" s="222" t="s">
        <v>24</v>
      </c>
      <c r="Z6" s="225" t="s">
        <v>25</v>
      </c>
      <c r="AA6" s="222" t="s">
        <v>528</v>
      </c>
      <c r="AB6" s="7" t="s">
        <v>26</v>
      </c>
      <c r="AC6" s="182" t="s">
        <v>27</v>
      </c>
    </row>
    <row r="7" spans="1:29" x14ac:dyDescent="0.25">
      <c r="B7" s="3" t="s">
        <v>28</v>
      </c>
      <c r="C7" s="219" t="s">
        <v>29</v>
      </c>
      <c r="D7" s="219" t="s">
        <v>29</v>
      </c>
      <c r="E7" s="219" t="s">
        <v>29</v>
      </c>
      <c r="F7" s="224" t="s">
        <v>6</v>
      </c>
      <c r="G7" s="221" t="s">
        <v>29</v>
      </c>
      <c r="H7" s="219" t="s">
        <v>29</v>
      </c>
      <c r="I7" s="219" t="s">
        <v>29</v>
      </c>
      <c r="J7" s="224" t="s">
        <v>6</v>
      </c>
      <c r="K7" s="223" t="s">
        <v>29</v>
      </c>
      <c r="L7" s="222" t="s">
        <v>29</v>
      </c>
      <c r="M7" s="221" t="s">
        <v>29</v>
      </c>
      <c r="N7" s="220" t="s">
        <v>29</v>
      </c>
      <c r="O7" s="219" t="s">
        <v>29</v>
      </c>
      <c r="P7" s="219" t="s">
        <v>29</v>
      </c>
      <c r="Q7" s="220" t="s">
        <v>29</v>
      </c>
      <c r="R7" s="219" t="s">
        <v>29</v>
      </c>
      <c r="S7" s="219" t="s">
        <v>29</v>
      </c>
      <c r="T7" s="219" t="s">
        <v>29</v>
      </c>
      <c r="U7" s="222" t="s">
        <v>6</v>
      </c>
      <c r="V7" s="219" t="s">
        <v>29</v>
      </c>
      <c r="W7" s="219" t="s">
        <v>29</v>
      </c>
      <c r="X7" s="219" t="s">
        <v>29</v>
      </c>
      <c r="Y7" s="219" t="s">
        <v>29</v>
      </c>
      <c r="Z7" s="220" t="s">
        <v>29</v>
      </c>
      <c r="AA7" s="222"/>
      <c r="AC7" s="182"/>
    </row>
    <row r="8" spans="1:29" hidden="1" outlineLevel="1" x14ac:dyDescent="0.25">
      <c r="B8" s="3">
        <v>1</v>
      </c>
      <c r="C8" s="219">
        <f>1+B8</f>
        <v>2</v>
      </c>
      <c r="D8" s="219">
        <f t="shared" ref="D8:Z8" si="0">1+C8</f>
        <v>3</v>
      </c>
      <c r="E8" s="219">
        <f t="shared" si="0"/>
        <v>4</v>
      </c>
      <c r="F8" s="220">
        <f t="shared" si="0"/>
        <v>5</v>
      </c>
      <c r="G8" s="221">
        <f t="shared" si="0"/>
        <v>6</v>
      </c>
      <c r="H8" s="219">
        <f t="shared" si="0"/>
        <v>7</v>
      </c>
      <c r="I8" s="219">
        <f t="shared" si="0"/>
        <v>8</v>
      </c>
      <c r="J8" s="220">
        <f t="shared" si="0"/>
        <v>9</v>
      </c>
      <c r="K8" s="221">
        <f>1+J8</f>
        <v>10</v>
      </c>
      <c r="L8" s="219">
        <f>1+K8</f>
        <v>11</v>
      </c>
      <c r="M8" s="221">
        <f>1+L8</f>
        <v>12</v>
      </c>
      <c r="N8" s="220">
        <f t="shared" si="0"/>
        <v>13</v>
      </c>
      <c r="O8" s="219">
        <f t="shared" si="0"/>
        <v>14</v>
      </c>
      <c r="P8" s="219">
        <f t="shared" si="0"/>
        <v>15</v>
      </c>
      <c r="Q8" s="220">
        <f t="shared" si="0"/>
        <v>16</v>
      </c>
      <c r="R8" s="219">
        <f t="shared" si="0"/>
        <v>17</v>
      </c>
      <c r="S8" s="219">
        <f t="shared" si="0"/>
        <v>18</v>
      </c>
      <c r="T8" s="219">
        <f t="shared" si="0"/>
        <v>19</v>
      </c>
      <c r="U8" s="219">
        <f t="shared" si="0"/>
        <v>20</v>
      </c>
      <c r="V8" s="219">
        <f t="shared" si="0"/>
        <v>21</v>
      </c>
      <c r="W8" s="219">
        <f t="shared" si="0"/>
        <v>22</v>
      </c>
      <c r="X8" s="219">
        <f t="shared" si="0"/>
        <v>23</v>
      </c>
      <c r="Y8" s="219">
        <f t="shared" si="0"/>
        <v>24</v>
      </c>
      <c r="Z8" s="220">
        <f t="shared" si="0"/>
        <v>25</v>
      </c>
      <c r="AA8" s="222"/>
      <c r="AC8" s="182"/>
    </row>
    <row r="9" spans="1:29" collapsed="1" x14ac:dyDescent="0.25">
      <c r="B9" s="180" t="str">
        <f>"["&amp;B8&amp;"]"</f>
        <v>[1]</v>
      </c>
      <c r="C9" s="180" t="str">
        <f t="shared" ref="C9:Z9" si="1">"["&amp;C8&amp;"]"</f>
        <v>[2]</v>
      </c>
      <c r="D9" s="180" t="str">
        <f t="shared" si="1"/>
        <v>[3]</v>
      </c>
      <c r="E9" s="180" t="str">
        <f t="shared" si="1"/>
        <v>[4]</v>
      </c>
      <c r="F9" s="218" t="str">
        <f t="shared" si="1"/>
        <v>[5]</v>
      </c>
      <c r="G9" s="217" t="str">
        <f t="shared" si="1"/>
        <v>[6]</v>
      </c>
      <c r="H9" s="180" t="str">
        <f t="shared" si="1"/>
        <v>[7]</v>
      </c>
      <c r="I9" s="180" t="str">
        <f t="shared" si="1"/>
        <v>[8]</v>
      </c>
      <c r="J9" s="218" t="str">
        <f t="shared" si="1"/>
        <v>[9]</v>
      </c>
      <c r="K9" s="217" t="str">
        <f t="shared" si="1"/>
        <v>[10]</v>
      </c>
      <c r="L9" s="219" t="str">
        <f t="shared" si="1"/>
        <v>[11]</v>
      </c>
      <c r="M9" s="217" t="str">
        <f t="shared" si="1"/>
        <v>[12]</v>
      </c>
      <c r="N9" s="218" t="str">
        <f t="shared" si="1"/>
        <v>[13]</v>
      </c>
      <c r="O9" s="180" t="str">
        <f t="shared" si="1"/>
        <v>[14]</v>
      </c>
      <c r="P9" s="180" t="str">
        <f t="shared" si="1"/>
        <v>[15]</v>
      </c>
      <c r="Q9" s="218" t="str">
        <f t="shared" si="1"/>
        <v>[16]</v>
      </c>
      <c r="R9" s="180" t="str">
        <f t="shared" si="1"/>
        <v>[17]</v>
      </c>
      <c r="S9" s="180" t="str">
        <f t="shared" si="1"/>
        <v>[18]</v>
      </c>
      <c r="T9" s="180" t="str">
        <f t="shared" si="1"/>
        <v>[19]</v>
      </c>
      <c r="U9" s="180" t="str">
        <f t="shared" si="1"/>
        <v>[20]</v>
      </c>
      <c r="V9" s="180" t="str">
        <f t="shared" si="1"/>
        <v>[21]</v>
      </c>
      <c r="W9" s="180" t="str">
        <f t="shared" si="1"/>
        <v>[22]</v>
      </c>
      <c r="X9" s="180" t="str">
        <f t="shared" si="1"/>
        <v>[23]</v>
      </c>
      <c r="Y9" s="180" t="str">
        <f t="shared" si="1"/>
        <v>[24]</v>
      </c>
      <c r="Z9" s="218" t="str">
        <f t="shared" si="1"/>
        <v>[25]</v>
      </c>
      <c r="AA9" s="222"/>
      <c r="AC9" s="182"/>
    </row>
    <row r="10" spans="1:29" ht="4.5" customHeight="1" x14ac:dyDescent="0.25">
      <c r="A10" s="175"/>
      <c r="B10" s="211"/>
      <c r="C10" s="211"/>
      <c r="D10" s="211"/>
      <c r="E10" s="211"/>
      <c r="F10" s="215"/>
      <c r="G10" s="216"/>
      <c r="H10" s="211"/>
      <c r="I10" s="211"/>
      <c r="J10" s="215"/>
      <c r="K10" s="217"/>
      <c r="L10" s="180"/>
      <c r="M10" s="216"/>
      <c r="N10" s="215"/>
      <c r="O10" s="211"/>
      <c r="P10" s="211"/>
      <c r="Q10" s="215"/>
      <c r="R10" s="211"/>
      <c r="S10" s="211"/>
      <c r="T10" s="211"/>
      <c r="U10" s="211"/>
      <c r="V10" s="211"/>
      <c r="W10" s="211"/>
      <c r="X10" s="211"/>
      <c r="Y10" s="211"/>
      <c r="Z10" s="215"/>
      <c r="AA10" s="536"/>
      <c r="AB10" s="207"/>
      <c r="AC10" s="214"/>
    </row>
    <row r="11" spans="1:29" ht="4.5" customHeight="1" x14ac:dyDescent="0.25">
      <c r="C11" s="4"/>
      <c r="D11" s="4"/>
      <c r="E11" s="183"/>
      <c r="F11" s="212"/>
      <c r="G11" s="213"/>
      <c r="H11" s="183"/>
      <c r="I11" s="183"/>
      <c r="J11" s="212"/>
      <c r="K11" s="183"/>
      <c r="L11" s="183"/>
      <c r="M11" s="213"/>
      <c r="N11" s="212"/>
      <c r="O11" s="183"/>
      <c r="P11" s="183"/>
      <c r="Q11" s="212"/>
      <c r="R11" s="183"/>
      <c r="S11" s="183"/>
      <c r="T11" s="183"/>
      <c r="U11" s="183"/>
      <c r="V11" s="183"/>
      <c r="W11" s="183"/>
      <c r="X11" s="183"/>
      <c r="Y11" s="183"/>
      <c r="Z11" s="212"/>
      <c r="AA11" s="222"/>
      <c r="AB11" s="182"/>
      <c r="AC11" s="182"/>
    </row>
    <row r="12" spans="1:29" hidden="1" outlineLevel="1" x14ac:dyDescent="0.25">
      <c r="A12" s="180">
        <v>2022</v>
      </c>
      <c r="B12" s="180"/>
      <c r="C12" s="4"/>
      <c r="D12" s="4"/>
      <c r="E12" s="183"/>
      <c r="F12" s="212"/>
      <c r="G12" s="213"/>
      <c r="H12" s="183"/>
      <c r="I12" s="183"/>
      <c r="J12" s="212"/>
      <c r="K12" s="183"/>
      <c r="L12" s="183"/>
      <c r="M12" s="213"/>
      <c r="N12" s="212"/>
      <c r="O12" s="183"/>
      <c r="P12" s="183"/>
      <c r="Q12" s="212"/>
      <c r="R12" s="183"/>
      <c r="S12" s="183"/>
      <c r="T12" s="183"/>
      <c r="U12" s="183"/>
      <c r="V12" s="183"/>
      <c r="W12" s="183"/>
      <c r="X12" s="183"/>
      <c r="Y12" s="183"/>
      <c r="Z12" s="212"/>
      <c r="AA12" s="183"/>
      <c r="AB12" s="7">
        <v>0</v>
      </c>
      <c r="AC12" s="203">
        <v>1</v>
      </c>
    </row>
    <row r="13" spans="1:29" hidden="1" outlineLevel="1" x14ac:dyDescent="0.25">
      <c r="A13" s="180">
        <v>2023</v>
      </c>
      <c r="B13" s="180"/>
      <c r="C13" s="4"/>
      <c r="D13" s="4"/>
      <c r="E13" s="183"/>
      <c r="F13" s="212"/>
      <c r="G13" s="213"/>
      <c r="H13" s="183"/>
      <c r="I13" s="183"/>
      <c r="J13" s="212"/>
      <c r="K13" s="183"/>
      <c r="L13" s="183"/>
      <c r="M13" s="213"/>
      <c r="N13" s="212"/>
      <c r="O13" s="183"/>
      <c r="P13" s="183"/>
      <c r="Q13" s="212"/>
      <c r="R13" s="183"/>
      <c r="S13" s="183"/>
      <c r="T13" s="183"/>
      <c r="U13" s="183"/>
      <c r="V13" s="183"/>
      <c r="W13" s="183"/>
      <c r="X13" s="183"/>
      <c r="Y13" s="183"/>
      <c r="Z13" s="212"/>
      <c r="AA13" s="183"/>
      <c r="AB13" s="7">
        <v>3.7600000000000001E-2</v>
      </c>
      <c r="AC13" s="203">
        <f>AC12*(1+AB13)</f>
        <v>1.0376000000000001</v>
      </c>
    </row>
    <row r="14" spans="1:29" hidden="1" outlineLevel="1" x14ac:dyDescent="0.25">
      <c r="A14" s="180">
        <v>2024</v>
      </c>
      <c r="B14" s="180"/>
      <c r="C14" s="4"/>
      <c r="D14" s="4"/>
      <c r="E14" s="183"/>
      <c r="F14" s="212"/>
      <c r="G14" s="213"/>
      <c r="H14" s="183"/>
      <c r="I14" s="183"/>
      <c r="J14" s="212"/>
      <c r="K14" s="183"/>
      <c r="L14" s="183"/>
      <c r="M14" s="213"/>
      <c r="N14" s="212"/>
      <c r="O14" s="183"/>
      <c r="P14" s="183"/>
      <c r="Q14" s="212"/>
      <c r="R14" s="183"/>
      <c r="S14" s="183"/>
      <c r="T14" s="183"/>
      <c r="U14" s="183"/>
      <c r="V14" s="183"/>
      <c r="W14" s="183"/>
      <c r="X14" s="183"/>
      <c r="Y14" s="183"/>
      <c r="Z14" s="212"/>
      <c r="AA14" s="183"/>
      <c r="AB14" s="7">
        <v>2.5000000000000001E-2</v>
      </c>
      <c r="AC14" s="203">
        <f t="shared" ref="AC14:AC39" si="2">AC13*(1+AB14)</f>
        <v>1.0635399999999999</v>
      </c>
    </row>
    <row r="15" spans="1:29" hidden="1" outlineLevel="1" x14ac:dyDescent="0.25">
      <c r="A15" s="180">
        <v>2025</v>
      </c>
      <c r="B15" s="180"/>
      <c r="C15" s="4"/>
      <c r="D15" s="4"/>
      <c r="E15" s="183"/>
      <c r="F15" s="212"/>
      <c r="G15" s="213"/>
      <c r="H15" s="183"/>
      <c r="I15" s="183"/>
      <c r="J15" s="212"/>
      <c r="K15" s="183"/>
      <c r="L15" s="183"/>
      <c r="M15" s="213"/>
      <c r="N15" s="212"/>
      <c r="O15" s="183"/>
      <c r="P15" s="183"/>
      <c r="Q15" s="212"/>
      <c r="R15" s="183"/>
      <c r="S15" s="183"/>
      <c r="T15" s="183"/>
      <c r="U15" s="183"/>
      <c r="V15" s="183"/>
      <c r="W15" s="183"/>
      <c r="X15" s="183"/>
      <c r="Y15" s="183"/>
      <c r="Z15" s="212"/>
      <c r="AA15" s="183"/>
      <c r="AB15" s="7">
        <f>$AB$14</f>
        <v>2.5000000000000001E-2</v>
      </c>
      <c r="AC15" s="203">
        <f t="shared" si="2"/>
        <v>1.0901284999999998</v>
      </c>
    </row>
    <row r="16" spans="1:29" hidden="1" outlineLevel="1" x14ac:dyDescent="0.25">
      <c r="A16" s="180">
        <v>2026</v>
      </c>
      <c r="B16" s="180"/>
      <c r="C16" s="4"/>
      <c r="D16" s="4"/>
      <c r="E16" s="183"/>
      <c r="F16" s="212"/>
      <c r="G16" s="213"/>
      <c r="H16" s="183"/>
      <c r="I16" s="183"/>
      <c r="J16" s="212"/>
      <c r="K16" s="183"/>
      <c r="L16" s="183"/>
      <c r="M16" s="213"/>
      <c r="N16" s="212"/>
      <c r="O16" s="183"/>
      <c r="P16" s="183"/>
      <c r="Q16" s="212"/>
      <c r="R16" s="183"/>
      <c r="S16" s="183"/>
      <c r="T16" s="183"/>
      <c r="U16" s="183"/>
      <c r="V16" s="183"/>
      <c r="W16" s="183"/>
      <c r="X16" s="183"/>
      <c r="Y16" s="183"/>
      <c r="Z16" s="212"/>
      <c r="AA16" s="183"/>
      <c r="AB16" s="7">
        <f t="shared" ref="AB16:AB39" si="3">$AB$14</f>
        <v>2.5000000000000001E-2</v>
      </c>
      <c r="AC16" s="203">
        <f t="shared" si="2"/>
        <v>1.1173817124999996</v>
      </c>
    </row>
    <row r="17" spans="1:29" hidden="1" outlineLevel="1" x14ac:dyDescent="0.25">
      <c r="A17" s="180">
        <v>2027</v>
      </c>
      <c r="B17" s="180"/>
      <c r="C17" s="4"/>
      <c r="D17" s="4"/>
      <c r="E17" s="183"/>
      <c r="F17" s="212"/>
      <c r="G17" s="213"/>
      <c r="H17" s="183"/>
      <c r="I17" s="183"/>
      <c r="J17" s="212"/>
      <c r="K17" s="183"/>
      <c r="L17" s="183"/>
      <c r="M17" s="213"/>
      <c r="N17" s="212"/>
      <c r="O17" s="183"/>
      <c r="P17" s="183"/>
      <c r="Q17" s="212"/>
      <c r="R17" s="183"/>
      <c r="S17" s="183"/>
      <c r="T17" s="183"/>
      <c r="U17" s="183"/>
      <c r="V17" s="183"/>
      <c r="W17" s="183"/>
      <c r="X17" s="183"/>
      <c r="Y17" s="183"/>
      <c r="Z17" s="212"/>
      <c r="AA17" s="183"/>
      <c r="AB17" s="7">
        <f t="shared" si="3"/>
        <v>2.5000000000000001E-2</v>
      </c>
      <c r="AC17" s="203">
        <f t="shared" si="2"/>
        <v>1.1453162553124996</v>
      </c>
    </row>
    <row r="18" spans="1:29" hidden="1" outlineLevel="1" x14ac:dyDescent="0.25">
      <c r="A18" s="180">
        <v>2028</v>
      </c>
      <c r="B18" s="180"/>
      <c r="C18" s="4"/>
      <c r="D18" s="4"/>
      <c r="E18" s="183"/>
      <c r="F18" s="212"/>
      <c r="G18" s="213"/>
      <c r="H18" s="183"/>
      <c r="I18" s="183"/>
      <c r="J18" s="212"/>
      <c r="K18" s="183"/>
      <c r="L18" s="183"/>
      <c r="M18" s="213"/>
      <c r="N18" s="212"/>
      <c r="O18" s="183"/>
      <c r="P18" s="183"/>
      <c r="Q18" s="212"/>
      <c r="R18" s="183"/>
      <c r="S18" s="183"/>
      <c r="T18" s="183"/>
      <c r="U18" s="183"/>
      <c r="V18" s="183"/>
      <c r="W18" s="183"/>
      <c r="X18" s="183"/>
      <c r="Y18" s="183"/>
      <c r="Z18" s="212"/>
      <c r="AA18" s="183"/>
      <c r="AB18" s="7">
        <f t="shared" si="3"/>
        <v>2.5000000000000001E-2</v>
      </c>
      <c r="AC18" s="203">
        <f t="shared" si="2"/>
        <v>1.1739491616953119</v>
      </c>
    </row>
    <row r="19" spans="1:29" hidden="1" outlineLevel="1" x14ac:dyDescent="0.25">
      <c r="A19" s="180">
        <v>2029</v>
      </c>
      <c r="B19" s="180"/>
      <c r="C19" s="4"/>
      <c r="D19" s="4"/>
      <c r="E19" s="183"/>
      <c r="F19" s="212"/>
      <c r="G19" s="213"/>
      <c r="H19" s="183"/>
      <c r="I19" s="183"/>
      <c r="J19" s="212"/>
      <c r="K19" s="183"/>
      <c r="L19" s="183"/>
      <c r="M19" s="202"/>
      <c r="N19" s="212"/>
      <c r="O19" s="183"/>
      <c r="P19" s="183"/>
      <c r="Q19" s="212"/>
      <c r="R19" s="183"/>
      <c r="S19" s="183"/>
      <c r="T19" s="183"/>
      <c r="U19" s="183"/>
      <c r="V19" s="183"/>
      <c r="W19" s="183"/>
      <c r="X19" s="183"/>
      <c r="Y19" s="183"/>
      <c r="Z19" s="212"/>
      <c r="AA19" s="183"/>
      <c r="AB19" s="7">
        <f t="shared" si="3"/>
        <v>2.5000000000000001E-2</v>
      </c>
      <c r="AC19" s="203">
        <f t="shared" si="2"/>
        <v>1.2032978907376946</v>
      </c>
    </row>
    <row r="20" spans="1:29" collapsed="1" x14ac:dyDescent="0.25">
      <c r="A20" s="180">
        <v>2030</v>
      </c>
      <c r="B20" s="180">
        <v>1</v>
      </c>
      <c r="C20" s="537">
        <f>'Energy Revenue'!AL8</f>
        <v>436682225.54653525</v>
      </c>
      <c r="D20" s="185">
        <f>'Cap Revenue'!H9</f>
        <v>107120286.61756325</v>
      </c>
      <c r="E20" s="185">
        <f>'Energy Mkt Benefits'!W11</f>
        <v>185598782.70004654</v>
      </c>
      <c r="F20" s="204">
        <f>'Energy Revenue'!AM8</f>
        <v>15609874.853134481</v>
      </c>
      <c r="G20" s="205">
        <f t="shared" ref="G20:G39" si="4">C20/$AC20</f>
        <v>354053175.72393674</v>
      </c>
      <c r="H20" s="185">
        <f t="shared" ref="H20:H39" si="5">D20/$AC20</f>
        <v>86850976.391217828</v>
      </c>
      <c r="I20" s="185">
        <f t="shared" ref="I20:I39" si="6">E20/$AC20</f>
        <v>150479764.41726208</v>
      </c>
      <c r="J20" s="204">
        <f>F20</f>
        <v>15609874.853134481</v>
      </c>
      <c r="K20" s="185">
        <f t="shared" ref="K20:K39" si="7">M20*$AC20</f>
        <v>269536182.21451128</v>
      </c>
      <c r="L20" s="185">
        <f t="shared" ref="L20:L39" si="8">N20*$AC20</f>
        <v>1286458169.0022511</v>
      </c>
      <c r="M20" s="205">
        <f>SUM(Storage_Annual!M20,OSW_Annual!M20)</f>
        <v>218534521.67904606</v>
      </c>
      <c r="N20" s="204">
        <f>SUM(SooGreen_Annual!P20,Storage_Annual!N20,OSW_Annual!N20)</f>
        <v>1043034439.0619354</v>
      </c>
      <c r="O20" s="185">
        <f>SUM(M20:N20)</f>
        <v>1261568960.7409816</v>
      </c>
      <c r="P20" s="185">
        <f t="shared" ref="P20:P39" si="9">SUM(G20:H20)</f>
        <v>440904152.11515456</v>
      </c>
      <c r="Q20" s="204">
        <f>P20-O20</f>
        <v>-820664808.62582707</v>
      </c>
      <c r="R20" s="185">
        <f t="shared" ref="R20:T39" si="10">G20*$AA20</f>
        <v>347110956.59209484</v>
      </c>
      <c r="S20" s="185">
        <f t="shared" si="10"/>
        <v>85148016.069821402</v>
      </c>
      <c r="T20" s="185">
        <f t="shared" si="10"/>
        <v>147529180.80123731</v>
      </c>
      <c r="U20" s="185">
        <f>F20</f>
        <v>15609874.853134481</v>
      </c>
      <c r="V20" s="185">
        <f t="shared" ref="V20:Z39" si="11">M20*$AA20</f>
        <v>214249531.0578883</v>
      </c>
      <c r="W20" s="185">
        <f t="shared" si="11"/>
        <v>1022582783.3940543</v>
      </c>
      <c r="X20" s="185">
        <f t="shared" si="11"/>
        <v>1236832314.4519427</v>
      </c>
      <c r="Y20" s="185">
        <f t="shared" si="11"/>
        <v>432258972.6619162</v>
      </c>
      <c r="Z20" s="204">
        <f>Y20-X20</f>
        <v>-804573341.79002643</v>
      </c>
      <c r="AA20" s="270">
        <f t="shared" ref="AA20:AA39" si="12">(1/(1+discount_rate))^(B20-0)</f>
        <v>0.98039215686274506</v>
      </c>
      <c r="AB20" s="7">
        <f t="shared" si="3"/>
        <v>2.5000000000000001E-2</v>
      </c>
      <c r="AC20" s="203">
        <f t="shared" si="2"/>
        <v>1.2333803380061368</v>
      </c>
    </row>
    <row r="21" spans="1:29" x14ac:dyDescent="0.25">
      <c r="A21" s="180">
        <v>2031</v>
      </c>
      <c r="B21" s="180">
        <f>1+B20</f>
        <v>2</v>
      </c>
      <c r="C21" s="537">
        <f>'Energy Revenue'!AL9</f>
        <v>475026769.00851512</v>
      </c>
      <c r="D21" s="185">
        <f>'Cap Revenue'!H10</f>
        <v>231584579.06851363</v>
      </c>
      <c r="E21" s="185">
        <f>'Energy Mkt Benefits'!W12</f>
        <v>148225072.2155714</v>
      </c>
      <c r="F21" s="204">
        <f>'Energy Revenue'!AM9</f>
        <v>17616877.052666798</v>
      </c>
      <c r="G21" s="205">
        <f t="shared" si="4"/>
        <v>375748449.98859066</v>
      </c>
      <c r="H21" s="185">
        <f t="shared" si="5"/>
        <v>183184511.49159211</v>
      </c>
      <c r="I21" s="185">
        <f t="shared" si="6"/>
        <v>117246742.22190939</v>
      </c>
      <c r="J21" s="204">
        <f t="shared" ref="J21:J39" si="13">F21</f>
        <v>17616877.052666798</v>
      </c>
      <c r="K21" s="185">
        <f t="shared" si="7"/>
        <v>502203326.45788473</v>
      </c>
      <c r="L21" s="185">
        <f t="shared" si="8"/>
        <v>1393455978.5426171</v>
      </c>
      <c r="M21" s="205">
        <f>SUM(Storage_Annual!M21,OSW_Annual!M21)</f>
        <v>397245237.12532455</v>
      </c>
      <c r="N21" s="204">
        <f>SUM(SooGreen_Annual!P21,Storage_Annual!N21,OSW_Annual!N21)</f>
        <v>1102230354.6336303</v>
      </c>
      <c r="O21" s="185">
        <f t="shared" ref="O21:O39" si="14">SUM(M21:N21)</f>
        <v>1499475591.7589548</v>
      </c>
      <c r="P21" s="185">
        <f t="shared" si="9"/>
        <v>558932961.48018277</v>
      </c>
      <c r="Q21" s="204">
        <f t="shared" ref="Q21:Q39" si="15">P21-O21</f>
        <v>-940542630.278772</v>
      </c>
      <c r="R21" s="185">
        <f t="shared" si="10"/>
        <v>361157679.72759575</v>
      </c>
      <c r="S21" s="185">
        <f t="shared" si="10"/>
        <v>176071233.6520493</v>
      </c>
      <c r="T21" s="185">
        <f t="shared" si="10"/>
        <v>112693908.32555689</v>
      </c>
      <c r="U21" s="185">
        <f t="shared" ref="U21:U39" si="16">F21</f>
        <v>17616877.052666798</v>
      </c>
      <c r="V21" s="185">
        <f t="shared" si="11"/>
        <v>381819720.42034268</v>
      </c>
      <c r="W21" s="185">
        <f t="shared" si="11"/>
        <v>1059429406.6067188</v>
      </c>
      <c r="X21" s="185">
        <f t="shared" si="11"/>
        <v>1441249127.0270615</v>
      </c>
      <c r="Y21" s="185">
        <f t="shared" si="11"/>
        <v>537228913.37964511</v>
      </c>
      <c r="Z21" s="204">
        <f t="shared" si="11"/>
        <v>-904020213.64741635</v>
      </c>
      <c r="AA21" s="270">
        <f t="shared" si="12"/>
        <v>0.96116878123798533</v>
      </c>
      <c r="AB21" s="7">
        <f t="shared" si="3"/>
        <v>2.5000000000000001E-2</v>
      </c>
      <c r="AC21" s="203">
        <f t="shared" si="2"/>
        <v>1.2642148464562901</v>
      </c>
    </row>
    <row r="22" spans="1:29" x14ac:dyDescent="0.25">
      <c r="A22" s="180">
        <v>2032</v>
      </c>
      <c r="B22" s="180">
        <f t="shared" ref="B22:B39" si="17">1+B21</f>
        <v>3</v>
      </c>
      <c r="C22" s="537">
        <f>'Energy Revenue'!AL10</f>
        <v>494442704.37172723</v>
      </c>
      <c r="D22" s="185">
        <f>'Cap Revenue'!H11</f>
        <v>336631170.39573848</v>
      </c>
      <c r="E22" s="185">
        <f>'Energy Mkt Benefits'!W13</f>
        <v>207225564.88521099</v>
      </c>
      <c r="F22" s="204">
        <f>'Energy Revenue'!AM10</f>
        <v>18960084.140016686</v>
      </c>
      <c r="G22" s="205">
        <f t="shared" si="4"/>
        <v>381567363.78194207</v>
      </c>
      <c r="H22" s="185">
        <f t="shared" si="5"/>
        <v>259782310.70867115</v>
      </c>
      <c r="I22" s="185">
        <f t="shared" si="6"/>
        <v>159918453.24514627</v>
      </c>
      <c r="J22" s="204">
        <f t="shared" si="13"/>
        <v>18960084.140016686</v>
      </c>
      <c r="K22" s="185">
        <f t="shared" si="7"/>
        <v>668078723.15013492</v>
      </c>
      <c r="L22" s="185">
        <f t="shared" si="8"/>
        <v>1480390087.0532393</v>
      </c>
      <c r="M22" s="205">
        <f>SUM(Storage_Annual!M22,OSW_Annual!M22)</f>
        <v>515564361.52722275</v>
      </c>
      <c r="N22" s="204">
        <f>SUM(SooGreen_Annual!P22,Storage_Annual!N22,OSW_Annual!N22)</f>
        <v>1142434781.4042175</v>
      </c>
      <c r="O22" s="185">
        <f t="shared" si="14"/>
        <v>1657999142.9314404</v>
      </c>
      <c r="P22" s="185">
        <f t="shared" si="9"/>
        <v>641349674.49061322</v>
      </c>
      <c r="Q22" s="204">
        <f t="shared" si="15"/>
        <v>-1016649468.4408271</v>
      </c>
      <c r="R22" s="185">
        <f t="shared" si="10"/>
        <v>359559449.02596098</v>
      </c>
      <c r="S22" s="185">
        <f t="shared" si="10"/>
        <v>244798673.50102064</v>
      </c>
      <c r="T22" s="185">
        <f t="shared" si="10"/>
        <v>150694730.19911861</v>
      </c>
      <c r="U22" s="185">
        <f>F22</f>
        <v>18960084.140016686</v>
      </c>
      <c r="V22" s="185">
        <f t="shared" si="11"/>
        <v>485827812.76358896</v>
      </c>
      <c r="W22" s="185">
        <f t="shared" si="11"/>
        <v>1076541810.2805645</v>
      </c>
      <c r="X22" s="185">
        <f t="shared" si="11"/>
        <v>1562369623.0441537</v>
      </c>
      <c r="Y22" s="185">
        <f t="shared" si="11"/>
        <v>604358122.52698171</v>
      </c>
      <c r="Z22" s="204">
        <f t="shared" si="11"/>
        <v>-958011500.51717198</v>
      </c>
      <c r="AA22" s="270">
        <f t="shared" si="12"/>
        <v>0.94232233454704439</v>
      </c>
      <c r="AB22" s="7">
        <f t="shared" si="3"/>
        <v>2.5000000000000001E-2</v>
      </c>
      <c r="AC22" s="203">
        <f t="shared" si="2"/>
        <v>1.2958202176176972</v>
      </c>
    </row>
    <row r="23" spans="1:29" x14ac:dyDescent="0.25">
      <c r="A23" s="180">
        <v>2033</v>
      </c>
      <c r="B23" s="180">
        <f t="shared" si="17"/>
        <v>4</v>
      </c>
      <c r="C23" s="537">
        <f>'Energy Revenue'!AL11</f>
        <v>530580065.84435862</v>
      </c>
      <c r="D23" s="185">
        <f>'Cap Revenue'!H12</f>
        <v>579575643.10599804</v>
      </c>
      <c r="E23" s="185">
        <f>'Energy Mkt Benefits'!W14</f>
        <v>166420172.68411541</v>
      </c>
      <c r="F23" s="204">
        <f>'Energy Revenue'!AM11</f>
        <v>20294857.935691021</v>
      </c>
      <c r="G23" s="205">
        <f t="shared" si="4"/>
        <v>399468291.65877426</v>
      </c>
      <c r="H23" s="185">
        <f t="shared" si="5"/>
        <v>436356559.43867218</v>
      </c>
      <c r="I23" s="185">
        <f t="shared" si="6"/>
        <v>125296041.74609727</v>
      </c>
      <c r="J23" s="204">
        <f t="shared" si="13"/>
        <v>20294857.935691021</v>
      </c>
      <c r="K23" s="185">
        <f t="shared" si="7"/>
        <v>840843079.21055734</v>
      </c>
      <c r="L23" s="185">
        <f t="shared" si="8"/>
        <v>1596012274.8522384</v>
      </c>
      <c r="M23" s="205">
        <f>SUM(Storage_Annual!M23,OSW_Annual!M23)</f>
        <v>633062133.36683369</v>
      </c>
      <c r="N23" s="204">
        <f>SUM(SooGreen_Annual!P23,Storage_Annual!N23,OSW_Annual!N23)</f>
        <v>1201621278.1892936</v>
      </c>
      <c r="O23" s="185">
        <f t="shared" si="14"/>
        <v>1834683411.5561273</v>
      </c>
      <c r="P23" s="185">
        <f t="shared" si="9"/>
        <v>835824851.09744644</v>
      </c>
      <c r="Q23" s="204">
        <f t="shared" si="15"/>
        <v>-998858560.45868087</v>
      </c>
      <c r="R23" s="185">
        <f t="shared" si="10"/>
        <v>369046954.09158409</v>
      </c>
      <c r="S23" s="185">
        <f t="shared" si="10"/>
        <v>403126011.554084</v>
      </c>
      <c r="T23" s="185">
        <f t="shared" si="10"/>
        <v>115754175.06635912</v>
      </c>
      <c r="U23" s="185">
        <f t="shared" si="16"/>
        <v>20294857.935691021</v>
      </c>
      <c r="V23" s="185">
        <f t="shared" si="11"/>
        <v>584851556.30153632</v>
      </c>
      <c r="W23" s="185">
        <f t="shared" si="11"/>
        <v>1110112321.6713123</v>
      </c>
      <c r="X23" s="185">
        <f t="shared" si="11"/>
        <v>1694963877.9728487</v>
      </c>
      <c r="Y23" s="185">
        <f t="shared" si="11"/>
        <v>772172965.64566815</v>
      </c>
      <c r="Z23" s="204">
        <f t="shared" si="11"/>
        <v>-922790912.32718062</v>
      </c>
      <c r="AA23" s="270">
        <f t="shared" si="12"/>
        <v>0.92384542602651409</v>
      </c>
      <c r="AB23" s="7">
        <f t="shared" si="3"/>
        <v>2.5000000000000001E-2</v>
      </c>
      <c r="AC23" s="203">
        <f t="shared" si="2"/>
        <v>1.3282157230581395</v>
      </c>
    </row>
    <row r="24" spans="1:29" x14ac:dyDescent="0.25">
      <c r="A24" s="180">
        <v>2034</v>
      </c>
      <c r="B24" s="180">
        <f t="shared" si="17"/>
        <v>5</v>
      </c>
      <c r="C24" s="537">
        <f>'Energy Revenue'!AL12</f>
        <v>545608105.91764975</v>
      </c>
      <c r="D24" s="185">
        <f>'Cap Revenue'!H13</f>
        <v>710909702.78283918</v>
      </c>
      <c r="E24" s="185">
        <f>'Energy Mkt Benefits'!W15</f>
        <v>194060932.81590366</v>
      </c>
      <c r="F24" s="204">
        <f>'Energy Revenue'!AM12</f>
        <v>21430975.123537451</v>
      </c>
      <c r="G24" s="205">
        <f t="shared" si="4"/>
        <v>400763657.51308787</v>
      </c>
      <c r="H24" s="185">
        <f t="shared" si="5"/>
        <v>522182074.56726211</v>
      </c>
      <c r="I24" s="185">
        <f t="shared" si="6"/>
        <v>142542913.80971822</v>
      </c>
      <c r="J24" s="204">
        <f t="shared" si="13"/>
        <v>21430975.123537451</v>
      </c>
      <c r="K24" s="185">
        <f t="shared" si="7"/>
        <v>1060421332.3897227</v>
      </c>
      <c r="L24" s="185">
        <f t="shared" si="8"/>
        <v>1675608621.45156</v>
      </c>
      <c r="M24" s="205">
        <f>SUM(Storage_Annual!M24,OSW_Annual!M24)</f>
        <v>778907657.46348786</v>
      </c>
      <c r="N24" s="204">
        <f>SUM(SooGreen_Annual!P24,Storage_Annual!N24,OSW_Annual!N24)</f>
        <v>1230779074.5959797</v>
      </c>
      <c r="O24" s="185">
        <f t="shared" si="14"/>
        <v>2009686732.0594676</v>
      </c>
      <c r="P24" s="185">
        <f t="shared" si="9"/>
        <v>922945732.08034992</v>
      </c>
      <c r="Q24" s="204">
        <f t="shared" si="15"/>
        <v>-1086740999.9791176</v>
      </c>
      <c r="R24" s="185">
        <f t="shared" si="10"/>
        <v>362983992.06972808</v>
      </c>
      <c r="S24" s="185">
        <f t="shared" si="10"/>
        <v>472956393.27647173</v>
      </c>
      <c r="T24" s="185">
        <f t="shared" si="10"/>
        <v>129105508.76039197</v>
      </c>
      <c r="U24" s="185">
        <f t="shared" si="16"/>
        <v>21430975.123537451</v>
      </c>
      <c r="V24" s="185">
        <f t="shared" si="11"/>
        <v>705480663.37712741</v>
      </c>
      <c r="W24" s="185">
        <f t="shared" si="11"/>
        <v>1114754527.9555309</v>
      </c>
      <c r="X24" s="185">
        <f t="shared" si="11"/>
        <v>1820235191.3326583</v>
      </c>
      <c r="Y24" s="185">
        <f t="shared" si="11"/>
        <v>835940385.34619975</v>
      </c>
      <c r="Z24" s="204">
        <f t="shared" si="11"/>
        <v>-984294805.98645866</v>
      </c>
      <c r="AA24" s="270">
        <f t="shared" si="12"/>
        <v>0.90573080982991572</v>
      </c>
      <c r="AB24" s="7">
        <f t="shared" si="3"/>
        <v>2.5000000000000001E-2</v>
      </c>
      <c r="AC24" s="203">
        <f t="shared" si="2"/>
        <v>1.3614211161345928</v>
      </c>
    </row>
    <row r="25" spans="1:29" x14ac:dyDescent="0.25">
      <c r="A25" s="180">
        <v>2035</v>
      </c>
      <c r="B25" s="180">
        <f t="shared" si="17"/>
        <v>6</v>
      </c>
      <c r="C25" s="537">
        <f>'Energy Revenue'!AL13</f>
        <v>566443655.52589643</v>
      </c>
      <c r="D25" s="185">
        <f>'Cap Revenue'!H14</f>
        <v>1003610333.7991499</v>
      </c>
      <c r="E25" s="185">
        <f>'Energy Mkt Benefits'!W16</f>
        <v>206301652.73012924</v>
      </c>
      <c r="F25" s="204">
        <f>'Energy Revenue'!AM13</f>
        <v>22578566.948689301</v>
      </c>
      <c r="G25" s="205">
        <f t="shared" si="4"/>
        <v>405919924.45340979</v>
      </c>
      <c r="H25" s="185">
        <f t="shared" si="5"/>
        <v>719198506.15713644</v>
      </c>
      <c r="I25" s="185">
        <f t="shared" si="6"/>
        <v>147838095.58795413</v>
      </c>
      <c r="J25" s="204">
        <f t="shared" si="13"/>
        <v>22578566.948689301</v>
      </c>
      <c r="K25" s="185">
        <f t="shared" si="7"/>
        <v>1289020268.9406626</v>
      </c>
      <c r="L25" s="185">
        <f t="shared" si="8"/>
        <v>1782870323.3097861</v>
      </c>
      <c r="M25" s="205">
        <f>SUM(Storage_Annual!M25,OSW_Annual!M25)</f>
        <v>923726490.85728264</v>
      </c>
      <c r="N25" s="204">
        <f>SUM(SooGreen_Annual!P25,Storage_Annual!N25,OSW_Annual!N25)</f>
        <v>1277625020.4024904</v>
      </c>
      <c r="O25" s="185">
        <f t="shared" si="14"/>
        <v>2201351511.2597733</v>
      </c>
      <c r="P25" s="185">
        <f t="shared" si="9"/>
        <v>1125118430.6105461</v>
      </c>
      <c r="Q25" s="204">
        <f t="shared" si="15"/>
        <v>-1076233080.6492271</v>
      </c>
      <c r="R25" s="185">
        <f t="shared" si="10"/>
        <v>360445276.37380886</v>
      </c>
      <c r="S25" s="185">
        <f t="shared" si="10"/>
        <v>638627691.57859683</v>
      </c>
      <c r="T25" s="185">
        <f t="shared" si="10"/>
        <v>131275998.07900998</v>
      </c>
      <c r="U25" s="185">
        <f t="shared" si="16"/>
        <v>22578566.948689301</v>
      </c>
      <c r="V25" s="185">
        <f t="shared" si="11"/>
        <v>820242688.84854198</v>
      </c>
      <c r="W25" s="185">
        <f t="shared" si="11"/>
        <v>1134494455.2824609</v>
      </c>
      <c r="X25" s="185">
        <f t="shared" si="11"/>
        <v>1954737144.1310031</v>
      </c>
      <c r="Y25" s="185">
        <f t="shared" si="11"/>
        <v>999072967.95240569</v>
      </c>
      <c r="Z25" s="204">
        <f t="shared" si="11"/>
        <v>-955664176.17859757</v>
      </c>
      <c r="AA25" s="270">
        <f t="shared" si="12"/>
        <v>0.88797138218619187</v>
      </c>
      <c r="AB25" s="7">
        <f t="shared" si="3"/>
        <v>2.5000000000000001E-2</v>
      </c>
      <c r="AC25" s="203">
        <f t="shared" si="2"/>
        <v>1.3954566440379574</v>
      </c>
    </row>
    <row r="26" spans="1:29" x14ac:dyDescent="0.25">
      <c r="A26" s="180">
        <v>2036</v>
      </c>
      <c r="B26" s="180">
        <f t="shared" si="17"/>
        <v>7</v>
      </c>
      <c r="C26" s="537">
        <f>'Energy Revenue'!AL14</f>
        <v>587441666.51251173</v>
      </c>
      <c r="D26" s="185">
        <f>'Cap Revenue'!H15</f>
        <v>1215408241.7792029</v>
      </c>
      <c r="E26" s="185">
        <f>'Energy Mkt Benefits'!W17</f>
        <v>210895428.08839226</v>
      </c>
      <c r="F26" s="204">
        <f>'Energy Revenue'!AM14</f>
        <v>22775708.413918119</v>
      </c>
      <c r="G26" s="205">
        <f t="shared" si="4"/>
        <v>410699840.39735401</v>
      </c>
      <c r="H26" s="185">
        <f t="shared" si="5"/>
        <v>849731980.84463024</v>
      </c>
      <c r="I26" s="185">
        <f t="shared" si="6"/>
        <v>147443948.21471107</v>
      </c>
      <c r="J26" s="204">
        <f t="shared" si="13"/>
        <v>22775708.413918119</v>
      </c>
      <c r="K26" s="185">
        <f t="shared" si="7"/>
        <v>1321245775.6641791</v>
      </c>
      <c r="L26" s="185">
        <f t="shared" si="8"/>
        <v>1828757244.5546598</v>
      </c>
      <c r="M26" s="205">
        <f>SUM(Storage_Annual!M26,OSW_Annual!M26)</f>
        <v>923726490.85728264</v>
      </c>
      <c r="N26" s="204">
        <f>SUM(SooGreen_Annual!P26,Storage_Annual!N26,OSW_Annual!N26)</f>
        <v>1278544494.3376465</v>
      </c>
      <c r="O26" s="185">
        <f t="shared" si="14"/>
        <v>2202270985.1949291</v>
      </c>
      <c r="P26" s="185">
        <f t="shared" si="9"/>
        <v>1260431821.2419844</v>
      </c>
      <c r="Q26" s="204">
        <f t="shared" si="15"/>
        <v>-941839163.95294476</v>
      </c>
      <c r="R26" s="185">
        <f t="shared" si="10"/>
        <v>357538926.41302627</v>
      </c>
      <c r="S26" s="185">
        <f t="shared" si="10"/>
        <v>739742825.01805592</v>
      </c>
      <c r="T26" s="185">
        <f t="shared" si="10"/>
        <v>128358829.89333948</v>
      </c>
      <c r="U26" s="185">
        <f t="shared" si="16"/>
        <v>22775708.413918119</v>
      </c>
      <c r="V26" s="185">
        <f t="shared" si="11"/>
        <v>804159498.8711195</v>
      </c>
      <c r="W26" s="185">
        <f t="shared" si="11"/>
        <v>1113049923.3564174</v>
      </c>
      <c r="X26" s="185">
        <f t="shared" si="11"/>
        <v>1917209422.2275369</v>
      </c>
      <c r="Y26" s="185">
        <f t="shared" si="11"/>
        <v>1097281751.4310822</v>
      </c>
      <c r="Z26" s="204">
        <f t="shared" si="11"/>
        <v>-819927670.79645455</v>
      </c>
      <c r="AA26" s="270">
        <f t="shared" si="12"/>
        <v>0.87056017861391355</v>
      </c>
      <c r="AB26" s="7">
        <f t="shared" si="3"/>
        <v>2.5000000000000001E-2</v>
      </c>
      <c r="AC26" s="203">
        <f t="shared" si="2"/>
        <v>1.4303430601389062</v>
      </c>
    </row>
    <row r="27" spans="1:29" x14ac:dyDescent="0.25">
      <c r="A27" s="180">
        <v>2037</v>
      </c>
      <c r="B27" s="180">
        <f t="shared" si="17"/>
        <v>8</v>
      </c>
      <c r="C27" s="537">
        <f>'Energy Revenue'!AL15</f>
        <v>604450163.69924486</v>
      </c>
      <c r="D27" s="185">
        <f>'Cap Revenue'!H16</f>
        <v>1667747148.9603062</v>
      </c>
      <c r="E27" s="185">
        <f>'Energy Mkt Benefits'!W18</f>
        <v>206255387.78128242</v>
      </c>
      <c r="F27" s="204">
        <f>'Energy Revenue'!AM15</f>
        <v>22726778.894583754</v>
      </c>
      <c r="G27" s="205">
        <f t="shared" si="4"/>
        <v>412283943.07200843</v>
      </c>
      <c r="H27" s="185">
        <f t="shared" si="5"/>
        <v>1137538563.0014913</v>
      </c>
      <c r="I27" s="185">
        <f t="shared" si="6"/>
        <v>140682871.24598143</v>
      </c>
      <c r="J27" s="204">
        <f t="shared" si="13"/>
        <v>22726778.894583754</v>
      </c>
      <c r="K27" s="185">
        <f t="shared" si="7"/>
        <v>1354276920.0557833</v>
      </c>
      <c r="L27" s="185">
        <f t="shared" si="8"/>
        <v>1869221775.4113762</v>
      </c>
      <c r="M27" s="205">
        <f>SUM(Storage_Annual!M27,OSW_Annual!M27)</f>
        <v>923726490.85728264</v>
      </c>
      <c r="N27" s="204">
        <f>SUM(SooGreen_Annual!P27,Storage_Annual!N27,OSW_Annual!N27)</f>
        <v>1274960568.0082393</v>
      </c>
      <c r="O27" s="185">
        <f t="shared" si="14"/>
        <v>2198687058.8655219</v>
      </c>
      <c r="P27" s="185">
        <f t="shared" si="9"/>
        <v>1549822506.0734997</v>
      </c>
      <c r="Q27" s="204">
        <f t="shared" si="15"/>
        <v>-648864552.79202223</v>
      </c>
      <c r="R27" s="185">
        <f t="shared" si="10"/>
        <v>351880375.60825121</v>
      </c>
      <c r="S27" s="185">
        <f t="shared" si="10"/>
        <v>970878210.37920856</v>
      </c>
      <c r="T27" s="185">
        <f t="shared" si="10"/>
        <v>120071475.99982332</v>
      </c>
      <c r="U27" s="185">
        <f t="shared" si="16"/>
        <v>22726778.894583754</v>
      </c>
      <c r="V27" s="185">
        <f t="shared" si="11"/>
        <v>788391665.55992115</v>
      </c>
      <c r="W27" s="185">
        <f t="shared" si="11"/>
        <v>1088166568.4421072</v>
      </c>
      <c r="X27" s="185">
        <f t="shared" si="11"/>
        <v>1876558234.0020285</v>
      </c>
      <c r="Y27" s="185">
        <f t="shared" si="11"/>
        <v>1322758585.9874597</v>
      </c>
      <c r="Z27" s="204">
        <f t="shared" si="11"/>
        <v>-553799648.01456857</v>
      </c>
      <c r="AA27" s="270">
        <f t="shared" si="12"/>
        <v>0.85349037119011129</v>
      </c>
      <c r="AB27" s="7">
        <f t="shared" si="3"/>
        <v>2.5000000000000001E-2</v>
      </c>
      <c r="AC27" s="203">
        <f t="shared" si="2"/>
        <v>1.4661016366423787</v>
      </c>
    </row>
    <row r="28" spans="1:29" x14ac:dyDescent="0.25">
      <c r="A28" s="180">
        <v>2038</v>
      </c>
      <c r="B28" s="180">
        <f t="shared" si="17"/>
        <v>9</v>
      </c>
      <c r="C28" s="537">
        <f>'Energy Revenue'!AL16</f>
        <v>635642820.37852931</v>
      </c>
      <c r="D28" s="185">
        <f>'Cap Revenue'!H17</f>
        <v>1724386440.7557423</v>
      </c>
      <c r="E28" s="185">
        <f>'Energy Mkt Benefits'!W19</f>
        <v>208685564.33393383</v>
      </c>
      <c r="F28" s="204">
        <f>'Energy Revenue'!AM16</f>
        <v>22661709.190906085</v>
      </c>
      <c r="G28" s="205">
        <f t="shared" si="4"/>
        <v>422985229.301624</v>
      </c>
      <c r="H28" s="185">
        <f t="shared" si="5"/>
        <v>1147484043.968785</v>
      </c>
      <c r="I28" s="185">
        <f t="shared" si="6"/>
        <v>138868730.12922874</v>
      </c>
      <c r="J28" s="204">
        <f t="shared" si="13"/>
        <v>22661709.190906085</v>
      </c>
      <c r="K28" s="185">
        <f t="shared" si="7"/>
        <v>1388133843.0571778</v>
      </c>
      <c r="L28" s="185">
        <f t="shared" si="8"/>
        <v>1915492645.6557875</v>
      </c>
      <c r="M28" s="205">
        <f>SUM(Storage_Annual!M28,OSW_Annual!M28)</f>
        <v>923726490.85728264</v>
      </c>
      <c r="N28" s="204">
        <f>SUM(SooGreen_Annual!P28,Storage_Annual!N28,OSW_Annual!N28)</f>
        <v>1274654680.2271652</v>
      </c>
      <c r="O28" s="185">
        <f t="shared" si="14"/>
        <v>2198381171.0844479</v>
      </c>
      <c r="P28" s="185">
        <f t="shared" si="9"/>
        <v>1570469273.2704091</v>
      </c>
      <c r="Q28" s="204">
        <f t="shared" si="15"/>
        <v>-627911897.81403875</v>
      </c>
      <c r="R28" s="185">
        <f t="shared" si="10"/>
        <v>353935118.00448763</v>
      </c>
      <c r="S28" s="185">
        <f t="shared" si="10"/>
        <v>960163316.29573369</v>
      </c>
      <c r="T28" s="185">
        <f t="shared" si="10"/>
        <v>116199141.20068121</v>
      </c>
      <c r="U28" s="185">
        <f t="shared" si="16"/>
        <v>22661709.190906085</v>
      </c>
      <c r="V28" s="185">
        <f t="shared" si="11"/>
        <v>772933005.45090306</v>
      </c>
      <c r="W28" s="185">
        <f t="shared" si="11"/>
        <v>1066574015.8493097</v>
      </c>
      <c r="X28" s="185">
        <f t="shared" si="11"/>
        <v>1839507021.3002126</v>
      </c>
      <c r="Y28" s="185">
        <f t="shared" si="11"/>
        <v>1314098434.3002214</v>
      </c>
      <c r="Z28" s="204">
        <f t="shared" si="11"/>
        <v>-525408586.99999136</v>
      </c>
      <c r="AA28" s="270">
        <f t="shared" si="12"/>
        <v>0.83675526587265814</v>
      </c>
      <c r="AB28" s="7">
        <f t="shared" si="3"/>
        <v>2.5000000000000001E-2</v>
      </c>
      <c r="AC28" s="203">
        <f t="shared" si="2"/>
        <v>1.5027541775584381</v>
      </c>
    </row>
    <row r="29" spans="1:29" x14ac:dyDescent="0.25">
      <c r="A29" s="180">
        <v>2039</v>
      </c>
      <c r="B29" s="180">
        <f t="shared" si="17"/>
        <v>10</v>
      </c>
      <c r="C29" s="537">
        <f>'Energy Revenue'!AL17</f>
        <v>634040433.18176007</v>
      </c>
      <c r="D29" s="185">
        <f>'Cap Revenue'!H18</f>
        <v>1550143592.227911</v>
      </c>
      <c r="E29" s="185">
        <f>'Energy Mkt Benefits'!W20</f>
        <v>213948925.10807896</v>
      </c>
      <c r="F29" s="204">
        <f>'Energy Revenue'!AM17</f>
        <v>22819953.223606747</v>
      </c>
      <c r="G29" s="205">
        <f t="shared" si="4"/>
        <v>411628223.4380241</v>
      </c>
      <c r="H29" s="185">
        <f t="shared" si="5"/>
        <v>1006375649.799755</v>
      </c>
      <c r="I29" s="185">
        <f t="shared" si="6"/>
        <v>138898737.90346611</v>
      </c>
      <c r="J29" s="204">
        <f t="shared" si="13"/>
        <v>22819953.223606747</v>
      </c>
      <c r="K29" s="185">
        <f t="shared" si="7"/>
        <v>1422837189.1336071</v>
      </c>
      <c r="L29" s="185">
        <f t="shared" si="8"/>
        <v>1990360122.8165014</v>
      </c>
      <c r="M29" s="205">
        <f>SUM(Storage_Annual!M29,OSW_Annual!M29)</f>
        <v>923726490.85728264</v>
      </c>
      <c r="N29" s="204">
        <f>SUM(SooGreen_Annual!P29,Storage_Annual!N29,OSW_Annual!N29)</f>
        <v>1292170591.1490016</v>
      </c>
      <c r="O29" s="185">
        <f t="shared" si="14"/>
        <v>2215897082.0062842</v>
      </c>
      <c r="P29" s="185">
        <f t="shared" si="9"/>
        <v>1418003873.2377791</v>
      </c>
      <c r="Q29" s="204">
        <f t="shared" si="15"/>
        <v>-797893208.7685051</v>
      </c>
      <c r="R29" s="185">
        <f t="shared" si="10"/>
        <v>337678513.27801353</v>
      </c>
      <c r="S29" s="185">
        <f t="shared" si="10"/>
        <v>825578553.34898341</v>
      </c>
      <c r="T29" s="185">
        <f t="shared" si="10"/>
        <v>113945343.49391317</v>
      </c>
      <c r="U29" s="185">
        <f t="shared" si="16"/>
        <v>22819953.223606747</v>
      </c>
      <c r="V29" s="185">
        <f t="shared" si="11"/>
        <v>757777456.32441473</v>
      </c>
      <c r="W29" s="185">
        <f t="shared" si="11"/>
        <v>1060029947.5977575</v>
      </c>
      <c r="X29" s="185">
        <f t="shared" si="11"/>
        <v>1817807403.9221723</v>
      </c>
      <c r="Y29" s="185">
        <f t="shared" si="11"/>
        <v>1163257066.626997</v>
      </c>
      <c r="Z29" s="204">
        <f t="shared" si="11"/>
        <v>-654550337.29517531</v>
      </c>
      <c r="AA29" s="270">
        <f t="shared" si="12"/>
        <v>0.82034829987515501</v>
      </c>
      <c r="AB29" s="7">
        <f t="shared" si="3"/>
        <v>2.5000000000000001E-2</v>
      </c>
      <c r="AC29" s="203">
        <f t="shared" si="2"/>
        <v>1.5403230319973988</v>
      </c>
    </row>
    <row r="30" spans="1:29" x14ac:dyDescent="0.25">
      <c r="A30" s="180">
        <v>2040</v>
      </c>
      <c r="B30" s="180">
        <f t="shared" si="17"/>
        <v>11</v>
      </c>
      <c r="C30" s="537">
        <f>'Energy Revenue'!AL18</f>
        <v>662500565.57278967</v>
      </c>
      <c r="D30" s="185">
        <f>'Cap Revenue'!H19</f>
        <v>1413580681.6014159</v>
      </c>
      <c r="E30" s="185">
        <f>'Energy Mkt Benefits'!W21</f>
        <v>254745832.48248577</v>
      </c>
      <c r="F30" s="204">
        <f>'Energy Revenue'!AM18</f>
        <v>22644889.615612868</v>
      </c>
      <c r="G30" s="205">
        <f t="shared" si="4"/>
        <v>419614588.47682613</v>
      </c>
      <c r="H30" s="185">
        <f t="shared" si="5"/>
        <v>895333689.98127818</v>
      </c>
      <c r="I30" s="185">
        <f t="shared" si="6"/>
        <v>161350907.78511959</v>
      </c>
      <c r="J30" s="204">
        <f t="shared" si="13"/>
        <v>22644889.615612868</v>
      </c>
      <c r="K30" s="185">
        <f t="shared" si="7"/>
        <v>1458408118.8619471</v>
      </c>
      <c r="L30" s="185">
        <f t="shared" si="8"/>
        <v>2013913387.1619222</v>
      </c>
      <c r="M30" s="205">
        <f>SUM(Storage_Annual!M30,OSW_Annual!M30)</f>
        <v>923726490.85728264</v>
      </c>
      <c r="N30" s="204">
        <f>SUM(SooGreen_Annual!P30,Storage_Annual!N30,OSW_Annual!N30)</f>
        <v>1275572401.1364222</v>
      </c>
      <c r="O30" s="185">
        <f t="shared" si="14"/>
        <v>2199298891.9937048</v>
      </c>
      <c r="P30" s="185">
        <f t="shared" si="9"/>
        <v>1314948278.4581044</v>
      </c>
      <c r="Q30" s="204">
        <f t="shared" si="15"/>
        <v>-884350613.53560042</v>
      </c>
      <c r="R30" s="185">
        <f t="shared" si="10"/>
        <v>337480504.17625207</v>
      </c>
      <c r="S30" s="185">
        <f t="shared" si="10"/>
        <v>720083794.50695157</v>
      </c>
      <c r="T30" s="185">
        <f t="shared" si="10"/>
        <v>129768571.45572132</v>
      </c>
      <c r="U30" s="185">
        <f t="shared" si="16"/>
        <v>22644889.615612868</v>
      </c>
      <c r="V30" s="185">
        <f t="shared" si="11"/>
        <v>742919074.82785749</v>
      </c>
      <c r="W30" s="185">
        <f t="shared" si="11"/>
        <v>1025895735.9215029</v>
      </c>
      <c r="X30" s="185">
        <f t="shared" si="11"/>
        <v>1768814810.7493603</v>
      </c>
      <c r="Y30" s="185">
        <f t="shared" si="11"/>
        <v>1057564298.6832036</v>
      </c>
      <c r="Z30" s="204">
        <f t="shared" si="11"/>
        <v>-711250512.06615686</v>
      </c>
      <c r="AA30" s="270">
        <f t="shared" si="12"/>
        <v>0.80426303909328911</v>
      </c>
      <c r="AB30" s="7">
        <f t="shared" si="3"/>
        <v>2.5000000000000001E-2</v>
      </c>
      <c r="AC30" s="203">
        <f t="shared" si="2"/>
        <v>1.5788311077973336</v>
      </c>
    </row>
    <row r="31" spans="1:29" x14ac:dyDescent="0.25">
      <c r="A31" s="180">
        <v>2041</v>
      </c>
      <c r="B31" s="180">
        <f t="shared" si="17"/>
        <v>12</v>
      </c>
      <c r="C31" s="537">
        <f>'Energy Revenue'!AL19</f>
        <v>711695177.63149047</v>
      </c>
      <c r="D31" s="185">
        <f>'Cap Revenue'!H20</f>
        <v>1855843654.0709224</v>
      </c>
      <c r="E31" s="185">
        <f>'Energy Mkt Benefits'!W22</f>
        <v>268777101.90576458</v>
      </c>
      <c r="F31" s="204">
        <f>'Energy Revenue'!AM19</f>
        <v>22584335.587273952</v>
      </c>
      <c r="G31" s="205">
        <f t="shared" si="4"/>
        <v>439778995.50861728</v>
      </c>
      <c r="H31" s="185">
        <f t="shared" si="5"/>
        <v>1146784583.7097313</v>
      </c>
      <c r="I31" s="185">
        <f t="shared" si="6"/>
        <v>166085885.65291452</v>
      </c>
      <c r="J31" s="204">
        <f t="shared" si="13"/>
        <v>22584335.587273952</v>
      </c>
      <c r="K31" s="185">
        <f t="shared" si="7"/>
        <v>1494868321.8334956</v>
      </c>
      <c r="L31" s="185">
        <f t="shared" si="8"/>
        <v>2064142226.122246</v>
      </c>
      <c r="M31" s="205">
        <f>SUM(Storage_Annual!M31,OSW_Annual!M31)</f>
        <v>923726490.85728264</v>
      </c>
      <c r="N31" s="204">
        <f>SUM(SooGreen_Annual!P31,Storage_Annual!N31,OSW_Annual!N31)</f>
        <v>1275498869.9122477</v>
      </c>
      <c r="O31" s="185">
        <f t="shared" si="14"/>
        <v>2199225360.7695303</v>
      </c>
      <c r="P31" s="185">
        <f t="shared" si="9"/>
        <v>1586563579.2183485</v>
      </c>
      <c r="Q31" s="204">
        <f t="shared" si="15"/>
        <v>-612661781.55118179</v>
      </c>
      <c r="R31" s="185">
        <f t="shared" si="10"/>
        <v>346762736.72270048</v>
      </c>
      <c r="S31" s="185">
        <f t="shared" si="10"/>
        <v>904231818.11737347</v>
      </c>
      <c r="T31" s="185">
        <f t="shared" si="10"/>
        <v>130957587.39775836</v>
      </c>
      <c r="U31" s="185">
        <f t="shared" si="16"/>
        <v>22584335.587273952</v>
      </c>
      <c r="V31" s="185">
        <f t="shared" si="11"/>
        <v>728352034.14495826</v>
      </c>
      <c r="W31" s="185">
        <f t="shared" si="11"/>
        <v>1005722154.3879217</v>
      </c>
      <c r="X31" s="185">
        <f t="shared" si="11"/>
        <v>1734074188.5328801</v>
      </c>
      <c r="Y31" s="185">
        <f t="shared" si="11"/>
        <v>1250994554.8400738</v>
      </c>
      <c r="Z31" s="204">
        <f t="shared" si="11"/>
        <v>-483079633.69280612</v>
      </c>
      <c r="AA31" s="270">
        <f t="shared" si="12"/>
        <v>0.78849317558165599</v>
      </c>
      <c r="AB31" s="7">
        <f t="shared" si="3"/>
        <v>2.5000000000000001E-2</v>
      </c>
      <c r="AC31" s="203">
        <f t="shared" si="2"/>
        <v>1.6183018854922668</v>
      </c>
    </row>
    <row r="32" spans="1:29" x14ac:dyDescent="0.25">
      <c r="A32" s="180">
        <v>2042</v>
      </c>
      <c r="B32" s="180">
        <f t="shared" si="17"/>
        <v>13</v>
      </c>
      <c r="C32" s="537">
        <f>'Energy Revenue'!AL20</f>
        <v>721913473.33965516</v>
      </c>
      <c r="D32" s="185">
        <f>'Cap Revenue'!H21</f>
        <v>1947295090.0814016</v>
      </c>
      <c r="E32" s="185">
        <f>'Energy Mkt Benefits'!W23</f>
        <v>258156610.24764156</v>
      </c>
      <c r="F32" s="204">
        <f>'Energy Revenue'!AM20</f>
        <v>22672245.232594103</v>
      </c>
      <c r="G32" s="205">
        <f t="shared" si="4"/>
        <v>435212882.07249618</v>
      </c>
      <c r="H32" s="185">
        <f t="shared" si="5"/>
        <v>1173946656.6254413</v>
      </c>
      <c r="I32" s="185">
        <f t="shared" si="6"/>
        <v>155632338.94525313</v>
      </c>
      <c r="J32" s="204">
        <f t="shared" si="13"/>
        <v>22672245.232594103</v>
      </c>
      <c r="K32" s="185">
        <f t="shared" si="7"/>
        <v>1532240029.879333</v>
      </c>
      <c r="L32" s="185">
        <f t="shared" si="8"/>
        <v>2108851243.6743398</v>
      </c>
      <c r="M32" s="205">
        <f>SUM(Storage_Annual!M32,OSW_Annual!M32)</f>
        <v>923726490.85728264</v>
      </c>
      <c r="N32" s="204">
        <f>SUM(SooGreen_Annual!P32,Storage_Annual!N32,OSW_Annual!N32)</f>
        <v>1271342427.4737968</v>
      </c>
      <c r="O32" s="185">
        <f t="shared" si="14"/>
        <v>2195068918.3310795</v>
      </c>
      <c r="P32" s="185">
        <f t="shared" si="9"/>
        <v>1609159538.6979375</v>
      </c>
      <c r="Q32" s="204">
        <f t="shared" si="15"/>
        <v>-585909379.63314199</v>
      </c>
      <c r="R32" s="185">
        <f t="shared" si="10"/>
        <v>336433713.17586982</v>
      </c>
      <c r="S32" s="185">
        <f t="shared" si="10"/>
        <v>907498948.28045297</v>
      </c>
      <c r="T32" s="185">
        <f t="shared" si="10"/>
        <v>120308859.95896399</v>
      </c>
      <c r="U32" s="185">
        <f t="shared" si="16"/>
        <v>22672245.232594103</v>
      </c>
      <c r="V32" s="185">
        <f t="shared" si="11"/>
        <v>714070621.71074343</v>
      </c>
      <c r="W32" s="185">
        <f t="shared" si="11"/>
        <v>982789046.95147562</v>
      </c>
      <c r="X32" s="185">
        <f t="shared" si="11"/>
        <v>1696859668.662219</v>
      </c>
      <c r="Y32" s="185">
        <f t="shared" si="11"/>
        <v>1243932661.4563229</v>
      </c>
      <c r="Z32" s="204">
        <f t="shared" si="11"/>
        <v>-452927007.2058962</v>
      </c>
      <c r="AA32" s="270">
        <f t="shared" si="12"/>
        <v>0.77303252508005482</v>
      </c>
      <c r="AB32" s="7">
        <f t="shared" si="3"/>
        <v>2.5000000000000001E-2</v>
      </c>
      <c r="AC32" s="203">
        <f t="shared" si="2"/>
        <v>1.6587594326295734</v>
      </c>
    </row>
    <row r="33" spans="1:29" x14ac:dyDescent="0.25">
      <c r="A33" s="180">
        <v>2043</v>
      </c>
      <c r="B33" s="180">
        <f t="shared" si="17"/>
        <v>14</v>
      </c>
      <c r="C33" s="537">
        <f>'Energy Revenue'!AL21</f>
        <v>707421874.68371511</v>
      </c>
      <c r="D33" s="185">
        <f>'Cap Revenue'!H22</f>
        <v>2017320631.5116823</v>
      </c>
      <c r="E33" s="185">
        <f>'Energy Mkt Benefits'!W24</f>
        <v>235643463.10552406</v>
      </c>
      <c r="F33" s="204">
        <f>'Energy Revenue'!AM21</f>
        <v>22363959.457915395</v>
      </c>
      <c r="G33" s="205">
        <f t="shared" si="4"/>
        <v>416074609.15785724</v>
      </c>
      <c r="H33" s="185">
        <f t="shared" si="5"/>
        <v>1186499772.3990042</v>
      </c>
      <c r="I33" s="185">
        <f t="shared" si="6"/>
        <v>138595179.65297642</v>
      </c>
      <c r="J33" s="204">
        <f t="shared" si="13"/>
        <v>22363959.457915395</v>
      </c>
      <c r="K33" s="185">
        <f t="shared" si="7"/>
        <v>1570546030.6263161</v>
      </c>
      <c r="L33" s="185">
        <f t="shared" si="8"/>
        <v>2157959459.4169698</v>
      </c>
      <c r="M33" s="205">
        <f>SUM(Storage_Annual!M33,OSW_Annual!M33)</f>
        <v>923726490.85728264</v>
      </c>
      <c r="N33" s="204">
        <f>SUM(SooGreen_Annual!P33,Storage_Annual!N33,OSW_Annual!N33)</f>
        <v>1269217380.444803</v>
      </c>
      <c r="O33" s="185">
        <f t="shared" si="14"/>
        <v>2192943871.3020859</v>
      </c>
      <c r="P33" s="185">
        <f t="shared" si="9"/>
        <v>1602574381.5568614</v>
      </c>
      <c r="Q33" s="204">
        <f t="shared" si="15"/>
        <v>-590369489.74522448</v>
      </c>
      <c r="R33" s="185">
        <f t="shared" si="10"/>
        <v>315332554.64607382</v>
      </c>
      <c r="S33" s="185">
        <f t="shared" si="10"/>
        <v>899218544.18089461</v>
      </c>
      <c r="T33" s="185">
        <f t="shared" si="10"/>
        <v>105037825.18731785</v>
      </c>
      <c r="U33" s="185">
        <f t="shared" si="16"/>
        <v>22363959.457915395</v>
      </c>
      <c r="V33" s="185">
        <f t="shared" si="11"/>
        <v>700069236.97131705</v>
      </c>
      <c r="W33" s="185">
        <f t="shared" si="11"/>
        <v>961908153.41248882</v>
      </c>
      <c r="X33" s="185">
        <f t="shared" si="11"/>
        <v>1661977390.383806</v>
      </c>
      <c r="Y33" s="185">
        <f t="shared" si="11"/>
        <v>1214551098.8269684</v>
      </c>
      <c r="Z33" s="204">
        <f t="shared" si="11"/>
        <v>-447426291.55683768</v>
      </c>
      <c r="AA33" s="270">
        <f t="shared" si="12"/>
        <v>0.75787502458828904</v>
      </c>
      <c r="AB33" s="7">
        <f t="shared" si="3"/>
        <v>2.5000000000000001E-2</v>
      </c>
      <c r="AC33" s="203">
        <f t="shared" si="2"/>
        <v>1.7002284184453125</v>
      </c>
    </row>
    <row r="34" spans="1:29" x14ac:dyDescent="0.25">
      <c r="A34" s="180">
        <v>2044</v>
      </c>
      <c r="B34" s="180">
        <f t="shared" si="17"/>
        <v>15</v>
      </c>
      <c r="C34" s="537">
        <f>'Energy Revenue'!AL22</f>
        <v>711852706.16468155</v>
      </c>
      <c r="D34" s="185">
        <f>'Cap Revenue'!H23</f>
        <v>1626838817.2805321</v>
      </c>
      <c r="E34" s="185">
        <f>'Energy Mkt Benefits'!W25</f>
        <v>243614740.07342243</v>
      </c>
      <c r="F34" s="204">
        <f>'Energy Revenue'!AM22</f>
        <v>22509836.165809788</v>
      </c>
      <c r="G34" s="205">
        <f t="shared" si="4"/>
        <v>408468907.76814288</v>
      </c>
      <c r="H34" s="185">
        <f t="shared" si="5"/>
        <v>933497996.22123849</v>
      </c>
      <c r="I34" s="185">
        <f t="shared" si="6"/>
        <v>139788815.76519603</v>
      </c>
      <c r="J34" s="204">
        <f t="shared" si="13"/>
        <v>22509836.165809788</v>
      </c>
      <c r="K34" s="185">
        <f t="shared" si="7"/>
        <v>1609809681.3919737</v>
      </c>
      <c r="L34" s="185">
        <f t="shared" si="8"/>
        <v>2247593085.9009881</v>
      </c>
      <c r="M34" s="205">
        <f>SUM(Storage_Annual!M34,OSW_Annual!M34)</f>
        <v>923726490.85728264</v>
      </c>
      <c r="N34" s="204">
        <f>SUM(SooGreen_Annual!P34,Storage_Annual!N34,OSW_Annual!N34)</f>
        <v>1289693619.1358912</v>
      </c>
      <c r="O34" s="185">
        <f t="shared" si="14"/>
        <v>2213420109.9931736</v>
      </c>
      <c r="P34" s="185">
        <f t="shared" si="9"/>
        <v>1341966903.9893813</v>
      </c>
      <c r="Q34" s="204">
        <f t="shared" si="15"/>
        <v>-871453206.00379229</v>
      </c>
      <c r="R34" s="185">
        <f t="shared" si="10"/>
        <v>303498415.21405184</v>
      </c>
      <c r="S34" s="185">
        <f t="shared" si="10"/>
        <v>693602761.60714674</v>
      </c>
      <c r="T34" s="185">
        <f t="shared" si="10"/>
        <v>103865149.20119192</v>
      </c>
      <c r="U34" s="185">
        <f t="shared" si="16"/>
        <v>22509836.165809788</v>
      </c>
      <c r="V34" s="185">
        <f t="shared" si="11"/>
        <v>686342389.18756568</v>
      </c>
      <c r="W34" s="185">
        <f t="shared" si="11"/>
        <v>958261356.19016969</v>
      </c>
      <c r="X34" s="185">
        <f t="shared" si="11"/>
        <v>1644603745.3777351</v>
      </c>
      <c r="Y34" s="185">
        <f t="shared" si="11"/>
        <v>997101176.82119858</v>
      </c>
      <c r="Z34" s="204">
        <f t="shared" si="11"/>
        <v>-647502568.55653667</v>
      </c>
      <c r="AA34" s="270">
        <f t="shared" si="12"/>
        <v>0.7430147299885187</v>
      </c>
      <c r="AB34" s="7">
        <f t="shared" si="3"/>
        <v>2.5000000000000001E-2</v>
      </c>
      <c r="AC34" s="203">
        <f t="shared" si="2"/>
        <v>1.7427341289064451</v>
      </c>
    </row>
    <row r="35" spans="1:29" x14ac:dyDescent="0.25">
      <c r="A35" s="180">
        <v>2045</v>
      </c>
      <c r="B35" s="180">
        <f t="shared" si="17"/>
        <v>16</v>
      </c>
      <c r="C35" s="537">
        <f>'Energy Revenue'!AL23</f>
        <v>770127098.23030066</v>
      </c>
      <c r="D35" s="185">
        <f>'Cap Revenue'!H24</f>
        <v>2103174554.0356367</v>
      </c>
      <c r="E35" s="185">
        <f>'Energy Mkt Benefits'!W26</f>
        <v>488391440.98890781</v>
      </c>
      <c r="F35" s="204">
        <f>'Energy Revenue'!AM23</f>
        <v>22252045.09839879</v>
      </c>
      <c r="G35" s="205">
        <f t="shared" si="4"/>
        <v>431129165.37650496</v>
      </c>
      <c r="H35" s="185">
        <f t="shared" si="5"/>
        <v>1177389929.8000464</v>
      </c>
      <c r="I35" s="185">
        <f t="shared" si="6"/>
        <v>273409148.71639812</v>
      </c>
      <c r="J35" s="204">
        <f t="shared" si="13"/>
        <v>22252045.09839879</v>
      </c>
      <c r="K35" s="185">
        <f t="shared" si="7"/>
        <v>1650054923.4267728</v>
      </c>
      <c r="L35" s="185">
        <f t="shared" si="8"/>
        <v>2283828146.0122309</v>
      </c>
      <c r="M35" s="205">
        <f>SUM(Storage_Annual!M35,OSW_Annual!M35)</f>
        <v>923726490.85728264</v>
      </c>
      <c r="N35" s="204">
        <f>SUM(SooGreen_Annual!P35,Storage_Annual!N35,OSW_Annual!N35)</f>
        <v>1278522629.20786</v>
      </c>
      <c r="O35" s="185">
        <f t="shared" si="14"/>
        <v>2202249120.0651426</v>
      </c>
      <c r="P35" s="185">
        <f t="shared" si="9"/>
        <v>1608519095.1765513</v>
      </c>
      <c r="Q35" s="204">
        <f t="shared" si="15"/>
        <v>-593730024.88859129</v>
      </c>
      <c r="R35" s="185">
        <f t="shared" si="10"/>
        <v>314054235.68862665</v>
      </c>
      <c r="S35" s="185">
        <f t="shared" si="10"/>
        <v>857664765.4721396</v>
      </c>
      <c r="T35" s="185">
        <f t="shared" si="10"/>
        <v>199163749.81363261</v>
      </c>
      <c r="U35" s="185">
        <f t="shared" si="16"/>
        <v>22252045.09839879</v>
      </c>
      <c r="V35" s="185">
        <f t="shared" si="11"/>
        <v>672884695.28192711</v>
      </c>
      <c r="W35" s="185">
        <f t="shared" si="11"/>
        <v>931334456.98538136</v>
      </c>
      <c r="X35" s="185">
        <f t="shared" si="11"/>
        <v>1604219152.2673085</v>
      </c>
      <c r="Y35" s="185">
        <f t="shared" si="11"/>
        <v>1171719001.1607661</v>
      </c>
      <c r="Z35" s="204">
        <f t="shared" si="11"/>
        <v>-432500151.10654223</v>
      </c>
      <c r="AA35" s="270">
        <f t="shared" si="12"/>
        <v>0.72844581371423389</v>
      </c>
      <c r="AB35" s="7">
        <f t="shared" si="3"/>
        <v>2.5000000000000001E-2</v>
      </c>
      <c r="AC35" s="203">
        <f t="shared" si="2"/>
        <v>1.786302482129106</v>
      </c>
    </row>
    <row r="36" spans="1:29" x14ac:dyDescent="0.25">
      <c r="A36" s="180">
        <v>2046</v>
      </c>
      <c r="B36" s="180">
        <f t="shared" si="17"/>
        <v>17</v>
      </c>
      <c r="C36" s="537">
        <f>'Energy Revenue'!AL24</f>
        <v>776110796.00227106</v>
      </c>
      <c r="D36" s="185">
        <f>'Cap Revenue'!H25</f>
        <v>2197023966.7874389</v>
      </c>
      <c r="E36" s="185">
        <f>'Energy Mkt Benefits'!W27</f>
        <v>557663581.92619705</v>
      </c>
      <c r="F36" s="204">
        <f>'Energy Revenue'!AM24</f>
        <v>22065734.361388415</v>
      </c>
      <c r="G36" s="205">
        <f t="shared" si="4"/>
        <v>423881885.60874087</v>
      </c>
      <c r="H36" s="185">
        <f t="shared" si="5"/>
        <v>1199930044.2236474</v>
      </c>
      <c r="I36" s="185">
        <f t="shared" si="6"/>
        <v>304574413.67882901</v>
      </c>
      <c r="J36" s="204">
        <f t="shared" si="13"/>
        <v>22065734.361388415</v>
      </c>
      <c r="K36" s="185">
        <f t="shared" si="7"/>
        <v>1691306296.5124421</v>
      </c>
      <c r="L36" s="185">
        <f t="shared" si="8"/>
        <v>2326776560.0366254</v>
      </c>
      <c r="M36" s="205">
        <f>SUM(Storage_Annual!M36,OSW_Annual!M36)</f>
        <v>923726490.85728264</v>
      </c>
      <c r="N36" s="204">
        <f>SUM(SooGreen_Annual!P36,Storage_Annual!N36,OSW_Annual!N36)</f>
        <v>1270795923.389859</v>
      </c>
      <c r="O36" s="185">
        <f t="shared" si="14"/>
        <v>2194522414.2471418</v>
      </c>
      <c r="P36" s="185">
        <f t="shared" si="9"/>
        <v>1623811929.8323882</v>
      </c>
      <c r="Q36" s="204">
        <f t="shared" si="15"/>
        <v>-570710484.41475368</v>
      </c>
      <c r="R36" s="185">
        <f t="shared" si="10"/>
        <v>302720573.60880691</v>
      </c>
      <c r="S36" s="185">
        <f t="shared" si="10"/>
        <v>856945115.16142297</v>
      </c>
      <c r="T36" s="185">
        <f t="shared" si="10"/>
        <v>217515643.73412773</v>
      </c>
      <c r="U36" s="185">
        <f t="shared" si="16"/>
        <v>22065734.361388415</v>
      </c>
      <c r="V36" s="185">
        <f t="shared" si="11"/>
        <v>659690877.72737944</v>
      </c>
      <c r="W36" s="185">
        <f t="shared" si="11"/>
        <v>907554873.01809514</v>
      </c>
      <c r="X36" s="185">
        <f t="shared" si="11"/>
        <v>1567245750.7454748</v>
      </c>
      <c r="Y36" s="185">
        <f t="shared" si="11"/>
        <v>1159665688.7702298</v>
      </c>
      <c r="Z36" s="204">
        <f t="shared" si="11"/>
        <v>-407580061.97524494</v>
      </c>
      <c r="AA36" s="270">
        <f t="shared" si="12"/>
        <v>0.71416256246493515</v>
      </c>
      <c r="AB36" s="7">
        <f t="shared" si="3"/>
        <v>2.5000000000000001E-2</v>
      </c>
      <c r="AC36" s="203">
        <f t="shared" si="2"/>
        <v>1.8309600441823335</v>
      </c>
    </row>
    <row r="37" spans="1:29" x14ac:dyDescent="0.25">
      <c r="A37" s="180">
        <v>2047</v>
      </c>
      <c r="B37" s="180">
        <f t="shared" si="17"/>
        <v>18</v>
      </c>
      <c r="C37" s="537">
        <f>'Energy Revenue'!AL25</f>
        <v>799562111.97477293</v>
      </c>
      <c r="D37" s="185">
        <f>'Cap Revenue'!H26</f>
        <v>2278677872.6830425</v>
      </c>
      <c r="E37" s="185">
        <f>'Energy Mkt Benefits'!W28</f>
        <v>566065391.22794533</v>
      </c>
      <c r="F37" s="204">
        <f>'Energy Revenue'!AM25</f>
        <v>22060322.452279739</v>
      </c>
      <c r="G37" s="205">
        <f t="shared" si="4"/>
        <v>426039115.1227535</v>
      </c>
      <c r="H37" s="185">
        <f t="shared" si="5"/>
        <v>1214171969.8673162</v>
      </c>
      <c r="I37" s="185">
        <f t="shared" si="6"/>
        <v>301622594.12809467</v>
      </c>
      <c r="J37" s="204">
        <f t="shared" si="13"/>
        <v>22060322.452279739</v>
      </c>
      <c r="K37" s="185">
        <f t="shared" si="7"/>
        <v>1733588953.9252529</v>
      </c>
      <c r="L37" s="185">
        <f t="shared" si="8"/>
        <v>2393039611.956882</v>
      </c>
      <c r="M37" s="205">
        <f>SUM(Storage_Annual!M37,OSW_Annual!M37)</f>
        <v>923726490.85728264</v>
      </c>
      <c r="N37" s="204">
        <f>SUM(SooGreen_Annual!P37,Storage_Annual!N37,OSW_Annual!N37)</f>
        <v>1275108541.8664443</v>
      </c>
      <c r="O37" s="185">
        <f t="shared" si="14"/>
        <v>2198835032.7237272</v>
      </c>
      <c r="P37" s="185">
        <f t="shared" si="9"/>
        <v>1640211084.9900699</v>
      </c>
      <c r="Q37" s="204">
        <f t="shared" si="15"/>
        <v>-558623947.73365736</v>
      </c>
      <c r="R37" s="185">
        <f t="shared" si="10"/>
        <v>298295280.55525404</v>
      </c>
      <c r="S37" s="185">
        <f t="shared" si="10"/>
        <v>850113887.52307892</v>
      </c>
      <c r="T37" s="185">
        <f t="shared" si="10"/>
        <v>211183886.98023644</v>
      </c>
      <c r="U37" s="185">
        <f t="shared" si="16"/>
        <v>22060322.452279739</v>
      </c>
      <c r="V37" s="185">
        <f t="shared" si="11"/>
        <v>646755762.4778229</v>
      </c>
      <c r="W37" s="185">
        <f t="shared" si="11"/>
        <v>892779199.68653619</v>
      </c>
      <c r="X37" s="185">
        <f t="shared" si="11"/>
        <v>1539534962.1643593</v>
      </c>
      <c r="Y37" s="185">
        <f t="shared" si="11"/>
        <v>1148409168.0783331</v>
      </c>
      <c r="Z37" s="204">
        <f t="shared" si="11"/>
        <v>-391125794.08602619</v>
      </c>
      <c r="AA37" s="270">
        <f t="shared" si="12"/>
        <v>0.70015937496562264</v>
      </c>
      <c r="AB37" s="7">
        <f t="shared" si="3"/>
        <v>2.5000000000000001E-2</v>
      </c>
      <c r="AC37" s="203">
        <f t="shared" si="2"/>
        <v>1.8767340452868917</v>
      </c>
    </row>
    <row r="38" spans="1:29" x14ac:dyDescent="0.25">
      <c r="A38" s="180">
        <v>2048</v>
      </c>
      <c r="B38" s="180">
        <f t="shared" si="17"/>
        <v>19</v>
      </c>
      <c r="C38" s="537">
        <f>'Energy Revenue'!AL26</f>
        <v>810119350.32811928</v>
      </c>
      <c r="D38" s="185">
        <f>'Cap Revenue'!H27</f>
        <v>2360929897.7656446</v>
      </c>
      <c r="E38" s="185">
        <f>'Energy Mkt Benefits'!W29</f>
        <v>587612879.28144169</v>
      </c>
      <c r="F38" s="204">
        <f>'Energy Revenue'!AM26</f>
        <v>21929871.507480353</v>
      </c>
      <c r="G38" s="205">
        <f t="shared" si="4"/>
        <v>421136038.83746386</v>
      </c>
      <c r="H38" s="185">
        <f t="shared" si="5"/>
        <v>1227316277.1821904</v>
      </c>
      <c r="I38" s="185">
        <f t="shared" si="6"/>
        <v>305467287.32036024</v>
      </c>
      <c r="J38" s="204">
        <f t="shared" si="13"/>
        <v>21929871.507480353</v>
      </c>
      <c r="K38" s="185">
        <f t="shared" si="7"/>
        <v>1776928677.7733841</v>
      </c>
      <c r="L38" s="185">
        <f t="shared" si="8"/>
        <v>2450500911.5324221</v>
      </c>
      <c r="M38" s="205">
        <f>SUM(Storage_Annual!M38,OSW_Annual!M38)</f>
        <v>923726490.85728264</v>
      </c>
      <c r="N38" s="204">
        <f>SUM(SooGreen_Annual!P38,Storage_Annual!N38,OSW_Annual!N38)</f>
        <v>1273879270.5449812</v>
      </c>
      <c r="O38" s="185">
        <f t="shared" si="14"/>
        <v>2197605761.4022636</v>
      </c>
      <c r="P38" s="185">
        <f t="shared" si="9"/>
        <v>1648452316.0196543</v>
      </c>
      <c r="Q38" s="204">
        <f t="shared" si="15"/>
        <v>-549153445.38260937</v>
      </c>
      <c r="R38" s="185">
        <f t="shared" si="10"/>
        <v>289080731.10582048</v>
      </c>
      <c r="S38" s="185">
        <f t="shared" si="10"/>
        <v>842467644.62452674</v>
      </c>
      <c r="T38" s="185">
        <f t="shared" si="10"/>
        <v>209682142.12026244</v>
      </c>
      <c r="U38" s="185">
        <f t="shared" si="16"/>
        <v>21929871.507480353</v>
      </c>
      <c r="V38" s="185">
        <f t="shared" si="11"/>
        <v>634074276.93904209</v>
      </c>
      <c r="W38" s="185">
        <f t="shared" si="11"/>
        <v>874429915.53572297</v>
      </c>
      <c r="X38" s="185">
        <f t="shared" si="11"/>
        <v>1508504192.4747648</v>
      </c>
      <c r="Y38" s="185">
        <f t="shared" si="11"/>
        <v>1131548375.7303472</v>
      </c>
      <c r="Z38" s="204">
        <f t="shared" si="11"/>
        <v>-376955816.74441761</v>
      </c>
      <c r="AA38" s="270">
        <f t="shared" si="12"/>
        <v>0.68643075977021828</v>
      </c>
      <c r="AB38" s="7">
        <f t="shared" si="3"/>
        <v>2.5000000000000001E-2</v>
      </c>
      <c r="AC38" s="203">
        <f t="shared" si="2"/>
        <v>1.9236523964190637</v>
      </c>
    </row>
    <row r="39" spans="1:29" x14ac:dyDescent="0.25">
      <c r="A39" s="180">
        <v>2049</v>
      </c>
      <c r="B39" s="180">
        <f t="shared" si="17"/>
        <v>20</v>
      </c>
      <c r="C39" s="537">
        <f>'Energy Revenue'!AL27</f>
        <v>841785691.58188152</v>
      </c>
      <c r="D39" s="185">
        <f>'Cap Revenue'!H28</f>
        <v>2446318657.0280204</v>
      </c>
      <c r="E39" s="185">
        <f>'Energy Mkt Benefits'!W30</f>
        <v>816430493.81792641</v>
      </c>
      <c r="F39" s="204">
        <f>'Energy Revenue'!AM27</f>
        <v>21910056.772253476</v>
      </c>
      <c r="G39" s="205">
        <f t="shared" si="4"/>
        <v>426924497.78317827</v>
      </c>
      <c r="H39" s="185">
        <f t="shared" si="5"/>
        <v>1240687950.0490029</v>
      </c>
      <c r="I39" s="185">
        <f t="shared" si="6"/>
        <v>414065221.15277147</v>
      </c>
      <c r="J39" s="204">
        <f t="shared" si="13"/>
        <v>21910056.772253476</v>
      </c>
      <c r="K39" s="185">
        <f t="shared" si="7"/>
        <v>1821351894.7177186</v>
      </c>
      <c r="L39" s="185">
        <f t="shared" si="8"/>
        <v>2513519280.9578695</v>
      </c>
      <c r="M39" s="205">
        <f>SUM(Storage_Annual!M39,OSW_Annual!M39)</f>
        <v>923726490.85728264</v>
      </c>
      <c r="N39" s="204">
        <f>SUM(SooGreen_Annual!P39,Storage_Annual!N39,OSW_Annual!N39)</f>
        <v>1274769775.0418389</v>
      </c>
      <c r="O39" s="185">
        <f t="shared" si="14"/>
        <v>2198496265.8991213</v>
      </c>
      <c r="P39" s="185">
        <f t="shared" si="9"/>
        <v>1667612447.8321812</v>
      </c>
      <c r="Q39" s="204">
        <f t="shared" si="15"/>
        <v>-530883818.06694007</v>
      </c>
      <c r="R39" s="185">
        <f t="shared" si="10"/>
        <v>287307948.40963328</v>
      </c>
      <c r="S39" s="185">
        <f t="shared" si="10"/>
        <v>834947423.71558011</v>
      </c>
      <c r="T39" s="185">
        <f t="shared" si="10"/>
        <v>278654023.87286311</v>
      </c>
      <c r="U39" s="185">
        <f t="shared" si="16"/>
        <v>21910056.772253476</v>
      </c>
      <c r="V39" s="185">
        <f t="shared" si="11"/>
        <v>621641447.97945309</v>
      </c>
      <c r="W39" s="185">
        <f t="shared" si="11"/>
        <v>857883514.91576445</v>
      </c>
      <c r="X39" s="185">
        <f t="shared" si="11"/>
        <v>1479524962.8952172</v>
      </c>
      <c r="Y39" s="185">
        <f t="shared" si="11"/>
        <v>1122255372.1252134</v>
      </c>
      <c r="Z39" s="204">
        <f t="shared" si="11"/>
        <v>-357269590.77000391</v>
      </c>
      <c r="AA39" s="270">
        <f t="shared" si="12"/>
        <v>0.67297133310805712</v>
      </c>
      <c r="AB39" s="7">
        <f t="shared" si="3"/>
        <v>2.5000000000000001E-2</v>
      </c>
      <c r="AC39" s="203">
        <f t="shared" si="2"/>
        <v>1.9717437063295402</v>
      </c>
    </row>
    <row r="40" spans="1:29" ht="4.5" customHeight="1" x14ac:dyDescent="0.25">
      <c r="A40" s="211"/>
      <c r="B40" s="211"/>
      <c r="C40" s="209"/>
      <c r="D40" s="209"/>
      <c r="E40" s="209"/>
      <c r="F40" s="208"/>
      <c r="G40" s="210"/>
      <c r="H40" s="209"/>
      <c r="I40" s="209"/>
      <c r="J40" s="208"/>
      <c r="K40" s="209"/>
      <c r="L40" s="209"/>
      <c r="M40" s="210"/>
      <c r="N40" s="208"/>
      <c r="O40" s="209"/>
      <c r="P40" s="209"/>
      <c r="Q40" s="208"/>
      <c r="R40" s="209"/>
      <c r="S40" s="209"/>
      <c r="T40" s="209"/>
      <c r="U40" s="209"/>
      <c r="V40" s="209"/>
      <c r="W40" s="209"/>
      <c r="X40" s="209"/>
      <c r="Y40" s="209"/>
      <c r="Z40" s="208"/>
      <c r="AA40" s="538"/>
      <c r="AB40" s="207"/>
      <c r="AC40" s="206"/>
    </row>
    <row r="41" spans="1:29" ht="4.5" customHeight="1" x14ac:dyDescent="0.25">
      <c r="A41" s="180"/>
      <c r="B41" s="180"/>
      <c r="C41" s="185"/>
      <c r="D41" s="185"/>
      <c r="E41" s="185"/>
      <c r="F41" s="204"/>
      <c r="G41" s="205"/>
      <c r="H41" s="185"/>
      <c r="I41" s="185"/>
      <c r="J41" s="204"/>
      <c r="K41" s="185"/>
      <c r="L41" s="185"/>
      <c r="M41" s="205"/>
      <c r="N41" s="204"/>
      <c r="O41" s="185"/>
      <c r="P41" s="185"/>
      <c r="Q41" s="204"/>
      <c r="R41" s="185"/>
      <c r="S41" s="185"/>
      <c r="T41" s="185"/>
      <c r="U41" s="185"/>
      <c r="V41" s="185"/>
      <c r="W41" s="185"/>
      <c r="X41" s="185"/>
      <c r="Y41" s="185"/>
      <c r="Z41" s="204"/>
      <c r="AA41" s="270"/>
      <c r="AC41" s="203"/>
    </row>
    <row r="42" spans="1:29" s="189" customFormat="1" ht="30" x14ac:dyDescent="0.25">
      <c r="A42" s="198" t="s">
        <v>30</v>
      </c>
      <c r="C42" s="199">
        <f t="shared" ref="C42:Q42" si="18">SUM(C20:C39)</f>
        <v>13023447455.496407</v>
      </c>
      <c r="D42" s="199">
        <f t="shared" si="18"/>
        <v>29374120962.338699</v>
      </c>
      <c r="E42" s="199">
        <f t="shared" si="18"/>
        <v>6224719018.3999214</v>
      </c>
      <c r="F42" s="191">
        <f t="shared" si="18"/>
        <v>430468682.02775735</v>
      </c>
      <c r="G42" s="200">
        <f t="shared" si="18"/>
        <v>8223378785.0413322</v>
      </c>
      <c r="H42" s="199">
        <f t="shared" si="18"/>
        <v>17744244046.428112</v>
      </c>
      <c r="I42" s="199">
        <f t="shared" si="18"/>
        <v>3769808091.3193884</v>
      </c>
      <c r="J42" s="191">
        <f>SUM(J20:J39)</f>
        <v>430468682.02775735</v>
      </c>
      <c r="K42" s="199">
        <f>SUM(K20:K39)</f>
        <v>26455699569.222862</v>
      </c>
      <c r="L42" s="199">
        <f t="shared" si="18"/>
        <v>39378751155.422516</v>
      </c>
      <c r="M42" s="200">
        <f t="shared" si="18"/>
        <v>16399211274.021154</v>
      </c>
      <c r="N42" s="191">
        <f t="shared" si="18"/>
        <v>24872456120.163742</v>
      </c>
      <c r="O42" s="199">
        <f t="shared" si="18"/>
        <v>41271667394.184906</v>
      </c>
      <c r="P42" s="199">
        <f t="shared" si="18"/>
        <v>25967622831.469444</v>
      </c>
      <c r="Q42" s="191">
        <f t="shared" si="18"/>
        <v>-15304044562.715458</v>
      </c>
      <c r="R42" s="199">
        <f t="shared" ref="R42:Z42" si="19">SUM(R20:R39)</f>
        <v>6692303934.4876404</v>
      </c>
      <c r="S42" s="199">
        <f t="shared" si="19"/>
        <v>13883865627.863592</v>
      </c>
      <c r="T42" s="199">
        <f t="shared" si="19"/>
        <v>2971765731.5415072</v>
      </c>
      <c r="U42" s="199">
        <f t="shared" si="19"/>
        <v>430468682.02775735</v>
      </c>
      <c r="V42" s="199">
        <f t="shared" si="19"/>
        <v>13122534016.22345</v>
      </c>
      <c r="W42" s="199">
        <f t="shared" si="19"/>
        <v>20244294167.441296</v>
      </c>
      <c r="X42" s="199">
        <f t="shared" si="19"/>
        <v>33366828183.664742</v>
      </c>
      <c r="Y42" s="199">
        <f t="shared" si="19"/>
        <v>20576169562.351238</v>
      </c>
      <c r="Z42" s="191">
        <f t="shared" si="19"/>
        <v>-12790658621.313509</v>
      </c>
      <c r="AA42" s="199"/>
      <c r="AB42" s="190"/>
      <c r="AC42" s="190"/>
    </row>
    <row r="43" spans="1:29" s="189" customFormat="1" ht="30" x14ac:dyDescent="0.25">
      <c r="A43" s="198" t="s">
        <v>31</v>
      </c>
      <c r="C43" s="192">
        <f>C42/$F$42</f>
        <v>30.254111388889918</v>
      </c>
      <c r="D43" s="192">
        <f t="shared" ref="D43:F43" si="20">D42/$F$42</f>
        <v>68.237533155651505</v>
      </c>
      <c r="E43" s="192">
        <f t="shared" si="20"/>
        <v>14.460329585599309</v>
      </c>
      <c r="F43" s="195">
        <f t="shared" si="20"/>
        <v>1</v>
      </c>
      <c r="G43" s="197">
        <f>G42/$F$42</f>
        <v>19.10331489460382</v>
      </c>
      <c r="H43" s="192">
        <f t="shared" ref="H43:J43" si="21">H42/$F$42</f>
        <v>41.220754928889193</v>
      </c>
      <c r="I43" s="192">
        <f t="shared" si="21"/>
        <v>8.7574503063995373</v>
      </c>
      <c r="J43" s="195">
        <f t="shared" si="21"/>
        <v>1</v>
      </c>
      <c r="K43" s="192" t="s">
        <v>65</v>
      </c>
      <c r="L43" s="192">
        <f>SUM(K42:L42)/F42</f>
        <v>152.93667919005605</v>
      </c>
      <c r="M43" s="194" t="s">
        <v>83</v>
      </c>
      <c r="N43" s="193">
        <f>SUM(M42:N42)/F42</f>
        <v>95.876120882409822</v>
      </c>
      <c r="O43" s="192">
        <f t="shared" ref="O43:P43" si="22">O42/$F$42</f>
        <v>95.876120882409836</v>
      </c>
      <c r="P43" s="192">
        <f t="shared" si="22"/>
        <v>60.324069823493012</v>
      </c>
      <c r="Q43" s="191"/>
      <c r="R43" s="539">
        <f>R42/$U$42</f>
        <v>15.546552429698265</v>
      </c>
      <c r="S43" s="539">
        <f>S42/$U$42</f>
        <v>32.252905280966147</v>
      </c>
      <c r="T43" s="539">
        <f>T42/$U$42</f>
        <v>6.9035585063767373</v>
      </c>
      <c r="U43" s="539">
        <f t="shared" ref="U43" si="23">U42/$F$42</f>
        <v>1</v>
      </c>
      <c r="V43" s="199"/>
      <c r="W43" s="199"/>
      <c r="X43" s="539">
        <f t="shared" ref="X43:Y43" si="24">X42/$F$42</f>
        <v>77.512789145281403</v>
      </c>
      <c r="Y43" s="539">
        <f t="shared" si="24"/>
        <v>47.799457710664427</v>
      </c>
      <c r="Z43" s="191"/>
      <c r="AA43" s="199"/>
      <c r="AB43" s="190"/>
      <c r="AC43" s="190"/>
    </row>
    <row r="44" spans="1:29" ht="9.75" customHeight="1" thickBot="1" x14ac:dyDescent="0.3">
      <c r="A44" s="169"/>
      <c r="B44" s="169"/>
      <c r="C44" s="169"/>
      <c r="D44" s="169"/>
      <c r="E44" s="169"/>
      <c r="F44" s="187"/>
      <c r="G44" s="188"/>
      <c r="H44" s="169"/>
      <c r="I44" s="169"/>
      <c r="J44" s="187"/>
      <c r="K44" s="169"/>
      <c r="L44" s="169"/>
      <c r="M44" s="188"/>
      <c r="N44" s="187"/>
      <c r="O44" s="169"/>
      <c r="P44" s="169"/>
      <c r="Q44" s="187"/>
      <c r="R44" s="169"/>
      <c r="S44" s="169"/>
      <c r="T44" s="169"/>
      <c r="U44" s="169"/>
      <c r="V44" s="169"/>
      <c r="W44" s="169"/>
      <c r="X44" s="169"/>
      <c r="Y44" s="169"/>
      <c r="Z44" s="187"/>
      <c r="AA44" s="169"/>
      <c r="AB44" s="186"/>
      <c r="AC44" s="186"/>
    </row>
    <row r="45" spans="1:29" ht="15.75" thickTop="1" x14ac:dyDescent="0.25">
      <c r="AA45" s="7"/>
    </row>
    <row r="46" spans="1:29" x14ac:dyDescent="0.25">
      <c r="E46" s="540"/>
      <c r="F46" s="540"/>
      <c r="AA46" s="7"/>
    </row>
    <row r="47" spans="1:29" x14ac:dyDescent="0.25">
      <c r="E47" s="540"/>
      <c r="F47" s="540"/>
      <c r="AA47" s="7"/>
    </row>
    <row r="48" spans="1:29" x14ac:dyDescent="0.25">
      <c r="E48" s="540"/>
      <c r="F48" s="540"/>
      <c r="AA48" s="7"/>
    </row>
    <row r="49" spans="5:27" x14ac:dyDescent="0.25">
      <c r="E49" s="540"/>
      <c r="F49" s="540"/>
      <c r="AA49" s="7"/>
    </row>
    <row r="50" spans="5:27" x14ac:dyDescent="0.25">
      <c r="E50" s="540"/>
      <c r="F50" s="540"/>
      <c r="AA50" s="7"/>
    </row>
    <row r="51" spans="5:27" x14ac:dyDescent="0.25">
      <c r="E51" s="540"/>
      <c r="F51" s="540"/>
      <c r="AA51" s="7"/>
    </row>
    <row r="52" spans="5:27" x14ac:dyDescent="0.25">
      <c r="E52" s="540"/>
      <c r="F52" s="540"/>
      <c r="AA52" s="7"/>
    </row>
    <row r="53" spans="5:27" x14ac:dyDescent="0.25">
      <c r="E53" s="540"/>
      <c r="F53" s="540"/>
      <c r="AA53" s="7"/>
    </row>
    <row r="54" spans="5:27" x14ac:dyDescent="0.25">
      <c r="E54" s="540"/>
      <c r="F54" s="540"/>
      <c r="AA54" s="7"/>
    </row>
    <row r="55" spans="5:27" x14ac:dyDescent="0.25">
      <c r="E55" s="540"/>
      <c r="F55" s="540"/>
      <c r="AA55" s="7"/>
    </row>
    <row r="56" spans="5:27" x14ac:dyDescent="0.25">
      <c r="E56" s="540"/>
      <c r="F56" s="540"/>
      <c r="AA56" s="7"/>
    </row>
    <row r="57" spans="5:27" x14ac:dyDescent="0.25">
      <c r="E57" s="540"/>
      <c r="F57" s="540"/>
      <c r="AA57" s="7"/>
    </row>
    <row r="58" spans="5:27" x14ac:dyDescent="0.25">
      <c r="E58" s="540"/>
      <c r="F58" s="540"/>
      <c r="AA58" s="7"/>
    </row>
    <row r="59" spans="5:27" x14ac:dyDescent="0.25">
      <c r="E59" s="540"/>
      <c r="F59" s="540"/>
      <c r="AA59" s="7"/>
    </row>
    <row r="60" spans="5:27" x14ac:dyDescent="0.25">
      <c r="E60" s="540"/>
      <c r="F60" s="540"/>
      <c r="AA60" s="7"/>
    </row>
    <row r="61" spans="5:27" x14ac:dyDescent="0.25">
      <c r="E61" s="540"/>
      <c r="F61" s="540"/>
      <c r="AA61" s="7"/>
    </row>
    <row r="62" spans="5:27" x14ac:dyDescent="0.25">
      <c r="E62" s="540"/>
      <c r="F62" s="540"/>
      <c r="AA62" s="7"/>
    </row>
    <row r="63" spans="5:27" x14ac:dyDescent="0.25">
      <c r="E63" s="540"/>
      <c r="F63" s="540"/>
    </row>
    <row r="64" spans="5:27" x14ac:dyDescent="0.25">
      <c r="E64" s="540"/>
      <c r="F64" s="540"/>
    </row>
    <row r="65" spans="3:6" x14ac:dyDescent="0.25">
      <c r="E65" s="540"/>
      <c r="F65" s="540"/>
    </row>
    <row r="71" spans="3:6" x14ac:dyDescent="0.25">
      <c r="C71" s="185"/>
      <c r="D71" s="185"/>
      <c r="E71" s="185"/>
      <c r="F71" s="185"/>
    </row>
    <row r="72" spans="3:6" x14ac:dyDescent="0.25">
      <c r="C72" s="185"/>
      <c r="D72" s="185"/>
      <c r="E72" s="185"/>
      <c r="F72" s="185"/>
    </row>
    <row r="73" spans="3:6" x14ac:dyDescent="0.25">
      <c r="C73" s="185"/>
      <c r="D73" s="185"/>
      <c r="E73" s="185"/>
      <c r="F73" s="185"/>
    </row>
    <row r="74" spans="3:6" x14ac:dyDescent="0.25">
      <c r="C74" s="185"/>
      <c r="D74" s="185"/>
      <c r="E74" s="185"/>
      <c r="F74" s="185"/>
    </row>
    <row r="75" spans="3:6" x14ac:dyDescent="0.25">
      <c r="C75" s="185"/>
      <c r="D75" s="185"/>
      <c r="E75" s="185"/>
      <c r="F75" s="185"/>
    </row>
    <row r="76" spans="3:6" x14ac:dyDescent="0.25">
      <c r="C76" s="185"/>
      <c r="D76" s="185"/>
      <c r="E76" s="185"/>
      <c r="F76" s="185"/>
    </row>
    <row r="77" spans="3:6" x14ac:dyDescent="0.25">
      <c r="C77" s="185"/>
      <c r="D77" s="185"/>
      <c r="E77" s="185"/>
      <c r="F77" s="185"/>
    </row>
    <row r="78" spans="3:6" x14ac:dyDescent="0.25">
      <c r="C78" s="185"/>
      <c r="D78" s="185"/>
      <c r="E78" s="185"/>
      <c r="F78" s="185"/>
    </row>
    <row r="79" spans="3:6" x14ac:dyDescent="0.25">
      <c r="C79" s="185"/>
      <c r="D79" s="185"/>
      <c r="E79" s="185"/>
      <c r="F79" s="185"/>
    </row>
    <row r="80" spans="3:6" x14ac:dyDescent="0.25">
      <c r="C80" s="185"/>
      <c r="D80" s="185"/>
      <c r="E80" s="185"/>
      <c r="F80" s="185"/>
    </row>
    <row r="81" spans="3:6" x14ac:dyDescent="0.25">
      <c r="C81" s="185"/>
      <c r="D81" s="185"/>
      <c r="E81" s="185"/>
      <c r="F81" s="185"/>
    </row>
    <row r="82" spans="3:6" x14ac:dyDescent="0.25">
      <c r="C82" s="185"/>
      <c r="D82" s="185"/>
      <c r="E82" s="185"/>
      <c r="F82" s="185"/>
    </row>
    <row r="83" spans="3:6" x14ac:dyDescent="0.25">
      <c r="C83" s="185"/>
      <c r="D83" s="185"/>
      <c r="E83" s="185"/>
      <c r="F83" s="185"/>
    </row>
    <row r="84" spans="3:6" x14ac:dyDescent="0.25">
      <c r="C84" s="185"/>
      <c r="D84" s="185"/>
      <c r="E84" s="185"/>
      <c r="F84" s="185"/>
    </row>
    <row r="85" spans="3:6" x14ac:dyDescent="0.25">
      <c r="C85" s="185"/>
      <c r="D85" s="185"/>
      <c r="E85" s="185"/>
      <c r="F85" s="185"/>
    </row>
    <row r="86" spans="3:6" x14ac:dyDescent="0.25">
      <c r="C86" s="185"/>
      <c r="D86" s="185"/>
      <c r="E86" s="185"/>
      <c r="F86" s="185"/>
    </row>
    <row r="87" spans="3:6" x14ac:dyDescent="0.25">
      <c r="C87" s="185"/>
      <c r="D87" s="185"/>
      <c r="E87" s="185"/>
      <c r="F87" s="185"/>
    </row>
    <row r="88" spans="3:6" x14ac:dyDescent="0.25">
      <c r="C88" s="185"/>
      <c r="D88" s="185"/>
      <c r="E88" s="185"/>
      <c r="F88" s="185"/>
    </row>
    <row r="89" spans="3:6" x14ac:dyDescent="0.25">
      <c r="C89" s="185"/>
      <c r="D89" s="185"/>
      <c r="E89" s="185"/>
      <c r="F89" s="185"/>
    </row>
    <row r="90" spans="3:6" x14ac:dyDescent="0.25">
      <c r="C90" s="185"/>
      <c r="D90" s="185"/>
      <c r="E90" s="185"/>
      <c r="F90" s="185"/>
    </row>
  </sheetData>
  <mergeCells count="9">
    <mergeCell ref="R4:Z4"/>
    <mergeCell ref="R5:U5"/>
    <mergeCell ref="V5:W5"/>
    <mergeCell ref="X5:Z5"/>
    <mergeCell ref="C5:F5"/>
    <mergeCell ref="G5:J5"/>
    <mergeCell ref="K5:L5"/>
    <mergeCell ref="M5:N5"/>
    <mergeCell ref="O5:Q5"/>
  </mergeCells>
  <printOptions horizontalCentered="1" verticalCentered="1"/>
  <pageMargins left="0.2" right="0.2" top="0.75" bottom="0.75" header="0.3" footer="0.3"/>
  <pageSetup scale="75"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FB079-4438-4C1C-998E-59674C5FE668}">
  <sheetPr codeName="Sheet65">
    <tabColor theme="9" tint="0.59999389629810485"/>
  </sheetPr>
  <dimension ref="A1"/>
  <sheetViews>
    <sheetView workbookViewId="0"/>
  </sheetViews>
  <sheetFormatPr defaultRowHeight="15" x14ac:dyDescent="0.25"/>
  <cols>
    <col min="1" max="16384" width="9.140625" style="3"/>
  </cols>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64489-0233-464F-847E-AED996913DC8}">
  <sheetPr codeName="Sheet28">
    <tabColor theme="8" tint="0.79998168889431442"/>
    <pageSetUpPr fitToPage="1"/>
  </sheetPr>
  <dimension ref="A2:AR124"/>
  <sheetViews>
    <sheetView zoomScale="70" zoomScaleNormal="70" workbookViewId="0">
      <pane xSplit="1" topLeftCell="B1" activePane="topRight" state="frozen"/>
      <selection pane="topRight"/>
    </sheetView>
  </sheetViews>
  <sheetFormatPr defaultRowHeight="15" x14ac:dyDescent="0.25"/>
  <cols>
    <col min="1" max="1" width="17.42578125" style="3" bestFit="1" customWidth="1"/>
    <col min="2" max="2" width="21.140625" style="3" bestFit="1" customWidth="1"/>
    <col min="3" max="3" width="16.85546875" style="3" bestFit="1" customWidth="1"/>
    <col min="4" max="4" width="17.42578125" style="3" bestFit="1" customWidth="1"/>
    <col min="5" max="7" width="16.42578125" style="3" customWidth="1"/>
    <col min="8" max="8" width="16.140625" style="3" bestFit="1" customWidth="1"/>
    <col min="9" max="9" width="14.42578125" style="3" customWidth="1"/>
    <col min="10" max="10" width="17" style="3" bestFit="1" customWidth="1"/>
    <col min="11" max="11" width="17.42578125" style="3" customWidth="1"/>
    <col min="12" max="12" width="17.5703125" style="3" customWidth="1"/>
    <col min="13" max="13" width="16.140625" style="3" bestFit="1" customWidth="1"/>
    <col min="14" max="14" width="16.5703125" style="3" bestFit="1" customWidth="1"/>
    <col min="15" max="15" width="16.140625" style="3" bestFit="1" customWidth="1"/>
    <col min="16" max="16" width="17.42578125" style="3" bestFit="1" customWidth="1"/>
    <col min="17" max="17" width="17.5703125" style="3" bestFit="1" customWidth="1"/>
    <col min="18" max="18" width="24.140625" style="3" bestFit="1" customWidth="1"/>
    <col min="19" max="19" width="24.42578125" style="3" customWidth="1"/>
    <col min="20" max="20" width="15.42578125" style="3" customWidth="1"/>
    <col min="21" max="21" width="13.42578125" style="3" customWidth="1"/>
    <col min="22" max="22" width="13.5703125" style="3" customWidth="1"/>
    <col min="23" max="23" width="18.85546875" style="3" customWidth="1"/>
    <col min="24" max="24" width="17.42578125" style="3" bestFit="1" customWidth="1"/>
    <col min="25" max="25" width="17.140625" style="3" customWidth="1"/>
    <col min="26" max="26" width="19" style="3" customWidth="1"/>
    <col min="27" max="27" width="28" style="3" customWidth="1"/>
    <col min="28" max="28" width="18" style="3" customWidth="1"/>
    <col min="29" max="33" width="17.42578125" style="3" customWidth="1"/>
    <col min="34" max="34" width="20.85546875" style="3" bestFit="1" customWidth="1"/>
    <col min="35" max="35" width="17.42578125" style="3" bestFit="1" customWidth="1"/>
    <col min="36" max="36" width="18.85546875" style="3" bestFit="1" customWidth="1"/>
    <col min="37" max="37" width="22.42578125" style="3" bestFit="1" customWidth="1"/>
    <col min="38" max="39" width="18.85546875" style="3" bestFit="1" customWidth="1"/>
    <col min="40" max="40" width="11.5703125" style="3" bestFit="1" customWidth="1"/>
    <col min="41" max="41" width="19.140625" style="3" bestFit="1" customWidth="1"/>
    <col min="42" max="42" width="20.7109375" style="3" bestFit="1" customWidth="1"/>
    <col min="43" max="16384" width="9.140625" style="3"/>
  </cols>
  <sheetData>
    <row r="2" spans="1:44" x14ac:dyDescent="0.25">
      <c r="A2" s="3" t="s">
        <v>608</v>
      </c>
      <c r="B2" s="271" t="s">
        <v>607</v>
      </c>
    </row>
    <row r="3" spans="1:44" x14ac:dyDescent="0.25">
      <c r="A3" s="4" t="s">
        <v>606</v>
      </c>
      <c r="B3" s="271"/>
    </row>
    <row r="4" spans="1:44" x14ac:dyDescent="0.25">
      <c r="B4" s="271"/>
    </row>
    <row r="5" spans="1:44" x14ac:dyDescent="0.25">
      <c r="A5" s="31" t="s">
        <v>605</v>
      </c>
      <c r="B5" s="3" t="s">
        <v>604</v>
      </c>
      <c r="Q5" s="15" t="s">
        <v>603</v>
      </c>
      <c r="R5" s="15"/>
      <c r="S5" s="15"/>
      <c r="T5" s="15"/>
      <c r="U5" s="15"/>
      <c r="V5" s="15"/>
      <c r="W5" s="15"/>
      <c r="X5" s="15"/>
      <c r="Y5" s="15"/>
      <c r="Z5" s="15"/>
      <c r="AE5" s="420">
        <f>(4.5-4.25)/4.25</f>
        <v>5.8823529411764705E-2</v>
      </c>
      <c r="AF5" s="420"/>
      <c r="AG5" s="420"/>
    </row>
    <row r="6" spans="1:44" x14ac:dyDescent="0.25">
      <c r="A6" s="31"/>
      <c r="Q6" s="15"/>
      <c r="R6" s="15"/>
      <c r="S6" s="15"/>
      <c r="T6" s="15"/>
      <c r="U6" s="15"/>
      <c r="V6" s="15"/>
      <c r="W6" s="15"/>
      <c r="X6" s="15"/>
      <c r="Y6" s="15"/>
      <c r="Z6" s="15"/>
      <c r="AE6" s="180" t="s">
        <v>89</v>
      </c>
      <c r="AF6" s="500">
        <v>2022</v>
      </c>
      <c r="AG6" s="500" t="s">
        <v>602</v>
      </c>
    </row>
    <row r="7" spans="1:44" ht="60" x14ac:dyDescent="0.25">
      <c r="A7" s="501" t="s">
        <v>583</v>
      </c>
      <c r="B7" s="501" t="s">
        <v>570</v>
      </c>
      <c r="C7" s="501" t="s">
        <v>569</v>
      </c>
      <c r="D7" s="501" t="s">
        <v>582</v>
      </c>
      <c r="E7" s="501" t="s">
        <v>567</v>
      </c>
      <c r="F7" s="501" t="s">
        <v>581</v>
      </c>
      <c r="G7" s="501" t="s">
        <v>580</v>
      </c>
      <c r="H7" s="501" t="s">
        <v>579</v>
      </c>
      <c r="I7" s="502" t="s">
        <v>578</v>
      </c>
      <c r="J7" s="502" t="s">
        <v>577</v>
      </c>
      <c r="K7" s="502" t="s">
        <v>576</v>
      </c>
      <c r="L7" s="502" t="s">
        <v>575</v>
      </c>
      <c r="M7" s="501" t="s">
        <v>574</v>
      </c>
      <c r="N7" s="501" t="s">
        <v>573</v>
      </c>
      <c r="O7" s="501" t="s">
        <v>572</v>
      </c>
      <c r="P7" s="502" t="s">
        <v>571</v>
      </c>
      <c r="Q7" s="503" t="s">
        <v>570</v>
      </c>
      <c r="R7" s="503" t="s">
        <v>569</v>
      </c>
      <c r="S7" s="503" t="s">
        <v>568</v>
      </c>
      <c r="T7" s="503" t="s">
        <v>567</v>
      </c>
      <c r="U7" s="503" t="s">
        <v>566</v>
      </c>
      <c r="V7" s="503" t="s">
        <v>565</v>
      </c>
      <c r="W7" s="503" t="s">
        <v>564</v>
      </c>
      <c r="X7" s="503" t="s">
        <v>563</v>
      </c>
      <c r="Y7" s="503" t="s">
        <v>562</v>
      </c>
      <c r="Z7" s="503" t="s">
        <v>561</v>
      </c>
      <c r="AA7" s="502" t="s">
        <v>560</v>
      </c>
      <c r="AB7" s="502" t="s">
        <v>559</v>
      </c>
      <c r="AC7" s="502" t="s">
        <v>601</v>
      </c>
      <c r="AD7" s="504" t="s">
        <v>600</v>
      </c>
      <c r="AE7" s="504" t="str">
        <f>"DY Collections (Calendar Year) adjusted for "&amp;TEXT(AE5,"0.00%")&amp;" increase."</f>
        <v>DY Collections (Calendar Year) adjusted for 5.88% increase.</v>
      </c>
      <c r="AF7" s="504" t="str">
        <f>AE7</f>
        <v>DY Collections (Calendar Year) adjusted for 5.88% increase.</v>
      </c>
      <c r="AG7" s="504" t="str">
        <f>AE7</f>
        <v>DY Collections (Calendar Year) adjusted for 5.88% increase.</v>
      </c>
      <c r="AH7" s="502" t="s">
        <v>558</v>
      </c>
      <c r="AI7" s="501" t="s">
        <v>557</v>
      </c>
      <c r="AJ7" s="501" t="s">
        <v>556</v>
      </c>
      <c r="AK7" s="502" t="s">
        <v>599</v>
      </c>
      <c r="AL7" s="501" t="s">
        <v>598</v>
      </c>
      <c r="AM7" s="501" t="s">
        <v>597</v>
      </c>
      <c r="AO7" s="505" t="s">
        <v>596</v>
      </c>
      <c r="AP7" s="3" t="s">
        <v>595</v>
      </c>
      <c r="AQ7" s="3" t="s">
        <v>26</v>
      </c>
      <c r="AR7" s="3" t="s">
        <v>27</v>
      </c>
    </row>
    <row r="8" spans="1:44" x14ac:dyDescent="0.25">
      <c r="A8" s="506" t="s">
        <v>555</v>
      </c>
      <c r="B8" s="507">
        <v>138009382</v>
      </c>
      <c r="C8" s="507">
        <v>48629161</v>
      </c>
      <c r="D8" s="507">
        <v>29989057</v>
      </c>
      <c r="E8" s="507"/>
      <c r="F8" s="507"/>
      <c r="G8" s="507"/>
      <c r="H8" s="507">
        <v>30848359.600711424</v>
      </c>
      <c r="I8" s="507">
        <v>5397290.4699999997</v>
      </c>
      <c r="J8" s="507"/>
      <c r="K8" s="507"/>
      <c r="L8" s="507"/>
      <c r="M8" s="507">
        <v>6757080.0219020871</v>
      </c>
      <c r="N8" s="507"/>
      <c r="O8" s="507">
        <v>11261800.036503479</v>
      </c>
      <c r="P8" s="507">
        <v>270892130.12911701</v>
      </c>
      <c r="Q8" s="508"/>
      <c r="R8" s="508"/>
      <c r="S8" s="508"/>
      <c r="T8" s="508"/>
      <c r="U8" s="508"/>
      <c r="V8" s="508"/>
      <c r="W8" s="508"/>
      <c r="X8" s="508"/>
      <c r="Y8" s="508"/>
      <c r="Z8" s="508">
        <v>0</v>
      </c>
      <c r="AA8" s="509">
        <v>293790554.98094952</v>
      </c>
      <c r="AB8" s="509">
        <v>225236000.73006958</v>
      </c>
      <c r="AC8" s="510">
        <v>2021</v>
      </c>
      <c r="AD8" s="509">
        <f t="shared" ref="AD8:AD36" si="0">(5/12)*AB8+(7/12)*AB9</f>
        <v>364945404.8787182</v>
      </c>
      <c r="AE8" s="509">
        <f t="shared" ref="AE8:AE17" si="1">AD8*$AE$5</f>
        <v>21467376.75757166</v>
      </c>
      <c r="AF8" s="509"/>
      <c r="AG8" s="509"/>
      <c r="AH8" s="509">
        <v>519026555.7110191</v>
      </c>
      <c r="AI8" s="509">
        <v>270892130.12911701</v>
      </c>
      <c r="AJ8" s="511">
        <v>248134425.58190209</v>
      </c>
      <c r="AK8" s="507"/>
      <c r="AL8" s="512">
        <v>248134425.58190209</v>
      </c>
      <c r="AM8" s="513"/>
    </row>
    <row r="9" spans="1:44" x14ac:dyDescent="0.25">
      <c r="A9" s="506" t="s">
        <v>554</v>
      </c>
      <c r="B9" s="507">
        <v>62050197</v>
      </c>
      <c r="C9" s="507">
        <v>60705686</v>
      </c>
      <c r="D9" s="507">
        <v>84192312</v>
      </c>
      <c r="E9" s="507"/>
      <c r="F9" s="507"/>
      <c r="G9" s="507"/>
      <c r="H9" s="507">
        <v>24142255.383493654</v>
      </c>
      <c r="I9" s="507">
        <v>19260591.157020841</v>
      </c>
      <c r="J9" s="507"/>
      <c r="K9" s="507"/>
      <c r="L9" s="507"/>
      <c r="M9" s="507">
        <v>13942135.092404015</v>
      </c>
      <c r="N9" s="507">
        <v>10000000</v>
      </c>
      <c r="O9" s="507">
        <v>50000000</v>
      </c>
      <c r="P9" s="507">
        <v>324293176.63291848</v>
      </c>
      <c r="Q9" s="508"/>
      <c r="R9" s="508"/>
      <c r="S9" s="508"/>
      <c r="T9" s="508"/>
      <c r="U9" s="508"/>
      <c r="V9" s="508"/>
      <c r="W9" s="514"/>
      <c r="X9" s="508"/>
      <c r="Y9" s="508"/>
      <c r="Z9" s="508">
        <v>0</v>
      </c>
      <c r="AA9" s="509">
        <v>248134425.58190209</v>
      </c>
      <c r="AB9" s="509">
        <v>464737836.41346717</v>
      </c>
      <c r="AC9" s="510">
        <f t="shared" ref="AC9:AC37" si="2">1+AC8</f>
        <v>2022</v>
      </c>
      <c r="AD9" s="509">
        <f t="shared" si="0"/>
        <v>536327511.30189461</v>
      </c>
      <c r="AE9" s="509">
        <f t="shared" si="1"/>
        <v>31548677.135405563</v>
      </c>
      <c r="AF9" s="509"/>
      <c r="AG9" s="509"/>
      <c r="AH9" s="509">
        <v>712872261.9953692</v>
      </c>
      <c r="AI9" s="509">
        <v>324293176.63291848</v>
      </c>
      <c r="AJ9" s="511">
        <v>388579085.36245072</v>
      </c>
      <c r="AK9" s="507"/>
      <c r="AL9" s="512">
        <v>388579085.36245072</v>
      </c>
      <c r="AM9" s="513"/>
      <c r="AO9" s="515">
        <f t="shared" ref="AO9:AO36" si="3">AB9/AB8-1</f>
        <v>1.0633372769321396</v>
      </c>
      <c r="AP9" s="270"/>
      <c r="AQ9" s="270"/>
      <c r="AR9" s="270"/>
    </row>
    <row r="10" spans="1:44" x14ac:dyDescent="0.25">
      <c r="A10" s="506" t="s">
        <v>553</v>
      </c>
      <c r="B10" s="507">
        <v>66248847</v>
      </c>
      <c r="C10" s="507">
        <v>74577760</v>
      </c>
      <c r="D10" s="507">
        <v>113737795</v>
      </c>
      <c r="E10" s="507"/>
      <c r="F10" s="507"/>
      <c r="G10" s="507"/>
      <c r="H10" s="507">
        <v>22062344.595163539</v>
      </c>
      <c r="I10" s="507">
        <v>22975411.212579787</v>
      </c>
      <c r="J10" s="507"/>
      <c r="K10" s="507"/>
      <c r="L10" s="507"/>
      <c r="M10" s="507">
        <v>17623889.800951708</v>
      </c>
      <c r="N10" s="507"/>
      <c r="O10" s="507">
        <v>50000000</v>
      </c>
      <c r="P10" s="507">
        <v>367226047.60869503</v>
      </c>
      <c r="Q10" s="508"/>
      <c r="R10" s="508"/>
      <c r="S10" s="508"/>
      <c r="T10" s="508"/>
      <c r="U10" s="508"/>
      <c r="V10" s="508"/>
      <c r="W10" s="516">
        <v>0</v>
      </c>
      <c r="X10" s="516">
        <v>0</v>
      </c>
      <c r="Y10" s="516">
        <v>0</v>
      </c>
      <c r="Z10" s="508">
        <v>0</v>
      </c>
      <c r="AA10" s="509">
        <v>388579085.36245072</v>
      </c>
      <c r="AB10" s="509">
        <v>587462993.36505699</v>
      </c>
      <c r="AC10" s="510">
        <f t="shared" si="2"/>
        <v>2023</v>
      </c>
      <c r="AD10" s="509">
        <f t="shared" si="0"/>
        <v>581294553.84461021</v>
      </c>
      <c r="AE10" s="509">
        <f t="shared" si="1"/>
        <v>34193797.284977071</v>
      </c>
      <c r="AF10" s="509"/>
      <c r="AG10" s="509"/>
      <c r="AH10" s="509">
        <v>976042078.72750771</v>
      </c>
      <c r="AI10" s="509">
        <v>367226047.60869503</v>
      </c>
      <c r="AJ10" s="511">
        <v>608816031.11881268</v>
      </c>
      <c r="AK10" s="507"/>
      <c r="AL10" s="512">
        <v>608816031.11881268</v>
      </c>
      <c r="AM10" s="513"/>
      <c r="AO10" s="515">
        <f t="shared" si="3"/>
        <v>0.26407395166853576</v>
      </c>
      <c r="AP10" s="517">
        <v>0</v>
      </c>
      <c r="AQ10" s="270">
        <v>0</v>
      </c>
      <c r="AR10" s="270">
        <f>All_Annual!AC12</f>
        <v>1</v>
      </c>
    </row>
    <row r="11" spans="1:44" x14ac:dyDescent="0.25">
      <c r="A11" s="506" t="s">
        <v>552</v>
      </c>
      <c r="B11" s="507">
        <v>241144178</v>
      </c>
      <c r="C11" s="507">
        <v>90525840</v>
      </c>
      <c r="D11" s="507">
        <v>131916328</v>
      </c>
      <c r="E11" s="507"/>
      <c r="F11" s="507"/>
      <c r="G11" s="507"/>
      <c r="H11" s="507">
        <v>17721007.415898785</v>
      </c>
      <c r="I11" s="507">
        <v>22594914.147020839</v>
      </c>
      <c r="J11" s="507"/>
      <c r="K11" s="507"/>
      <c r="L11" s="507"/>
      <c r="M11" s="507">
        <v>17306655.768471591</v>
      </c>
      <c r="N11" s="507"/>
      <c r="O11" s="507">
        <v>50000000</v>
      </c>
      <c r="P11" s="507">
        <v>571208923.33139122</v>
      </c>
      <c r="Q11" s="508"/>
      <c r="R11" s="508"/>
      <c r="S11" s="508"/>
      <c r="T11" s="508"/>
      <c r="U11" s="508"/>
      <c r="V11" s="508"/>
      <c r="W11" s="518">
        <v>0</v>
      </c>
      <c r="X11" s="518">
        <v>0</v>
      </c>
      <c r="Y11" s="514">
        <v>0</v>
      </c>
      <c r="Z11" s="508">
        <v>0</v>
      </c>
      <c r="AA11" s="509">
        <v>608816031.11881268</v>
      </c>
      <c r="AB11" s="509">
        <v>576888525.61571968</v>
      </c>
      <c r="AC11" s="510">
        <f t="shared" si="2"/>
        <v>2024</v>
      </c>
      <c r="AD11" s="509">
        <f t="shared" si="0"/>
        <v>574986349.2891382</v>
      </c>
      <c r="AE11" s="509">
        <f t="shared" si="1"/>
        <v>33822726.428772837</v>
      </c>
      <c r="AF11" s="509"/>
      <c r="AG11" s="509"/>
      <c r="AH11" s="509">
        <v>1185704556.7345324</v>
      </c>
      <c r="AI11" s="509">
        <v>571208923.33139122</v>
      </c>
      <c r="AJ11" s="511">
        <v>614495633.40314114</v>
      </c>
      <c r="AK11" s="507"/>
      <c r="AL11" s="512">
        <v>614495633.40314114</v>
      </c>
      <c r="AM11" s="513"/>
      <c r="AO11" s="515">
        <f t="shared" si="3"/>
        <v>-1.8000227876083796E-2</v>
      </c>
      <c r="AP11" s="270">
        <v>0</v>
      </c>
      <c r="AQ11" s="270">
        <v>3.7600000000000001E-2</v>
      </c>
      <c r="AR11" s="270">
        <v>1.0376000000000001</v>
      </c>
    </row>
    <row r="12" spans="1:44" x14ac:dyDescent="0.25">
      <c r="A12" s="506" t="s">
        <v>551</v>
      </c>
      <c r="B12" s="507">
        <v>30078012</v>
      </c>
      <c r="C12" s="507">
        <v>63548483</v>
      </c>
      <c r="D12" s="507">
        <v>141211375</v>
      </c>
      <c r="E12" s="507">
        <v>875026</v>
      </c>
      <c r="F12" s="507">
        <v>6315425</v>
      </c>
      <c r="G12" s="507"/>
      <c r="H12" s="507">
        <v>17421541.685608782</v>
      </c>
      <c r="I12" s="507">
        <v>22594914.147020839</v>
      </c>
      <c r="J12" s="507">
        <v>4415040.2973999996</v>
      </c>
      <c r="K12" s="507">
        <v>0</v>
      </c>
      <c r="L12" s="507">
        <v>0</v>
      </c>
      <c r="M12" s="507">
        <v>17208829.557390258</v>
      </c>
      <c r="N12" s="507">
        <v>10000000</v>
      </c>
      <c r="O12" s="507">
        <v>50000000</v>
      </c>
      <c r="P12" s="507">
        <v>363668646.68741989</v>
      </c>
      <c r="Q12" s="516">
        <v>155651140.42152998</v>
      </c>
      <c r="R12" s="516">
        <v>29252501.730252042</v>
      </c>
      <c r="S12" s="516">
        <v>8728917.1706380751</v>
      </c>
      <c r="T12" s="516">
        <v>25543085.109855887</v>
      </c>
      <c r="U12" s="516">
        <v>4128483.7984565073</v>
      </c>
      <c r="V12" s="516">
        <v>28124909.354916111</v>
      </c>
      <c r="W12" s="518">
        <v>0</v>
      </c>
      <c r="X12" s="518">
        <v>0</v>
      </c>
      <c r="Y12" s="514">
        <v>0</v>
      </c>
      <c r="Z12" s="508">
        <v>251429037.58564866</v>
      </c>
      <c r="AA12" s="509">
        <v>614495633.40314114</v>
      </c>
      <c r="AB12" s="509">
        <v>573627651.91300857</v>
      </c>
      <c r="AC12" s="510">
        <f t="shared" si="2"/>
        <v>2025</v>
      </c>
      <c r="AD12" s="509">
        <f t="shared" si="0"/>
        <v>569518337.55870187</v>
      </c>
      <c r="AE12" s="509">
        <f t="shared" si="1"/>
        <v>33501078.679923639</v>
      </c>
      <c r="AF12" s="509"/>
      <c r="AG12" s="509"/>
      <c r="AH12" s="509">
        <v>1188123285.3161497</v>
      </c>
      <c r="AI12" s="509">
        <v>615097684.27306855</v>
      </c>
      <c r="AJ12" s="511">
        <v>573025601.04308116</v>
      </c>
      <c r="AK12" s="507"/>
      <c r="AL12" s="512">
        <v>573025601.04308116</v>
      </c>
      <c r="AM12" s="513"/>
      <c r="AO12" s="515">
        <f t="shared" si="3"/>
        <v>-5.6525196080658979E-3</v>
      </c>
      <c r="AP12" s="270">
        <v>0</v>
      </c>
      <c r="AQ12" s="270">
        <v>2.5000000000000001E-2</v>
      </c>
      <c r="AR12" s="270">
        <v>1.0635399999999999</v>
      </c>
    </row>
    <row r="13" spans="1:44" x14ac:dyDescent="0.25">
      <c r="A13" s="506" t="s">
        <v>550</v>
      </c>
      <c r="B13" s="507"/>
      <c r="C13" s="507">
        <v>45211974</v>
      </c>
      <c r="D13" s="507">
        <v>100997811</v>
      </c>
      <c r="E13" s="507">
        <v>1107425</v>
      </c>
      <c r="F13" s="507">
        <v>7769174</v>
      </c>
      <c r="G13" s="507"/>
      <c r="H13" s="507">
        <v>11401431.694168944</v>
      </c>
      <c r="I13" s="507">
        <v>22594914.147020839</v>
      </c>
      <c r="J13" s="507">
        <v>4281834.0631999997</v>
      </c>
      <c r="K13" s="507">
        <v>20220990.526424397</v>
      </c>
      <c r="L13" s="507">
        <v>0</v>
      </c>
      <c r="M13" s="507">
        <v>16997493.39059734</v>
      </c>
      <c r="N13" s="507"/>
      <c r="O13" s="507">
        <v>50000000</v>
      </c>
      <c r="P13" s="507">
        <v>280583047.82141155</v>
      </c>
      <c r="Q13" s="516">
        <v>149425094.80466878</v>
      </c>
      <c r="R13" s="516">
        <v>43702416.058679685</v>
      </c>
      <c r="S13" s="516">
        <v>22117436.357668564</v>
      </c>
      <c r="T13" s="516">
        <v>33312197.849342488</v>
      </c>
      <c r="U13" s="516">
        <v>9589324.6851672735</v>
      </c>
      <c r="V13" s="516">
        <v>44180369.719835714</v>
      </c>
      <c r="W13" s="518">
        <v>0</v>
      </c>
      <c r="X13" s="518">
        <v>2887592.2652403</v>
      </c>
      <c r="Y13" s="514">
        <v>0</v>
      </c>
      <c r="Z13" s="508">
        <v>305214431.74060285</v>
      </c>
      <c r="AA13" s="509">
        <v>573025601.04308116</v>
      </c>
      <c r="AB13" s="509">
        <v>566583113.01991129</v>
      </c>
      <c r="AC13" s="510">
        <f t="shared" si="2"/>
        <v>2026</v>
      </c>
      <c r="AD13" s="509">
        <f t="shared" si="0"/>
        <v>564469852.0838387</v>
      </c>
      <c r="AE13" s="509">
        <f t="shared" si="1"/>
        <v>33204108.946108159</v>
      </c>
      <c r="AF13" s="509"/>
      <c r="AG13" s="509"/>
      <c r="AH13" s="509">
        <v>1139608714.0629926</v>
      </c>
      <c r="AI13" s="509">
        <v>585797479.56201434</v>
      </c>
      <c r="AJ13" s="511">
        <v>553811234.50097823</v>
      </c>
      <c r="AK13" s="507"/>
      <c r="AL13" s="512">
        <v>553811234.50097823</v>
      </c>
      <c r="AM13" s="513"/>
      <c r="AO13" s="515">
        <f t="shared" si="3"/>
        <v>-1.2280682197945314E-2</v>
      </c>
      <c r="AP13" s="270">
        <v>0</v>
      </c>
      <c r="AQ13" s="270">
        <v>2.5000000000000001E-2</v>
      </c>
      <c r="AR13" s="270">
        <v>1.0901284999999998</v>
      </c>
    </row>
    <row r="14" spans="1:44" x14ac:dyDescent="0.25">
      <c r="A14" s="506" t="s">
        <v>549</v>
      </c>
      <c r="B14" s="507"/>
      <c r="C14" s="507">
        <v>37282626</v>
      </c>
      <c r="D14" s="507">
        <v>72796228</v>
      </c>
      <c r="E14" s="507">
        <v>1106307</v>
      </c>
      <c r="F14" s="507">
        <v>7734461</v>
      </c>
      <c r="G14" s="507"/>
      <c r="H14" s="507">
        <v>8215431.7104763286</v>
      </c>
      <c r="I14" s="507">
        <v>22594914.147020839</v>
      </c>
      <c r="J14" s="507">
        <v>49660989.104999989</v>
      </c>
      <c r="K14" s="507">
        <v>48284178.94088763</v>
      </c>
      <c r="L14" s="507">
        <v>4198610.6362499995</v>
      </c>
      <c r="M14" s="507">
        <v>16888811.399599317</v>
      </c>
      <c r="N14" s="507"/>
      <c r="O14" s="507">
        <v>50000000</v>
      </c>
      <c r="P14" s="507">
        <v>318762557.93923408</v>
      </c>
      <c r="Q14" s="516">
        <v>143448091.01248202</v>
      </c>
      <c r="R14" s="516">
        <v>57574333.813970216</v>
      </c>
      <c r="S14" s="516">
        <v>34901726.397848554</v>
      </c>
      <c r="T14" s="516">
        <v>40726591.898530222</v>
      </c>
      <c r="U14" s="516">
        <v>14528351.8871479</v>
      </c>
      <c r="V14" s="516">
        <v>59593611.67015852</v>
      </c>
      <c r="W14" s="518">
        <v>0</v>
      </c>
      <c r="X14" s="518">
        <v>2856480.1701112976</v>
      </c>
      <c r="Y14" s="514">
        <v>0</v>
      </c>
      <c r="Z14" s="508">
        <v>353629186.85024869</v>
      </c>
      <c r="AA14" s="509">
        <v>553811234.50097823</v>
      </c>
      <c r="AB14" s="509">
        <v>562960379.98664391</v>
      </c>
      <c r="AC14" s="510">
        <f t="shared" si="2"/>
        <v>2027</v>
      </c>
      <c r="AD14" s="509">
        <f t="shared" si="0"/>
        <v>562446915.59135807</v>
      </c>
      <c r="AE14" s="509">
        <f t="shared" si="1"/>
        <v>33085112.681844592</v>
      </c>
      <c r="AF14" s="509"/>
      <c r="AG14" s="509"/>
      <c r="AH14" s="509">
        <v>1116771614.4876223</v>
      </c>
      <c r="AI14" s="509">
        <v>672391744.78948283</v>
      </c>
      <c r="AJ14" s="511">
        <v>444379869.69813943</v>
      </c>
      <c r="AK14" s="507"/>
      <c r="AL14" s="512">
        <v>444379869.69813943</v>
      </c>
      <c r="AM14" s="513"/>
      <c r="AO14" s="515">
        <f t="shared" si="3"/>
        <v>-6.3940010741903031E-3</v>
      </c>
      <c r="AP14" s="270">
        <v>0</v>
      </c>
      <c r="AQ14" s="270">
        <v>2.5000000000000001E-2</v>
      </c>
      <c r="AR14" s="270">
        <v>1.1173817124999996</v>
      </c>
    </row>
    <row r="15" spans="1:44" x14ac:dyDescent="0.25">
      <c r="A15" s="506" t="s">
        <v>548</v>
      </c>
      <c r="B15" s="507"/>
      <c r="C15" s="507">
        <v>33119730</v>
      </c>
      <c r="D15" s="507">
        <v>67489806</v>
      </c>
      <c r="E15" s="507">
        <v>1105326</v>
      </c>
      <c r="F15" s="507">
        <v>7699892</v>
      </c>
      <c r="G15" s="507"/>
      <c r="H15" s="507">
        <v>4480482.7749063233</v>
      </c>
      <c r="I15" s="507">
        <v>22594914.147020839</v>
      </c>
      <c r="J15" s="507">
        <v>50090995.499999993</v>
      </c>
      <c r="K15" s="507">
        <v>48242681.936481982</v>
      </c>
      <c r="L15" s="507">
        <v>8389583.225624999</v>
      </c>
      <c r="M15" s="507">
        <v>16862404.659270328</v>
      </c>
      <c r="N15" s="507">
        <v>10000000</v>
      </c>
      <c r="O15" s="507">
        <v>50000000</v>
      </c>
      <c r="P15" s="507">
        <v>320075816.24330449</v>
      </c>
      <c r="Q15" s="516">
        <v>137710167.37198272</v>
      </c>
      <c r="R15" s="516">
        <v>70891374.859049127</v>
      </c>
      <c r="S15" s="516">
        <v>47106299.898948908</v>
      </c>
      <c r="T15" s="516">
        <v>47800675.775934637</v>
      </c>
      <c r="U15" s="516">
        <v>19269818.001049299</v>
      </c>
      <c r="V15" s="516">
        <v>74390323.942468435</v>
      </c>
      <c r="W15" s="518">
        <v>68215644.374999985</v>
      </c>
      <c r="X15" s="518">
        <v>31218128.120700322</v>
      </c>
      <c r="Y15" s="514">
        <v>0</v>
      </c>
      <c r="Z15" s="508">
        <v>496602432.34513336</v>
      </c>
      <c r="AA15" s="509">
        <v>444379869.69813943</v>
      </c>
      <c r="AB15" s="509">
        <v>562080155.30901098</v>
      </c>
      <c r="AC15" s="510">
        <f t="shared" si="2"/>
        <v>2028</v>
      </c>
      <c r="AD15" s="509">
        <f t="shared" si="0"/>
        <v>562936144.63795209</v>
      </c>
      <c r="AE15" s="509">
        <f t="shared" si="1"/>
        <v>33113890.861056004</v>
      </c>
      <c r="AF15" s="509"/>
      <c r="AG15" s="509"/>
      <c r="AH15" s="509">
        <v>1006460025.0071504</v>
      </c>
      <c r="AI15" s="509">
        <v>816678248.5884378</v>
      </c>
      <c r="AJ15" s="511">
        <v>189781776.41871262</v>
      </c>
      <c r="AK15" s="507"/>
      <c r="AL15" s="512">
        <v>189781776.41871262</v>
      </c>
      <c r="AM15" s="513"/>
      <c r="AO15" s="515">
        <f t="shared" si="3"/>
        <v>-1.5635641670801448E-3</v>
      </c>
      <c r="AP15" s="270">
        <v>0</v>
      </c>
      <c r="AQ15" s="270">
        <v>2.5000000000000001E-2</v>
      </c>
      <c r="AR15" s="270">
        <v>1.1453162553124996</v>
      </c>
    </row>
    <row r="16" spans="1:44" x14ac:dyDescent="0.25">
      <c r="A16" s="506" t="s">
        <v>547</v>
      </c>
      <c r="B16" s="507"/>
      <c r="C16" s="507">
        <v>31840857</v>
      </c>
      <c r="D16" s="507">
        <v>67395539</v>
      </c>
      <c r="E16" s="507">
        <v>1104274</v>
      </c>
      <c r="F16" s="507">
        <v>7665397</v>
      </c>
      <c r="G16" s="507"/>
      <c r="H16" s="507">
        <v>4478132.259204451</v>
      </c>
      <c r="I16" s="507">
        <v>22594914.147020839</v>
      </c>
      <c r="J16" s="507">
        <v>38760267.546000019</v>
      </c>
      <c r="K16" s="507">
        <v>42759786.489911333</v>
      </c>
      <c r="L16" s="507">
        <v>7997488.5783914626</v>
      </c>
      <c r="M16" s="507">
        <v>16906426.967615873</v>
      </c>
      <c r="N16" s="507"/>
      <c r="O16" s="507">
        <v>50000000</v>
      </c>
      <c r="P16" s="507">
        <v>291503082.98814398</v>
      </c>
      <c r="Q16" s="516">
        <v>132201760.67710342</v>
      </c>
      <c r="R16" s="516">
        <v>83675734.262324885</v>
      </c>
      <c r="S16" s="516">
        <v>58754687.247220181</v>
      </c>
      <c r="T16" s="516">
        <v>54548280.560476139</v>
      </c>
      <c r="U16" s="516">
        <v>23821625.470394641</v>
      </c>
      <c r="V16" s="516">
        <v>88595167.723885924</v>
      </c>
      <c r="W16" s="518">
        <v>91741749.999999985</v>
      </c>
      <c r="X16" s="518">
        <v>59690332.509545475</v>
      </c>
      <c r="Y16" s="514">
        <v>4205304.875</v>
      </c>
      <c r="Z16" s="508">
        <v>597234643.32595062</v>
      </c>
      <c r="AA16" s="509">
        <v>189781776.41871262</v>
      </c>
      <c r="AB16" s="509">
        <v>563547565.58719575</v>
      </c>
      <c r="AC16" s="510">
        <f t="shared" si="2"/>
        <v>2029</v>
      </c>
      <c r="AD16" s="509">
        <f t="shared" si="0"/>
        <v>563819207.55437005</v>
      </c>
      <c r="AE16" s="509">
        <f t="shared" si="1"/>
        <v>33165835.738492355</v>
      </c>
      <c r="AF16" s="509"/>
      <c r="AG16" s="509"/>
      <c r="AH16" s="509">
        <v>753329342.00590837</v>
      </c>
      <c r="AI16" s="509">
        <v>888737726.31409454</v>
      </c>
      <c r="AJ16" s="511">
        <v>-135408384.30818617</v>
      </c>
      <c r="AK16" s="507"/>
      <c r="AL16" s="512">
        <v>-135408384.30818617</v>
      </c>
      <c r="AM16" s="513"/>
      <c r="AO16" s="515">
        <f t="shared" si="3"/>
        <v>2.6106779688352955E-3</v>
      </c>
      <c r="AP16" s="270">
        <v>0</v>
      </c>
      <c r="AQ16" s="270">
        <v>2.5000000000000001E-2</v>
      </c>
      <c r="AR16" s="270">
        <v>1.1739491616953119</v>
      </c>
    </row>
    <row r="17" spans="1:44" x14ac:dyDescent="0.25">
      <c r="A17" s="506" t="s">
        <v>546</v>
      </c>
      <c r="B17" s="507"/>
      <c r="C17" s="507">
        <v>23703635</v>
      </c>
      <c r="D17" s="507">
        <v>67300913</v>
      </c>
      <c r="E17" s="507">
        <v>1103294</v>
      </c>
      <c r="F17" s="507">
        <v>7631408</v>
      </c>
      <c r="G17" s="507"/>
      <c r="H17" s="507">
        <v>4338008.6485485407</v>
      </c>
      <c r="I17" s="507">
        <v>22594914.147020839</v>
      </c>
      <c r="J17" s="507">
        <v>25454503.183200002</v>
      </c>
      <c r="K17" s="507">
        <v>36421415.208796337</v>
      </c>
      <c r="L17" s="507">
        <v>7548376.9321976025</v>
      </c>
      <c r="M17" s="507">
        <v>16920397.12592769</v>
      </c>
      <c r="N17" s="507"/>
      <c r="O17" s="507">
        <v>50000000</v>
      </c>
      <c r="P17" s="507">
        <v>263016865.24569103</v>
      </c>
      <c r="Q17" s="516">
        <v>126913690.25001927</v>
      </c>
      <c r="R17" s="516">
        <v>95948719.2894696</v>
      </c>
      <c r="S17" s="516">
        <v>69869475.904839456</v>
      </c>
      <c r="T17" s="516">
        <v>60982682.994558103</v>
      </c>
      <c r="U17" s="516">
        <v>28191360.640966173</v>
      </c>
      <c r="V17" s="516">
        <v>102231817.75404674</v>
      </c>
      <c r="W17" s="518">
        <v>88736876.25000003</v>
      </c>
      <c r="X17" s="518">
        <v>78488536.682632089</v>
      </c>
      <c r="Y17" s="514">
        <v>8037676.9632075001</v>
      </c>
      <c r="Z17" s="508">
        <v>659400836.72973895</v>
      </c>
      <c r="AA17" s="509">
        <v>-135408384.30818617</v>
      </c>
      <c r="AB17" s="509">
        <v>564013237.53092301</v>
      </c>
      <c r="AC17" s="510">
        <f t="shared" si="2"/>
        <v>2030</v>
      </c>
      <c r="AD17" s="509">
        <f t="shared" si="0"/>
        <v>566015817.04425991</v>
      </c>
      <c r="AE17" s="509">
        <f t="shared" si="1"/>
        <v>33295048.061427053</v>
      </c>
      <c r="AF17" s="509">
        <f t="shared" ref="AF17:AF36" si="4">AE17/AR17</f>
        <v>26994956.0856883</v>
      </c>
      <c r="AG17" s="509">
        <f t="shared" ref="AG17:AG36" si="5">AF17*AP17</f>
        <v>26465643.22126304</v>
      </c>
      <c r="AH17" s="509">
        <v>428604853.22273684</v>
      </c>
      <c r="AI17" s="509">
        <v>922417701.97543001</v>
      </c>
      <c r="AJ17" s="511">
        <v>-493812848.75269318</v>
      </c>
      <c r="AK17" s="507"/>
      <c r="AL17" s="512">
        <v>-493812848.75269318</v>
      </c>
      <c r="AM17" s="513"/>
      <c r="AO17" s="515">
        <f t="shared" si="3"/>
        <v>8.2632234111779113E-4</v>
      </c>
      <c r="AP17" s="270">
        <v>0.98039215686274506</v>
      </c>
      <c r="AQ17" s="270">
        <v>2.5000000000000001E-2</v>
      </c>
      <c r="AR17" s="270">
        <v>1.2333803380061368</v>
      </c>
    </row>
    <row r="18" spans="1:44" x14ac:dyDescent="0.25">
      <c r="A18" s="506" t="s">
        <v>545</v>
      </c>
      <c r="B18" s="507"/>
      <c r="C18" s="507">
        <v>2063335</v>
      </c>
      <c r="D18" s="507">
        <v>67207305</v>
      </c>
      <c r="E18" s="507">
        <v>1102176</v>
      </c>
      <c r="F18" s="507">
        <v>6768481</v>
      </c>
      <c r="G18" s="507"/>
      <c r="H18" s="507">
        <v>4303453.6786395097</v>
      </c>
      <c r="I18" s="507">
        <v>22594914.147020839</v>
      </c>
      <c r="J18" s="507">
        <v>23480792.298599992</v>
      </c>
      <c r="K18" s="507">
        <v>35335361.985459417</v>
      </c>
      <c r="L18" s="507">
        <v>7450251.0360031985</v>
      </c>
      <c r="M18" s="507">
        <v>17023386.929470729</v>
      </c>
      <c r="N18" s="507">
        <v>10000000</v>
      </c>
      <c r="O18" s="507">
        <v>50000000</v>
      </c>
      <c r="P18" s="507">
        <v>247329457.07519367</v>
      </c>
      <c r="Q18" s="516">
        <v>121837142.64001849</v>
      </c>
      <c r="R18" s="516">
        <v>94454846.939066276</v>
      </c>
      <c r="S18" s="516">
        <v>80472348.135416418</v>
      </c>
      <c r="T18" s="516">
        <v>67116627.66299428</v>
      </c>
      <c r="U18" s="516">
        <v>28257822.606258333</v>
      </c>
      <c r="V18" s="516">
        <v>104949829.93229586</v>
      </c>
      <c r="W18" s="518">
        <v>69929953.799999997</v>
      </c>
      <c r="X18" s="518">
        <v>88839561.976979911</v>
      </c>
      <c r="Y18" s="514">
        <v>11408078.212770455</v>
      </c>
      <c r="Z18" s="508">
        <v>667266211.90579987</v>
      </c>
      <c r="AA18" s="509">
        <v>-493812848.75269318</v>
      </c>
      <c r="AB18" s="509">
        <v>567446230.98235762</v>
      </c>
      <c r="AC18" s="510">
        <f t="shared" si="2"/>
        <v>2031</v>
      </c>
      <c r="AD18" s="509">
        <f t="shared" si="0"/>
        <v>569333592.89972889</v>
      </c>
      <c r="AE18" s="509">
        <f>AD17*$AE$5</f>
        <v>33295048.061427053</v>
      </c>
      <c r="AF18" s="509">
        <f t="shared" si="4"/>
        <v>26336542.522622731</v>
      </c>
      <c r="AG18" s="509">
        <f t="shared" si="5"/>
        <v>25313862.478491664</v>
      </c>
      <c r="AH18" s="509">
        <v>73633382.229664445</v>
      </c>
      <c r="AI18" s="509">
        <v>914595668.98099351</v>
      </c>
      <c r="AJ18" s="511">
        <v>-840962286.75132906</v>
      </c>
      <c r="AK18" s="507"/>
      <c r="AL18" s="512">
        <v>-840962286.75132906</v>
      </c>
      <c r="AM18" s="513"/>
      <c r="AO18" s="515">
        <f t="shared" si="3"/>
        <v>6.0867249613913987E-3</v>
      </c>
      <c r="AP18" s="270">
        <v>0.96116878123798533</v>
      </c>
      <c r="AQ18" s="270">
        <v>2.5000000000000001E-2</v>
      </c>
      <c r="AR18" s="270">
        <v>1.2642148464562901</v>
      </c>
    </row>
    <row r="19" spans="1:44" x14ac:dyDescent="0.25">
      <c r="A19" s="506" t="s">
        <v>544</v>
      </c>
      <c r="B19" s="507"/>
      <c r="C19" s="507"/>
      <c r="D19" s="507">
        <v>67114176</v>
      </c>
      <c r="E19" s="507">
        <v>1101261</v>
      </c>
      <c r="F19" s="507"/>
      <c r="G19" s="507"/>
      <c r="H19" s="507">
        <v>4261079.6921323007</v>
      </c>
      <c r="I19" s="507">
        <v>22594914.147020839</v>
      </c>
      <c r="J19" s="507">
        <v>19324468.035600007</v>
      </c>
      <c r="K19" s="507">
        <v>33264634.802154139</v>
      </c>
      <c r="L19" s="507">
        <v>7286476.3591199862</v>
      </c>
      <c r="M19" s="507">
        <v>17120451.256649822</v>
      </c>
      <c r="N19" s="507"/>
      <c r="O19" s="507">
        <v>50000000</v>
      </c>
      <c r="P19" s="507">
        <v>222067461.2926771</v>
      </c>
      <c r="Q19" s="516">
        <v>116963656.93441775</v>
      </c>
      <c r="R19" s="516">
        <v>90676653.061503619</v>
      </c>
      <c r="S19" s="516">
        <v>90584117.220436439</v>
      </c>
      <c r="T19" s="516">
        <v>72962348.284751892</v>
      </c>
      <c r="U19" s="516">
        <v>32284970.539457057</v>
      </c>
      <c r="V19" s="516">
        <v>100751836.73500402</v>
      </c>
      <c r="W19" s="518">
        <v>75258949.674999982</v>
      </c>
      <c r="X19" s="518">
        <v>100363639.3277775</v>
      </c>
      <c r="Y19" s="514">
        <v>15050821.205771051</v>
      </c>
      <c r="Z19" s="508">
        <v>694896992.98411942</v>
      </c>
      <c r="AA19" s="509">
        <v>-840962286.75132906</v>
      </c>
      <c r="AB19" s="509">
        <v>570681708.55499411</v>
      </c>
      <c r="AC19" s="510">
        <f t="shared" si="2"/>
        <v>2032</v>
      </c>
      <c r="AD19" s="509">
        <f t="shared" si="0"/>
        <v>572897429.18233621</v>
      </c>
      <c r="AE19" s="509">
        <f t="shared" ref="AE19:AE36" si="6">AD19*$AE$5</f>
        <v>33699848.775431544</v>
      </c>
      <c r="AF19" s="509">
        <f t="shared" si="4"/>
        <v>26006577.391875461</v>
      </c>
      <c r="AG19" s="509">
        <f t="shared" si="5"/>
        <v>24506578.721490469</v>
      </c>
      <c r="AH19" s="509">
        <v>-270280578.19633496</v>
      </c>
      <c r="AI19" s="509">
        <v>916964454.27679658</v>
      </c>
      <c r="AJ19" s="511">
        <v>-1187245032.4731317</v>
      </c>
      <c r="AK19" s="507"/>
      <c r="AL19" s="512">
        <v>-1187245032.4731317</v>
      </c>
      <c r="AM19" s="513"/>
      <c r="AO19" s="515">
        <f t="shared" si="3"/>
        <v>5.7018222978328925E-3</v>
      </c>
      <c r="AP19" s="270">
        <v>0.94232233454704439</v>
      </c>
      <c r="AQ19" s="270">
        <v>2.5000000000000001E-2</v>
      </c>
      <c r="AR19" s="270">
        <v>1.2958202176176972</v>
      </c>
    </row>
    <row r="20" spans="1:44" x14ac:dyDescent="0.25">
      <c r="A20" s="506" t="s">
        <v>543</v>
      </c>
      <c r="B20" s="507"/>
      <c r="C20" s="507"/>
      <c r="D20" s="507">
        <v>67021346</v>
      </c>
      <c r="E20" s="507">
        <v>1100216</v>
      </c>
      <c r="F20" s="507"/>
      <c r="G20" s="507"/>
      <c r="H20" s="507"/>
      <c r="I20" s="507">
        <v>22594914.147020839</v>
      </c>
      <c r="J20" s="507">
        <v>12388615.402800001</v>
      </c>
      <c r="K20" s="507">
        <v>29953424.663027085</v>
      </c>
      <c r="L20" s="507">
        <v>7039964.1054851543</v>
      </c>
      <c r="M20" s="507">
        <v>17234402.603198845</v>
      </c>
      <c r="N20" s="507"/>
      <c r="O20" s="507">
        <v>50000000</v>
      </c>
      <c r="P20" s="507">
        <v>207332882.92153192</v>
      </c>
      <c r="Q20" s="516">
        <v>112285110.65704104</v>
      </c>
      <c r="R20" s="516">
        <v>87049586.939043477</v>
      </c>
      <c r="S20" s="516">
        <v>100224762.22700348</v>
      </c>
      <c r="T20" s="516">
        <v>78531588.152997836</v>
      </c>
      <c r="U20" s="516">
        <v>30993571.717878774</v>
      </c>
      <c r="V20" s="516">
        <v>96721763.265603855</v>
      </c>
      <c r="W20" s="518">
        <v>70785597.200000033</v>
      </c>
      <c r="X20" s="518">
        <v>107943113.25552809</v>
      </c>
      <c r="Y20" s="514">
        <v>18446306.259159245</v>
      </c>
      <c r="Z20" s="508">
        <v>702981399.67425585</v>
      </c>
      <c r="AA20" s="509">
        <v>-1187245032.4731317</v>
      </c>
      <c r="AB20" s="509">
        <v>574480086.77329481</v>
      </c>
      <c r="AC20" s="510">
        <f t="shared" si="2"/>
        <v>2033</v>
      </c>
      <c r="AD20" s="509">
        <f t="shared" si="0"/>
        <v>575549403.72364807</v>
      </c>
      <c r="AE20" s="509">
        <f t="shared" si="6"/>
        <v>33855847.277861647</v>
      </c>
      <c r="AF20" s="509">
        <f t="shared" si="4"/>
        <v>25489720.299282804</v>
      </c>
      <c r="AG20" s="509">
        <f t="shared" si="5"/>
        <v>23548561.509187605</v>
      </c>
      <c r="AH20" s="509">
        <v>-612764945.69983685</v>
      </c>
      <c r="AI20" s="509">
        <v>910314282.59578776</v>
      </c>
      <c r="AJ20" s="511">
        <v>-1523079228.2956247</v>
      </c>
      <c r="AK20" s="507"/>
      <c r="AL20" s="512">
        <v>-1523079228.2956247</v>
      </c>
      <c r="AM20" s="513"/>
      <c r="AO20" s="515">
        <f t="shared" si="3"/>
        <v>6.6558611593114936E-3</v>
      </c>
      <c r="AP20" s="270">
        <v>0.92384542602651409</v>
      </c>
      <c r="AQ20" s="270">
        <v>2.5000000000000001E-2</v>
      </c>
      <c r="AR20" s="270">
        <v>1.3282157230581395</v>
      </c>
    </row>
    <row r="21" spans="1:44" x14ac:dyDescent="0.25">
      <c r="A21" s="506" t="s">
        <v>542</v>
      </c>
      <c r="B21" s="507"/>
      <c r="C21" s="507"/>
      <c r="D21" s="507">
        <v>66928876</v>
      </c>
      <c r="E21" s="507">
        <v>1099163</v>
      </c>
      <c r="F21" s="507"/>
      <c r="G21" s="507"/>
      <c r="H21" s="507"/>
      <c r="I21" s="507">
        <v>20941094.263402294</v>
      </c>
      <c r="J21" s="507">
        <v>6179750.4131999938</v>
      </c>
      <c r="K21" s="507">
        <v>27002480.999539863</v>
      </c>
      <c r="L21" s="507">
        <v>6817644.4249799764</v>
      </c>
      <c r="M21" s="507">
        <v>17289396.046359867</v>
      </c>
      <c r="N21" s="507"/>
      <c r="O21" s="507">
        <v>50000000</v>
      </c>
      <c r="P21" s="507">
        <v>196258405.14748198</v>
      </c>
      <c r="Q21" s="516">
        <v>53896853.115379699</v>
      </c>
      <c r="R21" s="516">
        <v>78035446.693503425</v>
      </c>
      <c r="S21" s="516">
        <v>109413461.38483094</v>
      </c>
      <c r="T21" s="516">
        <v>80987274.984874293</v>
      </c>
      <c r="U21" s="516">
        <v>29753828.849163622</v>
      </c>
      <c r="V21" s="516">
        <v>86706051.88167049</v>
      </c>
      <c r="W21" s="518">
        <v>44245055.010000005</v>
      </c>
      <c r="X21" s="518">
        <v>106433488.58740476</v>
      </c>
      <c r="Y21" s="514">
        <v>19950689.341634467</v>
      </c>
      <c r="Z21" s="508">
        <v>609422149.84846175</v>
      </c>
      <c r="AA21" s="509">
        <v>-1523079228.2956247</v>
      </c>
      <c r="AB21" s="509">
        <v>576313201.54532886</v>
      </c>
      <c r="AC21" s="510">
        <f t="shared" si="2"/>
        <v>2034</v>
      </c>
      <c r="AD21" s="509">
        <f t="shared" si="0"/>
        <v>578049546.73583686</v>
      </c>
      <c r="AE21" s="509">
        <f t="shared" si="6"/>
        <v>34002914.513872758</v>
      </c>
      <c r="AF21" s="509">
        <f t="shared" si="4"/>
        <v>24976044.598467328</v>
      </c>
      <c r="AG21" s="509">
        <f t="shared" si="5"/>
        <v>22621573.100517906</v>
      </c>
      <c r="AH21" s="509">
        <v>-946766026.75029588</v>
      </c>
      <c r="AI21" s="509">
        <v>805680554.99594378</v>
      </c>
      <c r="AJ21" s="511">
        <v>-1752446581.7462397</v>
      </c>
      <c r="AK21" s="507"/>
      <c r="AL21" s="512">
        <v>-1752446581.7462397</v>
      </c>
      <c r="AM21" s="513"/>
      <c r="AO21" s="515">
        <f t="shared" si="3"/>
        <v>3.1909109022911775E-3</v>
      </c>
      <c r="AP21" s="270">
        <v>0.90573080982991572</v>
      </c>
      <c r="AQ21" s="270">
        <v>2.5000000000000001E-2</v>
      </c>
      <c r="AR21" s="270">
        <v>1.3614211161345928</v>
      </c>
    </row>
    <row r="22" spans="1:44" x14ac:dyDescent="0.25">
      <c r="A22" s="506" t="s">
        <v>541</v>
      </c>
      <c r="B22" s="507"/>
      <c r="C22" s="507"/>
      <c r="D22" s="507">
        <v>66837125</v>
      </c>
      <c r="E22" s="507">
        <v>1098183</v>
      </c>
      <c r="F22" s="507"/>
      <c r="G22" s="507"/>
      <c r="H22" s="507"/>
      <c r="I22" s="507">
        <v>20941094.263402294</v>
      </c>
      <c r="J22" s="507">
        <v>-2206259.7647999893</v>
      </c>
      <c r="K22" s="507">
        <v>23102973.547455892</v>
      </c>
      <c r="L22" s="507">
        <v>6532086.2308645044</v>
      </c>
      <c r="M22" s="507">
        <v>17378693.799014561</v>
      </c>
      <c r="N22" s="507"/>
      <c r="O22" s="507">
        <v>50000000</v>
      </c>
      <c r="P22" s="507">
        <v>183683896.07593727</v>
      </c>
      <c r="Q22" s="516">
        <v>51740978.990764506</v>
      </c>
      <c r="R22" s="516">
        <v>69689214.100450456</v>
      </c>
      <c r="S22" s="516">
        <v>113517509.10300875</v>
      </c>
      <c r="T22" s="516">
        <v>83316749.591685742</v>
      </c>
      <c r="U22" s="516">
        <v>26672766.715279326</v>
      </c>
      <c r="V22" s="516">
        <v>77432460.11161162</v>
      </c>
      <c r="W22" s="518">
        <v>23202359.609999973</v>
      </c>
      <c r="X22" s="518">
        <v>104327686.80648641</v>
      </c>
      <c r="Y22" s="514">
        <v>21392244.454803918</v>
      </c>
      <c r="Z22" s="508">
        <v>571291969.48409069</v>
      </c>
      <c r="AA22" s="509">
        <v>-1752446581.7462397</v>
      </c>
      <c r="AB22" s="509">
        <v>579289793.30048537</v>
      </c>
      <c r="AC22" s="510">
        <f t="shared" si="2"/>
        <v>2035</v>
      </c>
      <c r="AD22" s="509">
        <f t="shared" si="0"/>
        <v>580563735.74541104</v>
      </c>
      <c r="AE22" s="509">
        <f t="shared" si="6"/>
        <v>34150807.985024177</v>
      </c>
      <c r="AF22" s="509">
        <f t="shared" si="4"/>
        <v>24472854.911639411</v>
      </c>
      <c r="AG22" s="509">
        <f t="shared" si="5"/>
        <v>21731194.801930584</v>
      </c>
      <c r="AH22" s="509">
        <v>-1173156788.4457543</v>
      </c>
      <c r="AI22" s="509">
        <v>754975865.56002796</v>
      </c>
      <c r="AJ22" s="511">
        <v>-1928132654.0057821</v>
      </c>
      <c r="AK22" s="507"/>
      <c r="AL22" s="512">
        <v>-1928132654.0057821</v>
      </c>
      <c r="AM22" s="513"/>
      <c r="AO22" s="515">
        <f t="shared" si="3"/>
        <v>5.1648855989678832E-3</v>
      </c>
      <c r="AP22" s="270">
        <v>0.88797138218619187</v>
      </c>
      <c r="AQ22" s="270">
        <v>2.5000000000000001E-2</v>
      </c>
      <c r="AR22" s="270">
        <v>1.3954566440379574</v>
      </c>
    </row>
    <row r="23" spans="1:44" x14ac:dyDescent="0.25">
      <c r="A23" s="506" t="s">
        <v>540</v>
      </c>
      <c r="B23" s="507"/>
      <c r="C23" s="507"/>
      <c r="D23" s="507">
        <v>66745792</v>
      </c>
      <c r="E23" s="507">
        <v>1097137</v>
      </c>
      <c r="F23" s="507"/>
      <c r="G23" s="507"/>
      <c r="H23" s="507"/>
      <c r="I23" s="507">
        <v>17493544.263402294</v>
      </c>
      <c r="J23" s="507">
        <v>-10515191.941800009</v>
      </c>
      <c r="K23" s="507">
        <v>19276213.558837976</v>
      </c>
      <c r="L23" s="507">
        <v>6251512.9468774088</v>
      </c>
      <c r="M23" s="507">
        <v>17444210.839039307</v>
      </c>
      <c r="N23" s="507"/>
      <c r="O23" s="507">
        <v>50000000</v>
      </c>
      <c r="P23" s="507">
        <v>167793218.66635698</v>
      </c>
      <c r="Q23" s="516">
        <v>49671339.831133924</v>
      </c>
      <c r="R23" s="516">
        <v>61676830.811119616</v>
      </c>
      <c r="S23" s="516">
        <v>117414991.98159161</v>
      </c>
      <c r="T23" s="516">
        <v>85525200.386193693</v>
      </c>
      <c r="U23" s="516">
        <v>23819997.56563472</v>
      </c>
      <c r="V23" s="516">
        <v>68529812.012355119</v>
      </c>
      <c r="W23" s="518">
        <v>-9293768.2399999574</v>
      </c>
      <c r="X23" s="518">
        <v>96565845.158845648</v>
      </c>
      <c r="Y23" s="514">
        <v>22491022.820229799</v>
      </c>
      <c r="Z23" s="508">
        <v>516401272.32710421</v>
      </c>
      <c r="AA23" s="509">
        <v>-1928132654.0057821</v>
      </c>
      <c r="AB23" s="509">
        <v>581473694.63464355</v>
      </c>
      <c r="AC23" s="510">
        <f t="shared" si="2"/>
        <v>2036</v>
      </c>
      <c r="AD23" s="509">
        <f t="shared" si="0"/>
        <v>582989560.63325882</v>
      </c>
      <c r="AE23" s="509">
        <f t="shared" si="6"/>
        <v>34293503.566662282</v>
      </c>
      <c r="AF23" s="509">
        <f t="shared" si="4"/>
        <v>23975719.197974719</v>
      </c>
      <c r="AG23" s="509">
        <f t="shared" si="5"/>
        <v>20872306.387385909</v>
      </c>
      <c r="AH23" s="509">
        <v>-1346658959.3711386</v>
      </c>
      <c r="AI23" s="509">
        <v>684194490.99346113</v>
      </c>
      <c r="AJ23" s="511">
        <v>-2030853450.3645997</v>
      </c>
      <c r="AK23" s="507"/>
      <c r="AL23" s="512">
        <v>-2030853450.3645997</v>
      </c>
      <c r="AM23" s="513"/>
      <c r="AO23" s="515">
        <f t="shared" si="3"/>
        <v>3.7699634266219473E-3</v>
      </c>
      <c r="AP23" s="270">
        <v>0.87056017861391355</v>
      </c>
      <c r="AQ23" s="270">
        <v>2.5000000000000001E-2</v>
      </c>
      <c r="AR23" s="270">
        <v>1.4303430601389062</v>
      </c>
    </row>
    <row r="24" spans="1:44" x14ac:dyDescent="0.25">
      <c r="A24" s="506" t="s">
        <v>539</v>
      </c>
      <c r="B24" s="507"/>
      <c r="C24" s="507"/>
      <c r="D24" s="507">
        <v>66654580</v>
      </c>
      <c r="E24" s="507">
        <v>1096157</v>
      </c>
      <c r="F24" s="507"/>
      <c r="G24" s="507"/>
      <c r="H24" s="507"/>
      <c r="I24" s="507">
        <v>5880413.46</v>
      </c>
      <c r="J24" s="507">
        <v>-18627502.311599988</v>
      </c>
      <c r="K24" s="507">
        <v>15574527.046318091</v>
      </c>
      <c r="L24" s="507">
        <v>5979419.3475985322</v>
      </c>
      <c r="M24" s="507">
        <v>17522169.661825232</v>
      </c>
      <c r="N24" s="507"/>
      <c r="O24" s="507">
        <v>50000000</v>
      </c>
      <c r="P24" s="507">
        <v>144079764.20414186</v>
      </c>
      <c r="Q24" s="516">
        <v>47684486.237888567</v>
      </c>
      <c r="R24" s="516">
        <v>53984942.853361979</v>
      </c>
      <c r="S24" s="516">
        <v>121114384.62881763</v>
      </c>
      <c r="T24" s="516">
        <v>87617607.5450304</v>
      </c>
      <c r="U24" s="516">
        <v>21081339.181975897</v>
      </c>
      <c r="V24" s="516">
        <v>59983269.837068878</v>
      </c>
      <c r="W24" s="518">
        <v>-43331834.925000019</v>
      </c>
      <c r="X24" s="518">
        <v>86768260.012678623</v>
      </c>
      <c r="Y24" s="514">
        <v>23443670.939338304</v>
      </c>
      <c r="Z24" s="508">
        <v>458346126.31116027</v>
      </c>
      <c r="AA24" s="509">
        <v>-2030853450.3645997</v>
      </c>
      <c r="AB24" s="509">
        <v>584072322.06084108</v>
      </c>
      <c r="AC24" s="510">
        <f t="shared" si="2"/>
        <v>2037</v>
      </c>
      <c r="AD24" s="509">
        <f t="shared" si="0"/>
        <v>584802054.56599283</v>
      </c>
      <c r="AE24" s="509">
        <f t="shared" si="6"/>
        <v>34400120.856823109</v>
      </c>
      <c r="AF24" s="509">
        <f t="shared" si="4"/>
        <v>23463667.181768667</v>
      </c>
      <c r="AG24" s="509">
        <f t="shared" si="5"/>
        <v>20026014.01244897</v>
      </c>
      <c r="AH24" s="509">
        <v>-1446781128.3037586</v>
      </c>
      <c r="AI24" s="509">
        <v>602425890.51530218</v>
      </c>
      <c r="AJ24" s="511">
        <v>-2049207018.8190608</v>
      </c>
      <c r="AK24" s="507"/>
      <c r="AL24" s="512">
        <v>-2049207018.8190608</v>
      </c>
      <c r="AM24" s="513"/>
      <c r="AO24" s="515">
        <f t="shared" si="3"/>
        <v>4.4690369490065773E-3</v>
      </c>
      <c r="AP24" s="270">
        <v>0.85349037119011129</v>
      </c>
      <c r="AQ24" s="270">
        <v>2.5000000000000001E-2</v>
      </c>
      <c r="AR24" s="270">
        <v>1.4661016366423787</v>
      </c>
    </row>
    <row r="25" spans="1:44" x14ac:dyDescent="0.25">
      <c r="A25" s="506" t="s">
        <v>538</v>
      </c>
      <c r="B25" s="507"/>
      <c r="C25" s="507"/>
      <c r="D25" s="507">
        <v>66564505</v>
      </c>
      <c r="E25" s="507">
        <v>1095177</v>
      </c>
      <c r="F25" s="507"/>
      <c r="G25" s="507"/>
      <c r="H25" s="507"/>
      <c r="I25" s="507">
        <v>0</v>
      </c>
      <c r="J25" s="507">
        <v>-26738644.295999974</v>
      </c>
      <c r="K25" s="507">
        <v>11909892.155807881</v>
      </c>
      <c r="L25" s="507">
        <v>5709924.9097590083</v>
      </c>
      <c r="M25" s="507">
        <v>17559698.762090176</v>
      </c>
      <c r="N25" s="507"/>
      <c r="O25" s="507">
        <v>50000000</v>
      </c>
      <c r="P25" s="507">
        <v>126100553.5316571</v>
      </c>
      <c r="Q25" s="516">
        <v>45777106.788373023</v>
      </c>
      <c r="R25" s="516">
        <v>46600730.413914673</v>
      </c>
      <c r="S25" s="516">
        <v>124623821.60852216</v>
      </c>
      <c r="T25" s="516">
        <v>89598751.341642231</v>
      </c>
      <c r="U25" s="516">
        <v>18452227.133663423</v>
      </c>
      <c r="V25" s="516">
        <v>51778589.348794088</v>
      </c>
      <c r="W25" s="518">
        <v>-80173315.809999928</v>
      </c>
      <c r="X25" s="518">
        <v>75231694.189178407</v>
      </c>
      <c r="Y25" s="514">
        <v>24267716.770484574</v>
      </c>
      <c r="Z25" s="508">
        <v>396157321.78457266</v>
      </c>
      <c r="AA25" s="509">
        <v>-2049207018.8190608</v>
      </c>
      <c r="AB25" s="509">
        <v>585323292.06967258</v>
      </c>
      <c r="AC25" s="510">
        <f t="shared" si="2"/>
        <v>2038</v>
      </c>
      <c r="AD25" s="509">
        <f t="shared" si="0"/>
        <v>586938207.71298695</v>
      </c>
      <c r="AE25" s="509">
        <f t="shared" si="6"/>
        <v>34525776.924293347</v>
      </c>
      <c r="AF25" s="509">
        <f t="shared" si="4"/>
        <v>22974999.796964951</v>
      </c>
      <c r="AG25" s="509">
        <f t="shared" si="5"/>
        <v>19224452.063533675</v>
      </c>
      <c r="AH25" s="509">
        <v>-1463883726.7493882</v>
      </c>
      <c r="AI25" s="509">
        <v>522257875.31622976</v>
      </c>
      <c r="AJ25" s="511">
        <v>-1986141602.065618</v>
      </c>
      <c r="AK25" s="507"/>
      <c r="AL25" s="512">
        <v>-1986141602.065618</v>
      </c>
      <c r="AM25" s="513"/>
      <c r="AO25" s="515">
        <f t="shared" si="3"/>
        <v>2.141806693420456E-3</v>
      </c>
      <c r="AP25" s="270">
        <v>0.83675526587265814</v>
      </c>
      <c r="AQ25" s="270">
        <v>2.5000000000000001E-2</v>
      </c>
      <c r="AR25" s="270">
        <v>1.5027541775584381</v>
      </c>
    </row>
    <row r="26" spans="1:44" x14ac:dyDescent="0.25">
      <c r="A26" s="506" t="s">
        <v>537</v>
      </c>
      <c r="B26" s="507"/>
      <c r="C26" s="507"/>
      <c r="D26" s="507">
        <v>66474431</v>
      </c>
      <c r="E26" s="507">
        <v>1094263</v>
      </c>
      <c r="F26" s="507"/>
      <c r="G26" s="507"/>
      <c r="H26" s="507"/>
      <c r="I26" s="507">
        <v>0</v>
      </c>
      <c r="J26" s="507">
        <v>-34553154.472200006</v>
      </c>
      <c r="K26" s="507">
        <v>8412029.5393221267</v>
      </c>
      <c r="L26" s="507">
        <v>5451694.4111100836</v>
      </c>
      <c r="M26" s="507">
        <v>17642751.566603485</v>
      </c>
      <c r="N26" s="507"/>
      <c r="O26" s="507">
        <v>50000000</v>
      </c>
      <c r="P26" s="507">
        <v>114522015.04483569</v>
      </c>
      <c r="Q26" s="516">
        <v>43946022.516838104</v>
      </c>
      <c r="R26" s="516">
        <v>39511886.472045258</v>
      </c>
      <c r="S26" s="516">
        <v>127951111.04721424</v>
      </c>
      <c r="T26" s="516">
        <v>91473220.145897582</v>
      </c>
      <c r="U26" s="516">
        <v>15928279.567283457</v>
      </c>
      <c r="V26" s="516">
        <v>43902096.080050297</v>
      </c>
      <c r="W26" s="518">
        <v>-119981096.19999987</v>
      </c>
      <c r="X26" s="518">
        <v>61611909.764071189</v>
      </c>
      <c r="Y26" s="514">
        <v>24944103.246725257</v>
      </c>
      <c r="Z26" s="508">
        <v>329287532.64012545</v>
      </c>
      <c r="AA26" s="509">
        <v>-1986141602.065618</v>
      </c>
      <c r="AB26" s="509">
        <v>588091718.88678288</v>
      </c>
      <c r="AC26" s="510">
        <f t="shared" si="2"/>
        <v>2039</v>
      </c>
      <c r="AD26" s="509">
        <f t="shared" si="0"/>
        <v>589403969.15388489</v>
      </c>
      <c r="AE26" s="509">
        <f t="shared" si="6"/>
        <v>34670821.714934401</v>
      </c>
      <c r="AF26" s="509">
        <f t="shared" si="4"/>
        <v>22508799.125061028</v>
      </c>
      <c r="AG26" s="509">
        <f t="shared" si="5"/>
        <v>18465055.094475191</v>
      </c>
      <c r="AH26" s="509">
        <v>-1398049883.1788352</v>
      </c>
      <c r="AI26" s="509">
        <v>443809547.68496114</v>
      </c>
      <c r="AJ26" s="511">
        <v>-1841859430.8637962</v>
      </c>
      <c r="AK26" s="507"/>
      <c r="AL26" s="512">
        <v>-1841859430.8637962</v>
      </c>
      <c r="AM26" s="513"/>
      <c r="AO26" s="515">
        <f t="shared" si="3"/>
        <v>4.7297397090098059E-3</v>
      </c>
      <c r="AP26" s="270">
        <v>0.82034829987515501</v>
      </c>
      <c r="AQ26" s="270">
        <v>2.5000000000000001E-2</v>
      </c>
      <c r="AR26" s="270">
        <v>1.5403230319973988</v>
      </c>
    </row>
    <row r="27" spans="1:44" x14ac:dyDescent="0.25">
      <c r="A27" s="506" t="s">
        <v>536</v>
      </c>
      <c r="B27" s="507"/>
      <c r="C27" s="507"/>
      <c r="D27" s="507">
        <v>64892331</v>
      </c>
      <c r="E27" s="507">
        <v>1093217</v>
      </c>
      <c r="F27" s="507"/>
      <c r="G27" s="507"/>
      <c r="H27" s="507"/>
      <c r="I27" s="507">
        <v>0</v>
      </c>
      <c r="J27" s="507">
        <v>-42049372.638000011</v>
      </c>
      <c r="K27" s="507">
        <v>5088193.1533737089</v>
      </c>
      <c r="L27" s="507">
        <v>5205211.8018488623</v>
      </c>
      <c r="M27" s="507">
        <v>17710238.723197304</v>
      </c>
      <c r="N27" s="507"/>
      <c r="O27" s="507">
        <v>50000000</v>
      </c>
      <c r="P27" s="507">
        <v>101939819.04041988</v>
      </c>
      <c r="Q27" s="516">
        <v>42188181.61616458</v>
      </c>
      <c r="R27" s="516">
        <v>32706596.287850611</v>
      </c>
      <c r="S27" s="516">
        <v>131103747.69684345</v>
      </c>
      <c r="T27" s="516">
        <v>93245418.103693068</v>
      </c>
      <c r="U27" s="516">
        <v>13505289.903558688</v>
      </c>
      <c r="V27" s="516">
        <v>36340662.54205624</v>
      </c>
      <c r="W27" s="518">
        <v>-161374622.53500006</v>
      </c>
      <c r="X27" s="518">
        <v>46619995.401541516</v>
      </c>
      <c r="Y27" s="514">
        <v>25514589.08572923</v>
      </c>
      <c r="Z27" s="508">
        <v>259849858.10243732</v>
      </c>
      <c r="AA27" s="509">
        <v>-1841859430.8637962</v>
      </c>
      <c r="AB27" s="509">
        <v>590341290.77324343</v>
      </c>
      <c r="AC27" s="510">
        <f t="shared" si="2"/>
        <v>2040</v>
      </c>
      <c r="AD27" s="509">
        <f t="shared" si="0"/>
        <v>591908279.43310511</v>
      </c>
      <c r="AE27" s="509">
        <f t="shared" si="6"/>
        <v>34818134.084300302</v>
      </c>
      <c r="AF27" s="509">
        <f t="shared" si="4"/>
        <v>22053108.728568152</v>
      </c>
      <c r="AG27" s="509">
        <f t="shared" si="5"/>
        <v>17736500.247492962</v>
      </c>
      <c r="AH27" s="509">
        <v>-1251518140.0905528</v>
      </c>
      <c r="AI27" s="509">
        <v>361789677.14285719</v>
      </c>
      <c r="AJ27" s="511">
        <v>-1613307817.2334099</v>
      </c>
      <c r="AK27" s="507"/>
      <c r="AL27" s="512">
        <v>-1613307817.2334099</v>
      </c>
      <c r="AM27" s="513"/>
      <c r="AO27" s="515">
        <f t="shared" si="3"/>
        <v>3.8252058551662138E-3</v>
      </c>
      <c r="AP27" s="270">
        <v>0.80426303909328911</v>
      </c>
      <c r="AQ27" s="270">
        <v>2.5000000000000001E-2</v>
      </c>
      <c r="AR27" s="270">
        <v>1.5788311077973336</v>
      </c>
    </row>
    <row r="28" spans="1:44" x14ac:dyDescent="0.25">
      <c r="A28" s="506" t="s">
        <v>535</v>
      </c>
      <c r="B28" s="507"/>
      <c r="C28" s="507"/>
      <c r="D28" s="507">
        <v>64803155</v>
      </c>
      <c r="E28" s="507">
        <v>1092237</v>
      </c>
      <c r="F28" s="507"/>
      <c r="G28" s="507"/>
      <c r="H28" s="507"/>
      <c r="I28" s="507">
        <v>0</v>
      </c>
      <c r="J28" s="507">
        <v>-49772482.523399979</v>
      </c>
      <c r="K28" s="507">
        <v>1698550.3518288459</v>
      </c>
      <c r="L28" s="507">
        <v>4954455.5384345092</v>
      </c>
      <c r="M28" s="507">
        <v>17790826.711418759</v>
      </c>
      <c r="N28" s="507"/>
      <c r="O28" s="507">
        <v>50000000</v>
      </c>
      <c r="P28" s="507">
        <v>90566742.078282133</v>
      </c>
      <c r="Q28" s="516">
        <v>40500654.351517998</v>
      </c>
      <c r="R28" s="516">
        <v>31398332.436336588</v>
      </c>
      <c r="S28" s="516">
        <v>134088925.47502992</v>
      </c>
      <c r="T28" s="516">
        <v>94919572.5093586</v>
      </c>
      <c r="U28" s="516">
        <v>11179219.826382907</v>
      </c>
      <c r="V28" s="516">
        <v>34887036.040373988</v>
      </c>
      <c r="W28" s="518">
        <v>-204085782.95000014</v>
      </c>
      <c r="X28" s="518">
        <v>30436867.017856266</v>
      </c>
      <c r="Y28" s="514">
        <v>25990953.153676692</v>
      </c>
      <c r="Z28" s="508">
        <v>199315777.86053282</v>
      </c>
      <c r="AA28" s="509">
        <v>-1613307817.2334099</v>
      </c>
      <c r="AB28" s="509">
        <v>593027557.04729199</v>
      </c>
      <c r="AC28" s="510">
        <f t="shared" si="2"/>
        <v>2041</v>
      </c>
      <c r="AD28" s="509">
        <f t="shared" si="0"/>
        <v>594106088.85904813</v>
      </c>
      <c r="AE28" s="509">
        <f t="shared" si="6"/>
        <v>34947416.991708711</v>
      </c>
      <c r="AF28" s="509">
        <f t="shared" si="4"/>
        <v>21595116.031813897</v>
      </c>
      <c r="AG28" s="509">
        <f t="shared" si="5"/>
        <v>17027601.616979271</v>
      </c>
      <c r="AH28" s="509">
        <v>-1020280260.1861179</v>
      </c>
      <c r="AI28" s="509">
        <v>289882519.93881494</v>
      </c>
      <c r="AJ28" s="511">
        <v>-1310162780.1249328</v>
      </c>
      <c r="AK28" s="507"/>
      <c r="AL28" s="512">
        <v>-1310162780.1249328</v>
      </c>
      <c r="AM28" s="513"/>
      <c r="AO28" s="515">
        <f t="shared" si="3"/>
        <v>4.5503614875559428E-3</v>
      </c>
      <c r="AP28" s="270">
        <v>0.78849317558165599</v>
      </c>
      <c r="AQ28" s="270">
        <v>2.5000000000000001E-2</v>
      </c>
      <c r="AR28" s="270">
        <v>1.6183018854922668</v>
      </c>
    </row>
    <row r="29" spans="1:44" x14ac:dyDescent="0.25">
      <c r="A29" s="506" t="s">
        <v>534</v>
      </c>
      <c r="B29" s="507"/>
      <c r="C29" s="507"/>
      <c r="D29" s="507">
        <v>55490290</v>
      </c>
      <c r="E29" s="507">
        <v>1091322</v>
      </c>
      <c r="F29" s="507"/>
      <c r="G29" s="507"/>
      <c r="H29" s="507"/>
      <c r="I29" s="507">
        <v>0</v>
      </c>
      <c r="J29" s="507">
        <v>-57351202.435800001</v>
      </c>
      <c r="K29" s="507">
        <v>-1594741.1534597282</v>
      </c>
      <c r="L29" s="507">
        <v>4710257.2181489049</v>
      </c>
      <c r="M29" s="507">
        <v>17846294.061737649</v>
      </c>
      <c r="N29" s="507"/>
      <c r="O29" s="507">
        <v>50000000</v>
      </c>
      <c r="P29" s="507">
        <v>70192219.69062683</v>
      </c>
      <c r="Q29" s="516">
        <v>0</v>
      </c>
      <c r="R29" s="516">
        <v>26151558.897158697</v>
      </c>
      <c r="S29" s="516">
        <v>136913549.50365862</v>
      </c>
      <c r="T29" s="516">
        <v>94444974.646811783</v>
      </c>
      <c r="U29" s="516">
        <v>10732051.033327591</v>
      </c>
      <c r="V29" s="516">
        <v>29057287.663509663</v>
      </c>
      <c r="W29" s="518">
        <v>-264359339.40999985</v>
      </c>
      <c r="X29" s="518">
        <v>11777524.134067945</v>
      </c>
      <c r="Y29" s="514">
        <v>26298071.064221829</v>
      </c>
      <c r="Z29" s="508">
        <v>71015677.532756299</v>
      </c>
      <c r="AA29" s="509">
        <v>-1310162780.1249328</v>
      </c>
      <c r="AB29" s="509">
        <v>594876468.72458827</v>
      </c>
      <c r="AC29" s="510">
        <f t="shared" si="2"/>
        <v>2042</v>
      </c>
      <c r="AD29" s="509">
        <f t="shared" si="0"/>
        <v>595975048.64397979</v>
      </c>
      <c r="AE29" s="509">
        <f t="shared" si="6"/>
        <v>35057355.802587047</v>
      </c>
      <c r="AF29" s="509">
        <f t="shared" si="4"/>
        <v>21134683.615340076</v>
      </c>
      <c r="AG29" s="509">
        <f t="shared" si="5"/>
        <v>16337797.841934402</v>
      </c>
      <c r="AH29" s="509">
        <v>-715286311.40034449</v>
      </c>
      <c r="AI29" s="509">
        <v>141207897.22338313</v>
      </c>
      <c r="AJ29" s="511">
        <v>-856494208.62372756</v>
      </c>
      <c r="AK29" s="507"/>
      <c r="AL29" s="512">
        <v>-856494208.62372756</v>
      </c>
      <c r="AM29" s="513"/>
      <c r="AO29" s="515">
        <f t="shared" si="3"/>
        <v>3.1177500190751051E-3</v>
      </c>
      <c r="AP29" s="270">
        <v>0.77303252508005482</v>
      </c>
      <c r="AQ29" s="270">
        <v>2.5000000000000001E-2</v>
      </c>
      <c r="AR29" s="270">
        <v>1.6587594326295734</v>
      </c>
    </row>
    <row r="30" spans="1:44" x14ac:dyDescent="0.25">
      <c r="A30" s="506" t="s">
        <v>533</v>
      </c>
      <c r="B30" s="507"/>
      <c r="C30" s="507"/>
      <c r="D30" s="507">
        <v>51805403</v>
      </c>
      <c r="E30" s="507">
        <v>1090277</v>
      </c>
      <c r="F30" s="507"/>
      <c r="G30" s="507"/>
      <c r="H30" s="507"/>
      <c r="I30" s="507">
        <v>0</v>
      </c>
      <c r="J30" s="507">
        <v>-65200631.168400019</v>
      </c>
      <c r="K30" s="507">
        <v>-28118217.811779752</v>
      </c>
      <c r="L30" s="507">
        <v>-1878309.6689225142</v>
      </c>
      <c r="M30" s="507">
        <v>17902792.457592066</v>
      </c>
      <c r="N30" s="507"/>
      <c r="O30" s="507">
        <v>50000000</v>
      </c>
      <c r="P30" s="507">
        <v>25601313.808489781</v>
      </c>
      <c r="Q30" s="516">
        <v>0</v>
      </c>
      <c r="R30" s="516">
        <v>21336369.646310393</v>
      </c>
      <c r="S30" s="516">
        <v>136228981.75614029</v>
      </c>
      <c r="T30" s="516">
        <v>93972749.773577705</v>
      </c>
      <c r="U30" s="516">
        <v>8938686.9590748679</v>
      </c>
      <c r="V30" s="516">
        <v>23707077.384789325</v>
      </c>
      <c r="W30" s="518">
        <v>-299360672.05499995</v>
      </c>
      <c r="X30" s="518">
        <v>-8415928.3698115088</v>
      </c>
      <c r="Y30" s="514">
        <v>26491681.038046937</v>
      </c>
      <c r="Z30" s="508">
        <v>2898946.1331280544</v>
      </c>
      <c r="AA30" s="509">
        <v>-856494208.62372756</v>
      </c>
      <c r="AB30" s="509">
        <v>596759748.58640218</v>
      </c>
      <c r="AC30" s="510">
        <f t="shared" si="2"/>
        <v>2043</v>
      </c>
      <c r="AD30" s="509">
        <f t="shared" si="0"/>
        <v>596759748.58640218</v>
      </c>
      <c r="AE30" s="509">
        <f t="shared" si="6"/>
        <v>35103514.62272954</v>
      </c>
      <c r="AF30" s="509">
        <f t="shared" si="4"/>
        <v>20646352.126514956</v>
      </c>
      <c r="AG30" s="509">
        <f t="shared" si="5"/>
        <v>15647354.625540996</v>
      </c>
      <c r="AH30" s="509">
        <v>-259734460.03732538</v>
      </c>
      <c r="AI30" s="509">
        <v>28500259.941617835</v>
      </c>
      <c r="AJ30" s="511">
        <v>-288234719.97894323</v>
      </c>
      <c r="AK30" s="507"/>
      <c r="AL30" s="512">
        <v>-288234719.97894323</v>
      </c>
      <c r="AM30" s="513"/>
      <c r="AO30" s="515">
        <f t="shared" si="3"/>
        <v>3.1658335147322081E-3</v>
      </c>
      <c r="AP30" s="270">
        <v>0.75787502458828904</v>
      </c>
      <c r="AQ30" s="270">
        <v>2.5000000000000001E-2</v>
      </c>
      <c r="AR30" s="270">
        <v>1.7002284184453125</v>
      </c>
    </row>
    <row r="31" spans="1:44" x14ac:dyDescent="0.25">
      <c r="A31" s="506" t="s">
        <v>532</v>
      </c>
      <c r="B31" s="507"/>
      <c r="C31" s="507"/>
      <c r="D31" s="507">
        <v>37004471</v>
      </c>
      <c r="E31" s="507">
        <v>1032751</v>
      </c>
      <c r="F31" s="507"/>
      <c r="G31" s="507"/>
      <c r="H31" s="507"/>
      <c r="I31" s="507">
        <v>0</v>
      </c>
      <c r="J31" s="507"/>
      <c r="K31" s="507"/>
      <c r="L31" s="507"/>
      <c r="M31" s="507">
        <v>17902792.457592066</v>
      </c>
      <c r="N31" s="507"/>
      <c r="O31" s="507">
        <v>50000000</v>
      </c>
      <c r="P31" s="507">
        <v>105940014.45759207</v>
      </c>
      <c r="Q31" s="516"/>
      <c r="R31" s="516"/>
      <c r="S31" s="516"/>
      <c r="T31" s="516"/>
      <c r="U31" s="516"/>
      <c r="V31" s="516"/>
      <c r="W31" s="518">
        <v>-352274472.43000025</v>
      </c>
      <c r="X31" s="518">
        <v>-185943037.92722958</v>
      </c>
      <c r="Y31" s="514">
        <v>-11161165.263227044</v>
      </c>
      <c r="Z31" s="508">
        <v>-549378675.62045681</v>
      </c>
      <c r="AA31" s="509">
        <v>-288234719.97894323</v>
      </c>
      <c r="AB31" s="509">
        <v>596759748.58640218</v>
      </c>
      <c r="AC31" s="510">
        <f t="shared" si="2"/>
        <v>2044</v>
      </c>
      <c r="AD31" s="509">
        <f t="shared" si="0"/>
        <v>596759748.58640218</v>
      </c>
      <c r="AE31" s="509">
        <f t="shared" si="6"/>
        <v>35103514.62272954</v>
      </c>
      <c r="AF31" s="509">
        <f t="shared" si="4"/>
        <v>20142782.56245362</v>
      </c>
      <c r="AG31" s="509">
        <f t="shared" si="5"/>
        <v>14966384.146858919</v>
      </c>
      <c r="AH31" s="509">
        <v>308525028.60745895</v>
      </c>
      <c r="AI31" s="509">
        <v>-443438661.16286474</v>
      </c>
      <c r="AJ31" s="511">
        <v>751963689.77032375</v>
      </c>
      <c r="AK31" s="507"/>
      <c r="AL31" s="512">
        <v>751963689.77032375</v>
      </c>
      <c r="AM31" s="513"/>
      <c r="AO31" s="515">
        <f t="shared" si="3"/>
        <v>0</v>
      </c>
      <c r="AP31" s="270">
        <v>0.7430147299885187</v>
      </c>
      <c r="AQ31" s="270">
        <v>2.5000000000000001E-2</v>
      </c>
      <c r="AR31" s="270">
        <v>1.7427341289064451</v>
      </c>
    </row>
    <row r="32" spans="1:44" x14ac:dyDescent="0.25">
      <c r="A32" s="506" t="s">
        <v>594</v>
      </c>
      <c r="B32" s="507"/>
      <c r="C32" s="507"/>
      <c r="D32" s="507"/>
      <c r="E32" s="507"/>
      <c r="F32" s="507"/>
      <c r="G32" s="507"/>
      <c r="H32" s="507"/>
      <c r="I32" s="507"/>
      <c r="J32" s="507"/>
      <c r="K32" s="507"/>
      <c r="L32" s="507"/>
      <c r="M32" s="507"/>
      <c r="N32" s="507"/>
      <c r="O32" s="507"/>
      <c r="P32" s="507"/>
      <c r="Q32" s="516"/>
      <c r="R32" s="516"/>
      <c r="S32" s="516"/>
      <c r="T32" s="516"/>
      <c r="U32" s="516"/>
      <c r="V32" s="516"/>
      <c r="W32" s="518"/>
      <c r="X32" s="518"/>
      <c r="Y32" s="514"/>
      <c r="Z32" s="508"/>
      <c r="AA32" s="509"/>
      <c r="AB32" s="509">
        <f t="shared" ref="AB32:AB37" si="7">AB31*(1+$AO$31)</f>
        <v>596759748.58640218</v>
      </c>
      <c r="AC32" s="510">
        <f t="shared" si="2"/>
        <v>2045</v>
      </c>
      <c r="AD32" s="509">
        <f t="shared" si="0"/>
        <v>596759748.58640218</v>
      </c>
      <c r="AE32" s="509">
        <f t="shared" si="6"/>
        <v>35103514.62272954</v>
      </c>
      <c r="AF32" s="509">
        <f t="shared" si="4"/>
        <v>19651495.182881583</v>
      </c>
      <c r="AG32" s="509">
        <f t="shared" si="5"/>
        <v>14315049.399195522</v>
      </c>
      <c r="AH32" s="509"/>
      <c r="AI32" s="509"/>
      <c r="AJ32" s="511"/>
      <c r="AK32" s="507"/>
      <c r="AL32" s="512"/>
      <c r="AM32" s="513"/>
      <c r="AO32" s="515">
        <f t="shared" si="3"/>
        <v>0</v>
      </c>
      <c r="AP32" s="270">
        <v>0.72844581371423389</v>
      </c>
      <c r="AQ32" s="270">
        <v>2.5000000000000001E-2</v>
      </c>
      <c r="AR32" s="270">
        <v>1.786302482129106</v>
      </c>
    </row>
    <row r="33" spans="1:44" x14ac:dyDescent="0.25">
      <c r="A33" s="506" t="s">
        <v>593</v>
      </c>
      <c r="B33" s="507"/>
      <c r="C33" s="507"/>
      <c r="D33" s="507"/>
      <c r="E33" s="507"/>
      <c r="F33" s="507"/>
      <c r="G33" s="507"/>
      <c r="H33" s="507"/>
      <c r="I33" s="507"/>
      <c r="J33" s="507"/>
      <c r="K33" s="507"/>
      <c r="L33" s="507"/>
      <c r="M33" s="507"/>
      <c r="N33" s="507"/>
      <c r="O33" s="507"/>
      <c r="P33" s="507"/>
      <c r="Q33" s="516"/>
      <c r="R33" s="516"/>
      <c r="S33" s="516"/>
      <c r="T33" s="516"/>
      <c r="U33" s="516"/>
      <c r="V33" s="516"/>
      <c r="W33" s="518"/>
      <c r="X33" s="518"/>
      <c r="Y33" s="514"/>
      <c r="Z33" s="508"/>
      <c r="AA33" s="509"/>
      <c r="AB33" s="509">
        <f t="shared" si="7"/>
        <v>596759748.58640218</v>
      </c>
      <c r="AC33" s="510">
        <f t="shared" si="2"/>
        <v>2046</v>
      </c>
      <c r="AD33" s="509">
        <f t="shared" si="0"/>
        <v>596759748.58640218</v>
      </c>
      <c r="AE33" s="509">
        <f t="shared" si="6"/>
        <v>35103514.62272954</v>
      </c>
      <c r="AF33" s="509">
        <f t="shared" si="4"/>
        <v>19172190.422323495</v>
      </c>
      <c r="AG33" s="509">
        <f t="shared" si="5"/>
        <v>13692060.640072234</v>
      </c>
      <c r="AH33" s="509"/>
      <c r="AI33" s="509"/>
      <c r="AJ33" s="511"/>
      <c r="AK33" s="507"/>
      <c r="AL33" s="512"/>
      <c r="AM33" s="513"/>
      <c r="AO33" s="515">
        <f t="shared" si="3"/>
        <v>0</v>
      </c>
      <c r="AP33" s="270">
        <v>0.71416256246493515</v>
      </c>
      <c r="AQ33" s="270">
        <v>2.5000000000000001E-2</v>
      </c>
      <c r="AR33" s="270">
        <v>1.8309600441823335</v>
      </c>
    </row>
    <row r="34" spans="1:44" x14ac:dyDescent="0.25">
      <c r="A34" s="506" t="s">
        <v>592</v>
      </c>
      <c r="B34" s="507"/>
      <c r="C34" s="507"/>
      <c r="D34" s="507"/>
      <c r="E34" s="507"/>
      <c r="F34" s="507"/>
      <c r="G34" s="507"/>
      <c r="H34" s="507"/>
      <c r="I34" s="507"/>
      <c r="J34" s="507"/>
      <c r="K34" s="507"/>
      <c r="L34" s="507"/>
      <c r="M34" s="507"/>
      <c r="N34" s="507"/>
      <c r="O34" s="507"/>
      <c r="P34" s="507"/>
      <c r="Q34" s="516"/>
      <c r="R34" s="516"/>
      <c r="S34" s="516"/>
      <c r="T34" s="516"/>
      <c r="U34" s="516"/>
      <c r="V34" s="516"/>
      <c r="W34" s="518"/>
      <c r="X34" s="518"/>
      <c r="Y34" s="514"/>
      <c r="Z34" s="508"/>
      <c r="AA34" s="509"/>
      <c r="AB34" s="509">
        <f t="shared" si="7"/>
        <v>596759748.58640218</v>
      </c>
      <c r="AC34" s="510">
        <f t="shared" si="2"/>
        <v>2047</v>
      </c>
      <c r="AD34" s="509">
        <f t="shared" si="0"/>
        <v>596759748.58640218</v>
      </c>
      <c r="AE34" s="509">
        <f t="shared" si="6"/>
        <v>35103514.62272954</v>
      </c>
      <c r="AF34" s="509">
        <f t="shared" si="4"/>
        <v>18704576.021779023</v>
      </c>
      <c r="AG34" s="509">
        <f t="shared" si="5"/>
        <v>13096184.256405773</v>
      </c>
      <c r="AH34" s="509"/>
      <c r="AI34" s="509"/>
      <c r="AJ34" s="511"/>
      <c r="AK34" s="507"/>
      <c r="AL34" s="512"/>
      <c r="AM34" s="513"/>
      <c r="AO34" s="515">
        <f t="shared" si="3"/>
        <v>0</v>
      </c>
      <c r="AP34" s="270">
        <v>0.70015937496562264</v>
      </c>
      <c r="AQ34" s="270">
        <v>2.5000000000000001E-2</v>
      </c>
      <c r="AR34" s="270">
        <v>1.8767340452868917</v>
      </c>
    </row>
    <row r="35" spans="1:44" x14ac:dyDescent="0.25">
      <c r="A35" s="506" t="s">
        <v>591</v>
      </c>
      <c r="B35" s="507"/>
      <c r="C35" s="507"/>
      <c r="D35" s="507"/>
      <c r="E35" s="507"/>
      <c r="F35" s="507"/>
      <c r="G35" s="507"/>
      <c r="H35" s="507"/>
      <c r="I35" s="507"/>
      <c r="J35" s="507"/>
      <c r="K35" s="507"/>
      <c r="L35" s="507"/>
      <c r="M35" s="507"/>
      <c r="N35" s="507"/>
      <c r="O35" s="507"/>
      <c r="P35" s="507"/>
      <c r="Q35" s="516"/>
      <c r="R35" s="516"/>
      <c r="S35" s="516"/>
      <c r="T35" s="516"/>
      <c r="U35" s="516"/>
      <c r="V35" s="516"/>
      <c r="W35" s="518"/>
      <c r="X35" s="518"/>
      <c r="Y35" s="514"/>
      <c r="Z35" s="508"/>
      <c r="AA35" s="509"/>
      <c r="AB35" s="509">
        <f t="shared" si="7"/>
        <v>596759748.58640218</v>
      </c>
      <c r="AC35" s="510">
        <f t="shared" si="2"/>
        <v>2048</v>
      </c>
      <c r="AD35" s="509">
        <f t="shared" si="0"/>
        <v>596759748.58640218</v>
      </c>
      <c r="AE35" s="509">
        <f t="shared" si="6"/>
        <v>35103514.62272954</v>
      </c>
      <c r="AF35" s="509">
        <f t="shared" si="4"/>
        <v>18248366.850516122</v>
      </c>
      <c r="AG35" s="509">
        <f t="shared" si="5"/>
        <v>12526240.321765447</v>
      </c>
      <c r="AH35" s="509"/>
      <c r="AI35" s="509"/>
      <c r="AJ35" s="511"/>
      <c r="AK35" s="507"/>
      <c r="AL35" s="512"/>
      <c r="AM35" s="513"/>
      <c r="AO35" s="515">
        <f t="shared" si="3"/>
        <v>0</v>
      </c>
      <c r="AP35" s="270">
        <v>0.68643075977021828</v>
      </c>
      <c r="AQ35" s="270">
        <v>2.5000000000000001E-2</v>
      </c>
      <c r="AR35" s="270">
        <v>1.9236523964190637</v>
      </c>
    </row>
    <row r="36" spans="1:44" x14ac:dyDescent="0.25">
      <c r="A36" s="506" t="s">
        <v>590</v>
      </c>
      <c r="B36" s="507"/>
      <c r="C36" s="507"/>
      <c r="D36" s="507"/>
      <c r="E36" s="507"/>
      <c r="F36" s="507"/>
      <c r="G36" s="507"/>
      <c r="H36" s="507"/>
      <c r="I36" s="507"/>
      <c r="J36" s="507"/>
      <c r="K36" s="507"/>
      <c r="L36" s="507"/>
      <c r="M36" s="507"/>
      <c r="N36" s="507"/>
      <c r="O36" s="507"/>
      <c r="P36" s="507"/>
      <c r="Q36" s="516"/>
      <c r="R36" s="516"/>
      <c r="S36" s="516"/>
      <c r="T36" s="516"/>
      <c r="U36" s="516"/>
      <c r="V36" s="516"/>
      <c r="W36" s="518"/>
      <c r="X36" s="518"/>
      <c r="Y36" s="514"/>
      <c r="Z36" s="508"/>
      <c r="AA36" s="509"/>
      <c r="AB36" s="509">
        <f t="shared" si="7"/>
        <v>596759748.58640218</v>
      </c>
      <c r="AC36" s="510">
        <f t="shared" si="2"/>
        <v>2049</v>
      </c>
      <c r="AD36" s="509">
        <f t="shared" si="0"/>
        <v>596759748.58640218</v>
      </c>
      <c r="AE36" s="509">
        <f t="shared" si="6"/>
        <v>35103514.62272954</v>
      </c>
      <c r="AF36" s="509">
        <f t="shared" si="4"/>
        <v>17803284.732210852</v>
      </c>
      <c r="AG36" s="509">
        <f t="shared" si="5"/>
        <v>11981100.259938257</v>
      </c>
      <c r="AH36" s="509"/>
      <c r="AI36" s="509"/>
      <c r="AJ36" s="511"/>
      <c r="AK36" s="507"/>
      <c r="AL36" s="512"/>
      <c r="AM36" s="513"/>
      <c r="AO36" s="515">
        <f t="shared" si="3"/>
        <v>0</v>
      </c>
      <c r="AP36" s="270">
        <v>0.67297133310805712</v>
      </c>
      <c r="AQ36" s="270">
        <v>2.5000000000000001E-2</v>
      </c>
      <c r="AR36" s="270">
        <v>1.9717437063295402</v>
      </c>
    </row>
    <row r="37" spans="1:44" x14ac:dyDescent="0.25">
      <c r="A37" s="519" t="s">
        <v>589</v>
      </c>
      <c r="B37" s="507"/>
      <c r="C37" s="507"/>
      <c r="D37" s="507"/>
      <c r="E37" s="507"/>
      <c r="F37" s="507"/>
      <c r="G37" s="507"/>
      <c r="H37" s="507"/>
      <c r="I37" s="507"/>
      <c r="J37" s="507"/>
      <c r="K37" s="507"/>
      <c r="L37" s="507"/>
      <c r="M37" s="507"/>
      <c r="N37" s="507"/>
      <c r="O37" s="507"/>
      <c r="P37" s="507"/>
      <c r="Q37" s="516"/>
      <c r="R37" s="516"/>
      <c r="S37" s="516"/>
      <c r="T37" s="516"/>
      <c r="U37" s="516"/>
      <c r="V37" s="516"/>
      <c r="W37" s="518"/>
      <c r="X37" s="518"/>
      <c r="Y37" s="514"/>
      <c r="Z37" s="508"/>
      <c r="AA37" s="509"/>
      <c r="AB37" s="509">
        <f t="shared" si="7"/>
        <v>596759748.58640218</v>
      </c>
      <c r="AC37" s="510">
        <f t="shared" si="2"/>
        <v>2050</v>
      </c>
      <c r="AD37" s="509"/>
      <c r="AE37" s="509"/>
      <c r="AF37" s="509"/>
      <c r="AG37" s="509"/>
      <c r="AH37" s="509"/>
      <c r="AI37" s="509"/>
      <c r="AJ37" s="511"/>
      <c r="AK37" s="507"/>
      <c r="AL37" s="512"/>
      <c r="AM37" s="513"/>
      <c r="AO37" s="515"/>
      <c r="AP37" s="270"/>
      <c r="AQ37" s="270"/>
      <c r="AR37" s="270"/>
    </row>
    <row r="38" spans="1:44" x14ac:dyDescent="0.25">
      <c r="AA38" s="185"/>
      <c r="AB38" s="167"/>
      <c r="AC38" s="167"/>
      <c r="AD38" s="167"/>
      <c r="AE38" s="167"/>
      <c r="AF38" s="167"/>
      <c r="AG38" s="167"/>
      <c r="AO38" s="515"/>
      <c r="AP38" s="270"/>
      <c r="AQ38" s="270"/>
      <c r="AR38" s="270"/>
    </row>
    <row r="39" spans="1:44" x14ac:dyDescent="0.25">
      <c r="AA39" s="185"/>
      <c r="AB39" s="167" t="s">
        <v>588</v>
      </c>
      <c r="AC39" s="167"/>
      <c r="AD39" s="167"/>
      <c r="AE39" s="167">
        <f>SUM(AE18:AE36)</f>
        <v>657442198.91403317</v>
      </c>
      <c r="AF39" s="167">
        <f>SUM(AF18:AF36)</f>
        <v>419356881.30005896</v>
      </c>
      <c r="AG39" s="167">
        <f>SUM(AG18:AG36)</f>
        <v>343635871.52564567</v>
      </c>
    </row>
    <row r="40" spans="1:44" x14ac:dyDescent="0.25">
      <c r="AA40" s="185"/>
      <c r="AB40" s="520" t="s">
        <v>587</v>
      </c>
      <c r="AC40" s="520"/>
      <c r="AD40" s="520"/>
      <c r="AE40" s="167">
        <f>AE39/OSW_Annual!$J$42</f>
        <v>48.108774678790496</v>
      </c>
      <c r="AF40" s="167">
        <f>AF39/OSW_Annual!$J$42</f>
        <v>30.686721579158732</v>
      </c>
      <c r="AG40" s="167">
        <f>AG39/OSW_Annual!$J$42</f>
        <v>25.145785807611038</v>
      </c>
    </row>
    <row r="41" spans="1:44" x14ac:dyDescent="0.25">
      <c r="AA41" s="185"/>
      <c r="AB41" s="520"/>
      <c r="AC41" s="520"/>
      <c r="AD41" s="520"/>
      <c r="AE41" s="167"/>
      <c r="AF41" s="167"/>
      <c r="AG41" s="167"/>
    </row>
    <row r="42" spans="1:44" x14ac:dyDescent="0.25">
      <c r="AA42" s="185"/>
      <c r="AB42" s="167"/>
      <c r="AC42" s="167"/>
      <c r="AD42" s="167"/>
    </row>
    <row r="43" spans="1:44" x14ac:dyDescent="0.25">
      <c r="AA43" s="185"/>
      <c r="AB43" s="167" t="s">
        <v>586</v>
      </c>
      <c r="AC43" s="167"/>
      <c r="AD43" s="167"/>
      <c r="AE43" s="167"/>
      <c r="AF43" s="167"/>
      <c r="AG43" s="167"/>
    </row>
    <row r="44" spans="1:44" x14ac:dyDescent="0.25">
      <c r="AA44" s="185"/>
      <c r="AB44" s="167"/>
      <c r="AC44" s="167"/>
      <c r="AD44" s="167"/>
      <c r="AE44" s="167"/>
      <c r="AF44" s="167"/>
      <c r="AG44" s="167"/>
    </row>
    <row r="45" spans="1:44" x14ac:dyDescent="0.25">
      <c r="A45" s="521" t="s">
        <v>585</v>
      </c>
      <c r="B45" s="522">
        <v>0.2896143019416435</v>
      </c>
    </row>
    <row r="46" spans="1:44" ht="60" x14ac:dyDescent="0.25">
      <c r="A46" s="501" t="s">
        <v>583</v>
      </c>
      <c r="B46" s="501" t="s">
        <v>570</v>
      </c>
      <c r="C46" s="501" t="s">
        <v>569</v>
      </c>
      <c r="D46" s="501" t="s">
        <v>582</v>
      </c>
      <c r="E46" s="501" t="s">
        <v>567</v>
      </c>
      <c r="F46" s="501" t="s">
        <v>581</v>
      </c>
      <c r="G46" s="501" t="s">
        <v>580</v>
      </c>
      <c r="H46" s="501" t="s">
        <v>579</v>
      </c>
      <c r="I46" s="502" t="s">
        <v>578</v>
      </c>
      <c r="J46" s="502" t="s">
        <v>577</v>
      </c>
      <c r="K46" s="502" t="s">
        <v>576</v>
      </c>
      <c r="L46" s="502" t="s">
        <v>575</v>
      </c>
      <c r="M46" s="501" t="s">
        <v>574</v>
      </c>
      <c r="N46" s="501" t="s">
        <v>573</v>
      </c>
      <c r="O46" s="501" t="s">
        <v>572</v>
      </c>
      <c r="P46" s="502" t="s">
        <v>571</v>
      </c>
      <c r="Q46" s="503" t="s">
        <v>570</v>
      </c>
      <c r="R46" s="503" t="s">
        <v>569</v>
      </c>
      <c r="S46" s="503" t="s">
        <v>568</v>
      </c>
      <c r="T46" s="503" t="s">
        <v>567</v>
      </c>
      <c r="U46" s="503" t="s">
        <v>566</v>
      </c>
      <c r="V46" s="503" t="s">
        <v>565</v>
      </c>
      <c r="W46" s="503" t="s">
        <v>564</v>
      </c>
      <c r="X46" s="503" t="s">
        <v>563</v>
      </c>
      <c r="Y46" s="503" t="s">
        <v>562</v>
      </c>
      <c r="Z46" s="503" t="s">
        <v>561</v>
      </c>
      <c r="AA46" s="502" t="s">
        <v>560</v>
      </c>
      <c r="AB46" s="502" t="s">
        <v>559</v>
      </c>
      <c r="AC46" s="502"/>
      <c r="AD46" s="502"/>
      <c r="AE46" s="502" t="str">
        <f>$AE$7</f>
        <v>DY Collections (Calendar Year) adjusted for 5.88% increase.</v>
      </c>
      <c r="AF46" s="502"/>
      <c r="AG46" s="502"/>
      <c r="AH46" s="502" t="s">
        <v>558</v>
      </c>
      <c r="AI46" s="501" t="s">
        <v>557</v>
      </c>
      <c r="AJ46" s="501" t="s">
        <v>556</v>
      </c>
    </row>
    <row r="47" spans="1:44" x14ac:dyDescent="0.25">
      <c r="A47" s="506" t="s">
        <v>555</v>
      </c>
      <c r="B47" s="523">
        <v>39969490.829327621</v>
      </c>
      <c r="C47" s="523">
        <v>14083700.517022794</v>
      </c>
      <c r="D47" s="523">
        <v>8685259.808943158</v>
      </c>
      <c r="E47" s="523">
        <v>0</v>
      </c>
      <c r="F47" s="523">
        <v>0</v>
      </c>
      <c r="G47" s="523">
        <v>0</v>
      </c>
      <c r="H47" s="524">
        <v>7753000</v>
      </c>
      <c r="I47" s="524">
        <v>1365128.2799999998</v>
      </c>
      <c r="J47" s="524">
        <v>0</v>
      </c>
      <c r="K47" s="524">
        <v>0</v>
      </c>
      <c r="L47" s="524">
        <v>0</v>
      </c>
      <c r="M47" s="524">
        <v>1956947.0137069982</v>
      </c>
      <c r="N47" s="524"/>
      <c r="O47" s="524">
        <v>3261578.3561783303</v>
      </c>
      <c r="P47" s="524">
        <v>77075104.80517891</v>
      </c>
      <c r="Q47" s="525">
        <v>0</v>
      </c>
      <c r="R47" s="525">
        <v>0</v>
      </c>
      <c r="S47" s="525">
        <v>0</v>
      </c>
      <c r="T47" s="525">
        <v>0</v>
      </c>
      <c r="U47" s="525">
        <v>0</v>
      </c>
      <c r="V47" s="525">
        <v>0</v>
      </c>
      <c r="W47" s="525">
        <v>0</v>
      </c>
      <c r="X47" s="525">
        <v>0</v>
      </c>
      <c r="Y47" s="525">
        <v>0</v>
      </c>
      <c r="Z47" s="526"/>
      <c r="AA47" s="527">
        <v>87829264.295962796</v>
      </c>
      <c r="AB47" s="527">
        <v>64309855.295962796</v>
      </c>
      <c r="AC47" s="527"/>
      <c r="AD47" s="527"/>
      <c r="AE47" s="509">
        <f t="shared" ref="AE47:AE70" si="8">AB47*$AE$5</f>
        <v>3782932.6644683997</v>
      </c>
      <c r="AF47" s="509"/>
      <c r="AG47" s="509"/>
      <c r="AH47" s="527">
        <v>152139119.59192559</v>
      </c>
      <c r="AI47" s="527">
        <v>77075104.80517891</v>
      </c>
      <c r="AJ47" s="528">
        <v>75064014.786746681</v>
      </c>
    </row>
    <row r="48" spans="1:44" x14ac:dyDescent="0.25">
      <c r="A48" s="506" t="s">
        <v>554</v>
      </c>
      <c r="B48" s="523">
        <v>17970624.489496462</v>
      </c>
      <c r="C48" s="523">
        <v>17581234.874778602</v>
      </c>
      <c r="D48" s="523">
        <v>24383297.668733057</v>
      </c>
      <c r="E48" s="523">
        <v>0</v>
      </c>
      <c r="F48" s="523">
        <v>0</v>
      </c>
      <c r="G48" s="523">
        <v>0</v>
      </c>
      <c r="H48" s="524">
        <v>5554000</v>
      </c>
      <c r="I48" s="524">
        <v>5431217.937169807</v>
      </c>
      <c r="J48" s="524">
        <v>0</v>
      </c>
      <c r="K48" s="524">
        <v>0</v>
      </c>
      <c r="L48" s="524">
        <v>0</v>
      </c>
      <c r="M48" s="524">
        <v>4037841.7223626804</v>
      </c>
      <c r="N48" s="524"/>
      <c r="O48" s="524">
        <v>14480715.097082175</v>
      </c>
      <c r="P48" s="524">
        <v>89438931.789622784</v>
      </c>
      <c r="Q48" s="525">
        <v>0</v>
      </c>
      <c r="R48" s="525">
        <v>0</v>
      </c>
      <c r="S48" s="525">
        <v>0</v>
      </c>
      <c r="T48" s="525">
        <v>0</v>
      </c>
      <c r="U48" s="525">
        <v>0</v>
      </c>
      <c r="V48" s="525">
        <v>0</v>
      </c>
      <c r="W48" s="525">
        <v>0</v>
      </c>
      <c r="X48" s="525">
        <v>0</v>
      </c>
      <c r="Y48" s="525">
        <v>0</v>
      </c>
      <c r="Z48" s="526"/>
      <c r="AA48" s="527">
        <v>75064014.786746681</v>
      </c>
      <c r="AB48" s="527">
        <v>129499575.18679999</v>
      </c>
      <c r="AC48" s="527"/>
      <c r="AD48" s="527"/>
      <c r="AE48" s="509">
        <f t="shared" si="8"/>
        <v>7617622.0698117642</v>
      </c>
      <c r="AF48" s="509"/>
      <c r="AG48" s="509"/>
      <c r="AH48" s="527">
        <v>204563589.97354668</v>
      </c>
      <c r="AI48" s="527">
        <v>89438931.789622784</v>
      </c>
      <c r="AJ48" s="528">
        <v>115124658.1839239</v>
      </c>
    </row>
    <row r="49" spans="1:37" x14ac:dyDescent="0.25">
      <c r="A49" s="506" t="s">
        <v>553</v>
      </c>
      <c r="B49" s="523">
        <v>19186613.578343742</v>
      </c>
      <c r="C49" s="523">
        <v>21598785.902771425</v>
      </c>
      <c r="D49" s="523">
        <v>32940092.103306752</v>
      </c>
      <c r="E49" s="523">
        <v>0</v>
      </c>
      <c r="F49" s="523">
        <v>0</v>
      </c>
      <c r="G49" s="523">
        <v>0</v>
      </c>
      <c r="H49" s="524">
        <v>4842000</v>
      </c>
      <c r="I49" s="524">
        <v>6666673.3471698072</v>
      </c>
      <c r="J49" s="524">
        <v>0</v>
      </c>
      <c r="K49" s="524">
        <v>0</v>
      </c>
      <c r="L49" s="524">
        <v>0</v>
      </c>
      <c r="M49" s="524">
        <v>5104130.5421990799</v>
      </c>
      <c r="N49" s="524"/>
      <c r="O49" s="524">
        <v>14480715.097082175</v>
      </c>
      <c r="P49" s="524">
        <v>104819010.57087296</v>
      </c>
      <c r="Q49" s="525">
        <v>0</v>
      </c>
      <c r="R49" s="525">
        <v>0</v>
      </c>
      <c r="S49" s="525">
        <v>0</v>
      </c>
      <c r="T49" s="525">
        <v>0</v>
      </c>
      <c r="U49" s="525">
        <v>0</v>
      </c>
      <c r="V49" s="525">
        <v>0</v>
      </c>
      <c r="W49" s="525">
        <v>0</v>
      </c>
      <c r="X49" s="525">
        <v>0</v>
      </c>
      <c r="Y49" s="525">
        <v>0</v>
      </c>
      <c r="Z49" s="514"/>
      <c r="AA49" s="527">
        <v>115124658.1839239</v>
      </c>
      <c r="AB49" s="527">
        <v>160483342.72150001</v>
      </c>
      <c r="AC49" s="527"/>
      <c r="AD49" s="527"/>
      <c r="AE49" s="509">
        <f t="shared" si="8"/>
        <v>9440196.6306764707</v>
      </c>
      <c r="AF49" s="509"/>
      <c r="AG49" s="509"/>
      <c r="AH49" s="527">
        <v>275608000.90542388</v>
      </c>
      <c r="AI49" s="527">
        <v>104819010.57087296</v>
      </c>
      <c r="AJ49" s="528">
        <v>170788990.33455092</v>
      </c>
      <c r="AK49" s="167"/>
    </row>
    <row r="50" spans="1:37" x14ac:dyDescent="0.25">
      <c r="A50" s="506" t="s">
        <v>552</v>
      </c>
      <c r="B50" s="523">
        <v>69838802.778761432</v>
      </c>
      <c r="C50" s="523">
        <v>26217577.959280908</v>
      </c>
      <c r="D50" s="523">
        <v>38204855.24842488</v>
      </c>
      <c r="E50" s="523">
        <v>0</v>
      </c>
      <c r="F50" s="523">
        <v>0</v>
      </c>
      <c r="G50" s="523">
        <v>0</v>
      </c>
      <c r="H50" s="524">
        <v>3400999.9999999995</v>
      </c>
      <c r="I50" s="524">
        <v>6627071.8807588778</v>
      </c>
      <c r="J50" s="524">
        <v>0</v>
      </c>
      <c r="K50" s="524">
        <v>0</v>
      </c>
      <c r="L50" s="524">
        <v>0</v>
      </c>
      <c r="M50" s="524">
        <v>5012255.0293302173</v>
      </c>
      <c r="N50" s="524"/>
      <c r="O50" s="524">
        <v>14480715.097082175</v>
      </c>
      <c r="P50" s="524">
        <v>163782277.99363849</v>
      </c>
      <c r="Q50" s="525">
        <v>0</v>
      </c>
      <c r="R50" s="525">
        <v>0</v>
      </c>
      <c r="S50" s="525">
        <v>0</v>
      </c>
      <c r="T50" s="525">
        <v>0</v>
      </c>
      <c r="U50" s="525">
        <v>0</v>
      </c>
      <c r="V50" s="525">
        <v>0</v>
      </c>
      <c r="W50" s="525">
        <v>0</v>
      </c>
      <c r="X50" s="525">
        <v>0</v>
      </c>
      <c r="Y50" s="525">
        <v>0</v>
      </c>
      <c r="Z50" s="514"/>
      <c r="AA50" s="527">
        <v>170788990.33455092</v>
      </c>
      <c r="AB50" s="527">
        <v>156867424.73649758</v>
      </c>
      <c r="AC50" s="527"/>
      <c r="AD50" s="527"/>
      <c r="AE50" s="509">
        <f t="shared" si="8"/>
        <v>9227495.5727351513</v>
      </c>
      <c r="AF50" s="509"/>
      <c r="AG50" s="509"/>
      <c r="AH50" s="527">
        <v>327656415.0710485</v>
      </c>
      <c r="AI50" s="527">
        <v>163782277.99363849</v>
      </c>
      <c r="AJ50" s="528">
        <v>163874137.07741001</v>
      </c>
      <c r="AK50" s="167"/>
    </row>
    <row r="51" spans="1:37" x14ac:dyDescent="0.25">
      <c r="A51" s="506" t="s">
        <v>551</v>
      </c>
      <c r="B51" s="523">
        <v>8711022.4491723757</v>
      </c>
      <c r="C51" s="523">
        <v>18404549.543495398</v>
      </c>
      <c r="D51" s="523">
        <v>40896833.796844646</v>
      </c>
      <c r="E51" s="523">
        <v>253420.04417078855</v>
      </c>
      <c r="F51" s="523">
        <v>1829037.4028398038</v>
      </c>
      <c r="G51" s="523">
        <v>0</v>
      </c>
      <c r="H51" s="524">
        <v>3259000</v>
      </c>
      <c r="I51" s="524">
        <v>6627071.8807588778</v>
      </c>
      <c r="J51" s="524">
        <v>1278658.8137757271</v>
      </c>
      <c r="K51" s="524">
        <v>0</v>
      </c>
      <c r="L51" s="524">
        <v>0</v>
      </c>
      <c r="M51" s="524">
        <v>4983923.1594963018</v>
      </c>
      <c r="N51" s="524"/>
      <c r="O51" s="524">
        <v>14480715.097082175</v>
      </c>
      <c r="P51" s="524">
        <v>100724232.18763611</v>
      </c>
      <c r="Q51" s="525">
        <v>45078796.379602134</v>
      </c>
      <c r="R51" s="525">
        <v>8471942.8686536644</v>
      </c>
      <c r="S51" s="525">
        <v>2528019.2530807718</v>
      </c>
      <c r="T51" s="525">
        <v>7397642.7635269007</v>
      </c>
      <c r="U51" s="525">
        <v>1195667.9533673662</v>
      </c>
      <c r="V51" s="525">
        <v>8145375.9899960281</v>
      </c>
      <c r="W51" s="525">
        <v>0</v>
      </c>
      <c r="X51" s="525">
        <v>0</v>
      </c>
      <c r="Y51" s="525">
        <v>0</v>
      </c>
      <c r="Z51" s="514"/>
      <c r="AA51" s="527">
        <v>163874137.07741001</v>
      </c>
      <c r="AB51" s="527">
        <v>155398917.17191386</v>
      </c>
      <c r="AC51" s="527"/>
      <c r="AD51" s="527"/>
      <c r="AE51" s="509">
        <f t="shared" si="8"/>
        <v>9141112.7748184633</v>
      </c>
      <c r="AF51" s="509"/>
      <c r="AG51" s="509"/>
      <c r="AH51" s="527">
        <v>319273054.24932384</v>
      </c>
      <c r="AI51" s="527">
        <v>100724232.18763611</v>
      </c>
      <c r="AJ51" s="528">
        <v>218548822.06168774</v>
      </c>
      <c r="AK51" s="167"/>
    </row>
    <row r="52" spans="1:37" x14ac:dyDescent="0.25">
      <c r="A52" s="506" t="s">
        <v>550</v>
      </c>
      <c r="B52" s="523">
        <v>0</v>
      </c>
      <c r="C52" s="523">
        <v>13094034.289413735</v>
      </c>
      <c r="D52" s="523">
        <v>29250410.530399043</v>
      </c>
      <c r="E52" s="523">
        <v>320726.11832772457</v>
      </c>
      <c r="F52" s="523">
        <v>2250063.9046731661</v>
      </c>
      <c r="G52" s="523">
        <v>0</v>
      </c>
      <c r="H52" s="524">
        <v>1276000</v>
      </c>
      <c r="I52" s="524">
        <v>6627071.8807588778</v>
      </c>
      <c r="J52" s="524">
        <v>1240080.383243619</v>
      </c>
      <c r="K52" s="524">
        <v>5856288.0558789885</v>
      </c>
      <c r="L52" s="524">
        <v>0</v>
      </c>
      <c r="M52" s="524">
        <v>4922717.1830755481</v>
      </c>
      <c r="N52" s="524"/>
      <c r="O52" s="524">
        <v>14480715.097082175</v>
      </c>
      <c r="P52" s="524">
        <v>79318107.44285287</v>
      </c>
      <c r="Q52" s="525">
        <v>43275644.524418049</v>
      </c>
      <c r="R52" s="525">
        <v>12656844.719997788</v>
      </c>
      <c r="S52" s="525">
        <v>6405525.8914649077</v>
      </c>
      <c r="T52" s="525">
        <v>9647688.9262792431</v>
      </c>
      <c r="U52" s="525">
        <v>2777205.5747864903</v>
      </c>
      <c r="V52" s="525">
        <v>12795266.935933944</v>
      </c>
      <c r="W52" s="525">
        <v>0</v>
      </c>
      <c r="X52" s="525">
        <v>836288.01818965853</v>
      </c>
      <c r="Y52" s="525">
        <v>0</v>
      </c>
      <c r="Z52" s="514">
        <v>88394464.591070071</v>
      </c>
      <c r="AA52" s="527">
        <v>218548822.06168774</v>
      </c>
      <c r="AB52" s="527">
        <v>153492365.55944532</v>
      </c>
      <c r="AC52" s="527"/>
      <c r="AD52" s="527"/>
      <c r="AE52" s="509">
        <f t="shared" si="8"/>
        <v>9028962.6799673717</v>
      </c>
      <c r="AF52" s="509"/>
      <c r="AG52" s="509"/>
      <c r="AH52" s="527">
        <v>372041187.62113309</v>
      </c>
      <c r="AI52" s="527">
        <v>167712572.03392294</v>
      </c>
      <c r="AJ52" s="528">
        <v>204328615.58721015</v>
      </c>
      <c r="AK52" s="167"/>
    </row>
    <row r="53" spans="1:37" x14ac:dyDescent="0.25">
      <c r="A53" s="506" t="s">
        <v>549</v>
      </c>
      <c r="B53" s="523">
        <v>0</v>
      </c>
      <c r="C53" s="523">
        <v>10797581.703541368</v>
      </c>
      <c r="D53" s="523">
        <v>21082828.756204724</v>
      </c>
      <c r="E53" s="523">
        <v>320402.32953815378</v>
      </c>
      <c r="F53" s="523">
        <v>2240010.5234098658</v>
      </c>
      <c r="G53" s="523">
        <v>0</v>
      </c>
      <c r="H53" s="524">
        <v>202999.99999999997</v>
      </c>
      <c r="I53" s="524">
        <v>6627071.8807588778</v>
      </c>
      <c r="J53" s="524">
        <v>14382532.693376135</v>
      </c>
      <c r="K53" s="524">
        <v>13983788.778790575</v>
      </c>
      <c r="L53" s="524">
        <v>1215977.6885423034</v>
      </c>
      <c r="M53" s="524">
        <v>4891241.3241190277</v>
      </c>
      <c r="N53" s="524"/>
      <c r="O53" s="524">
        <v>14480715.097082175</v>
      </c>
      <c r="P53" s="524">
        <v>90225150.775363237</v>
      </c>
      <c r="Q53" s="525">
        <v>41544618.743441328</v>
      </c>
      <c r="R53" s="525">
        <v>16674350.497288145</v>
      </c>
      <c r="S53" s="525">
        <v>10108039.12727114</v>
      </c>
      <c r="T53" s="525">
        <v>11795003.483155023</v>
      </c>
      <c r="U53" s="525">
        <v>4207618.4901588978</v>
      </c>
      <c r="V53" s="525">
        <v>17259162.244034339</v>
      </c>
      <c r="W53" s="525">
        <v>0</v>
      </c>
      <c r="X53" s="525">
        <v>827277.51047693053</v>
      </c>
      <c r="Y53" s="525">
        <v>0</v>
      </c>
      <c r="Z53" s="514">
        <v>102416070.09582581</v>
      </c>
      <c r="AA53" s="527">
        <v>204328615.58721015</v>
      </c>
      <c r="AB53" s="527">
        <v>151744178.01187399</v>
      </c>
      <c r="AC53" s="527"/>
      <c r="AD53" s="527"/>
      <c r="AE53" s="509">
        <f t="shared" si="8"/>
        <v>8926128.1183455288</v>
      </c>
      <c r="AF53" s="509"/>
      <c r="AG53" s="509"/>
      <c r="AH53" s="527">
        <v>356072793.59908414</v>
      </c>
      <c r="AI53" s="527">
        <v>192641220.87118906</v>
      </c>
      <c r="AJ53" s="528">
        <v>163431572.72789508</v>
      </c>
      <c r="AK53" s="167"/>
    </row>
    <row r="54" spans="1:37" x14ac:dyDescent="0.25">
      <c r="A54" s="506" t="s">
        <v>548</v>
      </c>
      <c r="B54" s="523">
        <v>0</v>
      </c>
      <c r="C54" s="523">
        <v>9591947.4844457079</v>
      </c>
      <c r="D54" s="523">
        <v>19546013.052866943</v>
      </c>
      <c r="E54" s="523">
        <v>320118.21790794906</v>
      </c>
      <c r="F54" s="523">
        <v>2229998.8466060455</v>
      </c>
      <c r="G54" s="523">
        <v>0</v>
      </c>
      <c r="H54" s="524">
        <v>202999.99999999997</v>
      </c>
      <c r="I54" s="524">
        <v>6627071.8807588778</v>
      </c>
      <c r="J54" s="524">
        <v>14507068.695294503</v>
      </c>
      <c r="K54" s="524">
        <v>13971770.652826963</v>
      </c>
      <c r="L54" s="524">
        <v>2429743.2894707061</v>
      </c>
      <c r="M54" s="524">
        <v>4883593.5544520933</v>
      </c>
      <c r="N54" s="524"/>
      <c r="O54" s="524">
        <v>14480715.097082175</v>
      </c>
      <c r="P54" s="524">
        <v>88791040.771711946</v>
      </c>
      <c r="Q54" s="525">
        <v>39882833.993703671</v>
      </c>
      <c r="R54" s="525">
        <v>20531156.043486889</v>
      </c>
      <c r="S54" s="525">
        <v>13642658.1622878</v>
      </c>
      <c r="T54" s="525">
        <v>13843759.347186139</v>
      </c>
      <c r="U54" s="525">
        <v>5580814.8889164086</v>
      </c>
      <c r="V54" s="525">
        <v>21544501.739810724</v>
      </c>
      <c r="W54" s="525">
        <v>19756226.227165021</v>
      </c>
      <c r="X54" s="525">
        <v>9041216.383601414</v>
      </c>
      <c r="Y54" s="525">
        <v>0</v>
      </c>
      <c r="Z54" s="514">
        <v>143823166.78615806</v>
      </c>
      <c r="AA54" s="527">
        <v>163431572.72789508</v>
      </c>
      <c r="AB54" s="527">
        <v>150699620.50638735</v>
      </c>
      <c r="AC54" s="527"/>
      <c r="AD54" s="527"/>
      <c r="AE54" s="509">
        <f t="shared" si="8"/>
        <v>8864683.5591992568</v>
      </c>
      <c r="AF54" s="509"/>
      <c r="AG54" s="509"/>
      <c r="AH54" s="527">
        <v>314131193.23428243</v>
      </c>
      <c r="AI54" s="527">
        <v>232614207.55787</v>
      </c>
      <c r="AJ54" s="528">
        <v>81516985.676412433</v>
      </c>
      <c r="AK54" s="167"/>
    </row>
    <row r="55" spans="1:37" x14ac:dyDescent="0.25">
      <c r="A55" s="506" t="s">
        <v>547</v>
      </c>
      <c r="B55" s="523">
        <v>0</v>
      </c>
      <c r="C55" s="523">
        <v>9221567.5732786935</v>
      </c>
      <c r="D55" s="523">
        <v>19518711.981465809</v>
      </c>
      <c r="E55" s="523">
        <v>319813.54366230645</v>
      </c>
      <c r="F55" s="523">
        <v>2220008.6012605685</v>
      </c>
      <c r="G55" s="523">
        <v>0</v>
      </c>
      <c r="H55" s="524">
        <v>202999.99999999997</v>
      </c>
      <c r="I55" s="524">
        <v>6627071.8807588778</v>
      </c>
      <c r="J55" s="524">
        <v>11225527.828406135</v>
      </c>
      <c r="K55" s="524">
        <v>12383845.715449389</v>
      </c>
      <c r="L55" s="524">
        <v>2316187.0719171101</v>
      </c>
      <c r="M55" s="524">
        <v>4896343.0445534475</v>
      </c>
      <c r="N55" s="524"/>
      <c r="O55" s="524">
        <v>14480715.097082175</v>
      </c>
      <c r="P55" s="524">
        <v>83412792.337834507</v>
      </c>
      <c r="Q55" s="525">
        <v>38287520.633955523</v>
      </c>
      <c r="R55" s="525">
        <v>24233689.367837682</v>
      </c>
      <c r="S55" s="525">
        <v>17016197.732903257</v>
      </c>
      <c r="T55" s="525">
        <v>15797962.196639219</v>
      </c>
      <c r="U55" s="525">
        <v>6899083.4317236189</v>
      </c>
      <c r="V55" s="525">
        <v>25658427.655756045</v>
      </c>
      <c r="W55" s="525">
        <v>26569722.885154769</v>
      </c>
      <c r="X55" s="525">
        <v>17287173.982416604</v>
      </c>
      <c r="Y55" s="525">
        <v>1217916.4358249153</v>
      </c>
      <c r="Z55" s="514">
        <v>172967694.32221162</v>
      </c>
      <c r="AA55" s="527">
        <v>81516985.676412433</v>
      </c>
      <c r="AB55" s="527">
        <v>150699620.50638735</v>
      </c>
      <c r="AC55" s="527"/>
      <c r="AD55" s="527"/>
      <c r="AE55" s="509">
        <f t="shared" si="8"/>
        <v>8864683.5591992568</v>
      </c>
      <c r="AF55" s="509"/>
      <c r="AG55" s="509"/>
      <c r="AH55" s="527">
        <v>232216606.18279979</v>
      </c>
      <c r="AI55" s="527">
        <v>256380486.66004613</v>
      </c>
      <c r="AJ55" s="528">
        <v>-24163880.477246344</v>
      </c>
      <c r="AK55" s="167"/>
    </row>
    <row r="56" spans="1:37" x14ac:dyDescent="0.25">
      <c r="A56" s="506" t="s">
        <v>546</v>
      </c>
      <c r="B56" s="523">
        <v>0</v>
      </c>
      <c r="C56" s="523">
        <v>6864911.7040045094</v>
      </c>
      <c r="D56" s="523">
        <v>19491306.938530281</v>
      </c>
      <c r="E56" s="523">
        <v>319529.7216464036</v>
      </c>
      <c r="F56" s="523">
        <v>2210164.9007518739</v>
      </c>
      <c r="G56" s="523">
        <v>0</v>
      </c>
      <c r="H56" s="524">
        <v>202999.99999999997</v>
      </c>
      <c r="I56" s="524">
        <v>6627071.8807588778</v>
      </c>
      <c r="J56" s="524">
        <v>7371988.1706738109</v>
      </c>
      <c r="K56" s="524">
        <v>10548162.741422309</v>
      </c>
      <c r="L56" s="524">
        <v>2186117.9160108133</v>
      </c>
      <c r="M56" s="524">
        <v>4900389.0022009388</v>
      </c>
      <c r="N56" s="524"/>
      <c r="O56" s="524">
        <v>14480715.097082175</v>
      </c>
      <c r="P56" s="524">
        <v>75203358.073082</v>
      </c>
      <c r="Q56" s="525">
        <v>36756019.808597296</v>
      </c>
      <c r="R56" s="525">
        <v>27788121.359214444</v>
      </c>
      <c r="S56" s="525">
        <v>20235199.491208561</v>
      </c>
      <c r="T56" s="525">
        <v>17661457.165997479</v>
      </c>
      <c r="U56" s="525">
        <v>8164621.232818542</v>
      </c>
      <c r="V56" s="525">
        <v>29607796.535063565</v>
      </c>
      <c r="W56" s="525">
        <v>25699468.471625764</v>
      </c>
      <c r="X56" s="525">
        <v>22731402.761761572</v>
      </c>
      <c r="Y56" s="525">
        <v>2327826.2029317692</v>
      </c>
      <c r="Z56" s="514">
        <v>190971913.029219</v>
      </c>
      <c r="AA56" s="527">
        <v>-24163880.477246344</v>
      </c>
      <c r="AB56" s="527">
        <v>150699620.50638735</v>
      </c>
      <c r="AC56" s="527"/>
      <c r="AD56" s="527"/>
      <c r="AE56" s="509">
        <f t="shared" si="8"/>
        <v>8864683.5591992568</v>
      </c>
      <c r="AF56" s="509"/>
      <c r="AG56" s="509"/>
      <c r="AH56" s="527">
        <v>126535740.02914101</v>
      </c>
      <c r="AI56" s="527">
        <v>266175271.102301</v>
      </c>
      <c r="AJ56" s="528">
        <v>-139639531.07315999</v>
      </c>
      <c r="AK56" s="167"/>
    </row>
    <row r="57" spans="1:37" x14ac:dyDescent="0.25">
      <c r="A57" s="506" t="s">
        <v>545</v>
      </c>
      <c r="B57" s="523">
        <v>0</v>
      </c>
      <c r="C57" s="523">
        <v>597571.32569676102</v>
      </c>
      <c r="D57" s="523">
        <v>19464196.722954128</v>
      </c>
      <c r="E57" s="523">
        <v>319205.93285683286</v>
      </c>
      <c r="F57" s="523">
        <v>1960248.9000202771</v>
      </c>
      <c r="G57" s="523">
        <v>0</v>
      </c>
      <c r="H57" s="524">
        <v>202999.99999999997</v>
      </c>
      <c r="I57" s="524">
        <v>6627071.8807588778</v>
      </c>
      <c r="J57" s="524">
        <v>6800373.2705957554</v>
      </c>
      <c r="K57" s="524">
        <v>10233626.195274115</v>
      </c>
      <c r="L57" s="524">
        <v>2157699.2530820728</v>
      </c>
      <c r="M57" s="524">
        <v>4930216.322261163</v>
      </c>
      <c r="N57" s="524"/>
      <c r="O57" s="524">
        <v>14480715.097082175</v>
      </c>
      <c r="P57" s="524">
        <v>67773924.900582165</v>
      </c>
      <c r="Q57" s="525">
        <v>35285779.016253404</v>
      </c>
      <c r="R57" s="525">
        <v>27355474.561262462</v>
      </c>
      <c r="S57" s="525">
        <v>23305942.930843543</v>
      </c>
      <c r="T57" s="525">
        <v>19437935.26929529</v>
      </c>
      <c r="U57" s="525">
        <v>8183869.5685023004</v>
      </c>
      <c r="V57" s="525">
        <v>30394971.734736066</v>
      </c>
      <c r="W57" s="525">
        <v>20252714.754598379</v>
      </c>
      <c r="X57" s="525">
        <v>25729207.726764411</v>
      </c>
      <c r="Y57" s="525">
        <v>3303942.6080871872</v>
      </c>
      <c r="Z57" s="514">
        <v>193249838.17034304</v>
      </c>
      <c r="AA57" s="527">
        <v>-139639531.07315999</v>
      </c>
      <c r="AB57" s="527">
        <v>150699620.50638735</v>
      </c>
      <c r="AC57" s="527"/>
      <c r="AD57" s="527"/>
      <c r="AE57" s="509">
        <f t="shared" si="8"/>
        <v>8864683.5591992568</v>
      </c>
      <c r="AF57" s="509"/>
      <c r="AG57" s="509"/>
      <c r="AH57" s="527">
        <v>11060089.43322736</v>
      </c>
      <c r="AI57" s="527">
        <v>261023763.07092521</v>
      </c>
      <c r="AJ57" s="528">
        <v>-249963673.63769785</v>
      </c>
      <c r="AK57" s="167"/>
    </row>
    <row r="58" spans="1:37" x14ac:dyDescent="0.25">
      <c r="A58" s="506" t="s">
        <v>544</v>
      </c>
      <c r="B58" s="523">
        <v>0</v>
      </c>
      <c r="C58" s="523">
        <v>0</v>
      </c>
      <c r="D58" s="523">
        <v>19437225.232628603</v>
      </c>
      <c r="E58" s="523">
        <v>318940.93577055627</v>
      </c>
      <c r="F58" s="523">
        <v>0</v>
      </c>
      <c r="G58" s="523">
        <v>0</v>
      </c>
      <c r="H58" s="524">
        <v>202999.99999999997</v>
      </c>
      <c r="I58" s="524">
        <v>6627071.8807588778</v>
      </c>
      <c r="J58" s="524">
        <v>5596642.320523899</v>
      </c>
      <c r="K58" s="524">
        <v>9633913.9875695705</v>
      </c>
      <c r="L58" s="524">
        <v>2110267.7643608227</v>
      </c>
      <c r="M58" s="524">
        <v>4958327.5396205718</v>
      </c>
      <c r="N58" s="524"/>
      <c r="O58" s="524">
        <v>14480715.097082175</v>
      </c>
      <c r="P58" s="524">
        <v>63366104.758315079</v>
      </c>
      <c r="Q58" s="525">
        <v>33874347.85560327</v>
      </c>
      <c r="R58" s="525">
        <v>26261255.578811962</v>
      </c>
      <c r="S58" s="525">
        <v>26234455.875796709</v>
      </c>
      <c r="T58" s="525">
        <v>21130939.566511489</v>
      </c>
      <c r="U58" s="525">
        <v>9350189.2059913818</v>
      </c>
      <c r="V58" s="525">
        <v>29179172.865346625</v>
      </c>
      <c r="W58" s="525">
        <v>21796068.1749864</v>
      </c>
      <c r="X58" s="525">
        <v>29066745.34423716</v>
      </c>
      <c r="Y58" s="525">
        <v>4358933.0771578681</v>
      </c>
      <c r="Z58" s="514">
        <v>201252107.54444286</v>
      </c>
      <c r="AA58" s="527">
        <v>-249963673.63769785</v>
      </c>
      <c r="AB58" s="527">
        <v>150699620.50638735</v>
      </c>
      <c r="AC58" s="527"/>
      <c r="AD58" s="527"/>
      <c r="AE58" s="509">
        <f t="shared" si="8"/>
        <v>8864683.5591992568</v>
      </c>
      <c r="AF58" s="509"/>
      <c r="AG58" s="509"/>
      <c r="AH58" s="527">
        <v>-99264053.131310493</v>
      </c>
      <c r="AI58" s="527">
        <v>264618212.30275795</v>
      </c>
      <c r="AJ58" s="528">
        <v>-363882265.43406844</v>
      </c>
      <c r="AK58" s="167"/>
    </row>
    <row r="59" spans="1:37" x14ac:dyDescent="0.25">
      <c r="A59" s="506" t="s">
        <v>543</v>
      </c>
      <c r="B59" s="523">
        <v>0</v>
      </c>
      <c r="C59" s="523">
        <v>0</v>
      </c>
      <c r="D59" s="523">
        <v>19410340.336979359</v>
      </c>
      <c r="E59" s="523">
        <v>318638.28882502724</v>
      </c>
      <c r="F59" s="523">
        <v>0</v>
      </c>
      <c r="G59" s="523">
        <v>0</v>
      </c>
      <c r="H59" s="524">
        <v>202999.99999999997</v>
      </c>
      <c r="I59" s="524">
        <v>6627071.8807588778</v>
      </c>
      <c r="J59" s="524">
        <v>3587920.2019054149</v>
      </c>
      <c r="K59" s="524">
        <v>8674940.1745441984</v>
      </c>
      <c r="L59" s="524">
        <v>2038874.2901043098</v>
      </c>
      <c r="M59" s="524">
        <v>4991329.4793066774</v>
      </c>
      <c r="N59" s="524"/>
      <c r="O59" s="524">
        <v>14480715.097082175</v>
      </c>
      <c r="P59" s="524">
        <v>60332829.749506034</v>
      </c>
      <c r="Q59" s="525">
        <v>32519373.941379137</v>
      </c>
      <c r="R59" s="525">
        <v>25210805.355659485</v>
      </c>
      <c r="S59" s="525">
        <v>29026524.549640816</v>
      </c>
      <c r="T59" s="525">
        <v>22743871.083299108</v>
      </c>
      <c r="U59" s="525">
        <v>8976181.6377517264</v>
      </c>
      <c r="V59" s="525">
        <v>28012005.950732756</v>
      </c>
      <c r="W59" s="525">
        <v>20500521.320600364</v>
      </c>
      <c r="X59" s="525">
        <v>31261869.394907534</v>
      </c>
      <c r="Y59" s="525">
        <v>5342314.1106481738</v>
      </c>
      <c r="Z59" s="514">
        <v>203593467.34461913</v>
      </c>
      <c r="AA59" s="527">
        <v>-363882265.43406844</v>
      </c>
      <c r="AB59" s="527">
        <v>150699620.50638735</v>
      </c>
      <c r="AC59" s="527"/>
      <c r="AD59" s="527"/>
      <c r="AE59" s="509">
        <f t="shared" si="8"/>
        <v>8864683.5591992568</v>
      </c>
      <c r="AF59" s="509"/>
      <c r="AG59" s="509"/>
      <c r="AH59" s="527">
        <v>-213182644.92768109</v>
      </c>
      <c r="AI59" s="527">
        <v>263926297.09412515</v>
      </c>
      <c r="AJ59" s="528">
        <v>-477108942.02180624</v>
      </c>
      <c r="AK59" s="167"/>
    </row>
    <row r="60" spans="1:37" x14ac:dyDescent="0.25">
      <c r="A60" s="506" t="s">
        <v>542</v>
      </c>
      <c r="B60" s="523">
        <v>0</v>
      </c>
      <c r="C60" s="523">
        <v>0</v>
      </c>
      <c r="D60" s="523">
        <v>19383559.702478819</v>
      </c>
      <c r="E60" s="523">
        <v>318333.32496508269</v>
      </c>
      <c r="F60" s="523">
        <v>0</v>
      </c>
      <c r="G60" s="523">
        <v>0</v>
      </c>
      <c r="H60" s="524">
        <v>202999.99999999997</v>
      </c>
      <c r="I60" s="524">
        <v>6142006.5088935578</v>
      </c>
      <c r="J60" s="524">
        <v>1789744.1020924991</v>
      </c>
      <c r="K60" s="524">
        <v>7820304.6853742292</v>
      </c>
      <c r="L60" s="524">
        <v>1974487.3310269134</v>
      </c>
      <c r="M60" s="524">
        <v>5007256.3669591239</v>
      </c>
      <c r="N60" s="524"/>
      <c r="O60" s="524">
        <v>14480715.097082175</v>
      </c>
      <c r="P60" s="524">
        <v>57119407.118872397</v>
      </c>
      <c r="Q60" s="525">
        <v>15609299.491861986</v>
      </c>
      <c r="R60" s="525">
        <v>22600181.420843326</v>
      </c>
      <c r="S60" s="525">
        <v>31687703.241986778</v>
      </c>
      <c r="T60" s="525">
        <v>23455073.110900294</v>
      </c>
      <c r="U60" s="525">
        <v>8617134.3722416572</v>
      </c>
      <c r="V60" s="525">
        <v>25111312.689825926</v>
      </c>
      <c r="W60" s="525">
        <v>12814000.721090768</v>
      </c>
      <c r="X60" s="525">
        <v>30824660.500455111</v>
      </c>
      <c r="Y60" s="525">
        <v>5778004.9669320537</v>
      </c>
      <c r="Z60" s="514">
        <v>176497370.5161379</v>
      </c>
      <c r="AA60" s="527">
        <v>-477108942.02180624</v>
      </c>
      <c r="AB60" s="527">
        <v>150699620.50638735</v>
      </c>
      <c r="AC60" s="527"/>
      <c r="AD60" s="527"/>
      <c r="AE60" s="509">
        <f t="shared" si="8"/>
        <v>8864683.5591992568</v>
      </c>
      <c r="AF60" s="509"/>
      <c r="AG60" s="509"/>
      <c r="AH60" s="527">
        <v>-326409321.51541889</v>
      </c>
      <c r="AI60" s="527">
        <v>233616777.6350103</v>
      </c>
      <c r="AJ60" s="528">
        <v>-560026099.15042925</v>
      </c>
      <c r="AK60" s="167"/>
    </row>
    <row r="61" spans="1:37" x14ac:dyDescent="0.25">
      <c r="A61" s="506" t="s">
        <v>541</v>
      </c>
      <c r="B61" s="523">
        <v>0</v>
      </c>
      <c r="C61" s="523">
        <v>0</v>
      </c>
      <c r="D61" s="523">
        <v>19356987.30066137</v>
      </c>
      <c r="E61" s="523">
        <v>318049.50294917991</v>
      </c>
      <c r="F61" s="523">
        <v>0</v>
      </c>
      <c r="G61" s="523">
        <v>0</v>
      </c>
      <c r="H61" s="524">
        <v>202999.99999999997</v>
      </c>
      <c r="I61" s="524">
        <v>6142006.5088935578</v>
      </c>
      <c r="J61" s="524">
        <v>-638964.38168448349</v>
      </c>
      <c r="K61" s="524">
        <v>6690951.5567226931</v>
      </c>
      <c r="L61" s="524">
        <v>1891785.5939744445</v>
      </c>
      <c r="M61" s="524">
        <v>5033118.2732591704</v>
      </c>
      <c r="N61" s="524"/>
      <c r="O61" s="524">
        <v>14480715.097082175</v>
      </c>
      <c r="P61" s="524">
        <v>53477649.451858103</v>
      </c>
      <c r="Q61" s="525">
        <v>14984927.512187505</v>
      </c>
      <c r="R61" s="525">
        <v>20182993.094563697</v>
      </c>
      <c r="S61" s="525">
        <v>32876294.15702204</v>
      </c>
      <c r="T61" s="525">
        <v>24129722.273042779</v>
      </c>
      <c r="U61" s="525">
        <v>7724814.7130979253</v>
      </c>
      <c r="V61" s="525">
        <v>22425547.882848553</v>
      </c>
      <c r="W61" s="525">
        <v>6719735.1818491258</v>
      </c>
      <c r="X61" s="525">
        <v>30214790.187646974</v>
      </c>
      <c r="Y61" s="525">
        <v>6195499.9447430307</v>
      </c>
      <c r="Z61" s="514">
        <v>165454324.94700167</v>
      </c>
      <c r="AA61" s="527">
        <v>-560026099.15042925</v>
      </c>
      <c r="AB61" s="527">
        <v>150699620.50638735</v>
      </c>
      <c r="AC61" s="527"/>
      <c r="AD61" s="527"/>
      <c r="AE61" s="509">
        <f t="shared" si="8"/>
        <v>8864683.5591992568</v>
      </c>
      <c r="AF61" s="509"/>
      <c r="AG61" s="509"/>
      <c r="AH61" s="527">
        <v>-409326478.6440419</v>
      </c>
      <c r="AI61" s="527">
        <v>218931974.39885977</v>
      </c>
      <c r="AJ61" s="528">
        <v>-628258453.04290164</v>
      </c>
      <c r="AK61" s="167"/>
    </row>
    <row r="62" spans="1:37" x14ac:dyDescent="0.25">
      <c r="A62" s="506" t="s">
        <v>540</v>
      </c>
      <c r="B62" s="523">
        <v>0</v>
      </c>
      <c r="C62" s="523">
        <v>0</v>
      </c>
      <c r="D62" s="523">
        <v>19330535.957622133</v>
      </c>
      <c r="E62" s="523">
        <v>317746.56638934894</v>
      </c>
      <c r="F62" s="523">
        <v>0</v>
      </c>
      <c r="G62" s="523">
        <v>0</v>
      </c>
      <c r="H62" s="524">
        <v>202999.99999999997</v>
      </c>
      <c r="I62" s="524">
        <v>5130841.8801888945</v>
      </c>
      <c r="J62" s="524">
        <v>-3045349.9740068046</v>
      </c>
      <c r="K62" s="524">
        <v>5582667.1339209042</v>
      </c>
      <c r="L62" s="524">
        <v>1810527.5581890475</v>
      </c>
      <c r="M62" s="524">
        <v>5052092.9450712204</v>
      </c>
      <c r="N62" s="524"/>
      <c r="O62" s="524">
        <v>14480715.097082175</v>
      </c>
      <c r="P62" s="524">
        <v>48862777.164456919</v>
      </c>
      <c r="Q62" s="525">
        <v>14385530.411700005</v>
      </c>
      <c r="R62" s="525">
        <v>17862492.301335257</v>
      </c>
      <c r="S62" s="525">
        <v>34005060.940232322</v>
      </c>
      <c r="T62" s="525">
        <v>24769321.208266664</v>
      </c>
      <c r="U62" s="525">
        <v>6898611.9672229467</v>
      </c>
      <c r="V62" s="525">
        <v>19847213.668150283</v>
      </c>
      <c r="W62" s="525">
        <v>-2691608.2012350042</v>
      </c>
      <c r="X62" s="525">
        <v>27966849.837083917</v>
      </c>
      <c r="Y62" s="525">
        <v>6513721.8740344271</v>
      </c>
      <c r="Z62" s="514">
        <v>149557194.00679082</v>
      </c>
      <c r="AA62" s="527">
        <v>-628258453.04290164</v>
      </c>
      <c r="AB62" s="527">
        <v>150699620.50638735</v>
      </c>
      <c r="AC62" s="527"/>
      <c r="AD62" s="527"/>
      <c r="AE62" s="509">
        <f t="shared" si="8"/>
        <v>8864683.5591992568</v>
      </c>
      <c r="AF62" s="509"/>
      <c r="AG62" s="509"/>
      <c r="AH62" s="527">
        <v>-477558832.53651428</v>
      </c>
      <c r="AI62" s="527">
        <v>198419971.17124772</v>
      </c>
      <c r="AJ62" s="528">
        <v>-675978803.707762</v>
      </c>
      <c r="AK62" s="167"/>
    </row>
    <row r="63" spans="1:37" x14ac:dyDescent="0.25">
      <c r="A63" s="506" t="s">
        <v>539</v>
      </c>
      <c r="B63" s="523">
        <v>0</v>
      </c>
      <c r="C63" s="523">
        <v>0</v>
      </c>
      <c r="D63" s="523">
        <v>19304119.657913432</v>
      </c>
      <c r="E63" s="523">
        <v>317462.7443734461</v>
      </c>
      <c r="F63" s="523">
        <v>0</v>
      </c>
      <c r="G63" s="523">
        <v>0</v>
      </c>
      <c r="H63" s="524">
        <v>202999.99999999997</v>
      </c>
      <c r="I63" s="524">
        <v>1724725.2635890711</v>
      </c>
      <c r="J63" s="524">
        <v>-5394791.0788903814</v>
      </c>
      <c r="K63" s="524">
        <v>4510605.7785906605</v>
      </c>
      <c r="L63" s="524">
        <v>1731725.3603711063</v>
      </c>
      <c r="M63" s="524">
        <v>5074670.9351125583</v>
      </c>
      <c r="N63" s="524"/>
      <c r="O63" s="524">
        <v>14480715.097082175</v>
      </c>
      <c r="P63" s="524">
        <v>41952233.758142069</v>
      </c>
      <c r="Q63" s="525">
        <v>13810109.195232004</v>
      </c>
      <c r="R63" s="525">
        <v>15634811.539835947</v>
      </c>
      <c r="S63" s="525">
        <v>35076457.959366739</v>
      </c>
      <c r="T63" s="525">
        <v>25375312.246950857</v>
      </c>
      <c r="U63" s="525">
        <v>6105457.3311829679</v>
      </c>
      <c r="V63" s="525">
        <v>17372012.822039943</v>
      </c>
      <c r="W63" s="525">
        <v>-12549519.123654408</v>
      </c>
      <c r="X63" s="525">
        <v>25129329.05426294</v>
      </c>
      <c r="Y63" s="525">
        <v>6789622.394046057</v>
      </c>
      <c r="Z63" s="514">
        <v>132743593.41926304</v>
      </c>
      <c r="AA63" s="527">
        <v>-675978803.707762</v>
      </c>
      <c r="AB63" s="527">
        <v>150699620.50638735</v>
      </c>
      <c r="AC63" s="527"/>
      <c r="AD63" s="527"/>
      <c r="AE63" s="509">
        <f t="shared" si="8"/>
        <v>8864683.5591992568</v>
      </c>
      <c r="AF63" s="509"/>
      <c r="AG63" s="509"/>
      <c r="AH63" s="527">
        <v>-525279183.20137465</v>
      </c>
      <c r="AI63" s="527">
        <v>174695827.17740512</v>
      </c>
      <c r="AJ63" s="528">
        <v>-699975010.37877977</v>
      </c>
      <c r="AK63" s="167"/>
    </row>
    <row r="64" spans="1:37" x14ac:dyDescent="0.25">
      <c r="A64" s="506" t="s">
        <v>538</v>
      </c>
      <c r="B64" s="523">
        <v>0</v>
      </c>
      <c r="C64" s="523">
        <v>0</v>
      </c>
      <c r="D64" s="523">
        <v>19278032.649666037</v>
      </c>
      <c r="E64" s="523">
        <v>317178.92235754331</v>
      </c>
      <c r="F64" s="523">
        <v>0</v>
      </c>
      <c r="G64" s="523">
        <v>0</v>
      </c>
      <c r="H64" s="524">
        <v>202999.99999999997</v>
      </c>
      <c r="I64" s="524"/>
      <c r="J64" s="524">
        <v>-7743893.8026519399</v>
      </c>
      <c r="K64" s="524">
        <v>3449275.1029045549</v>
      </c>
      <c r="L64" s="524">
        <v>1653675.916879057</v>
      </c>
      <c r="M64" s="524">
        <v>5085539.8992882883</v>
      </c>
      <c r="N64" s="524"/>
      <c r="O64" s="524">
        <v>14480715.097082175</v>
      </c>
      <c r="P64" s="524">
        <v>36723523.785525717</v>
      </c>
      <c r="Q64" s="525">
        <v>13257704.827422723</v>
      </c>
      <c r="R64" s="525">
        <v>13496238.008796614</v>
      </c>
      <c r="S64" s="525">
        <v>36092841.100452051</v>
      </c>
      <c r="T64" s="525">
        <v>25949079.824652608</v>
      </c>
      <c r="U64" s="525">
        <v>5344028.8805845855</v>
      </c>
      <c r="V64" s="525">
        <v>14995820.009774018</v>
      </c>
      <c r="W64" s="525">
        <v>-23219338.892660059</v>
      </c>
      <c r="X64" s="525">
        <v>21788174.596486103</v>
      </c>
      <c r="Y64" s="525">
        <v>7028277.852201405</v>
      </c>
      <c r="Z64" s="514">
        <v>114732826.20771004</v>
      </c>
      <c r="AA64" s="527">
        <v>-699975010.37877977</v>
      </c>
      <c r="AB64" s="527">
        <v>150699620.50638735</v>
      </c>
      <c r="AC64" s="527"/>
      <c r="AD64" s="527"/>
      <c r="AE64" s="509">
        <f t="shared" si="8"/>
        <v>8864683.5591992568</v>
      </c>
      <c r="AF64" s="509"/>
      <c r="AG64" s="509"/>
      <c r="AH64" s="527">
        <v>-549275389.87239242</v>
      </c>
      <c r="AI64" s="527">
        <v>151456349.99323577</v>
      </c>
      <c r="AJ64" s="528">
        <v>-700731739.86562824</v>
      </c>
      <c r="AK64" s="167"/>
    </row>
    <row r="65" spans="1:39" x14ac:dyDescent="0.25">
      <c r="A65" s="506" t="s">
        <v>537</v>
      </c>
      <c r="B65" s="523">
        <v>0</v>
      </c>
      <c r="C65" s="523">
        <v>0</v>
      </c>
      <c r="D65" s="523">
        <v>19251945.931032948</v>
      </c>
      <c r="E65" s="523">
        <v>316914.21488556865</v>
      </c>
      <c r="F65" s="523">
        <v>0</v>
      </c>
      <c r="G65" s="523">
        <v>0</v>
      </c>
      <c r="H65" s="524">
        <v>202999.99999999997</v>
      </c>
      <c r="I65" s="524"/>
      <c r="J65" s="524">
        <v>-10007087.712347982</v>
      </c>
      <c r="K65" s="524">
        <v>2436244.0629432625</v>
      </c>
      <c r="L65" s="524">
        <v>1578888.6712728061</v>
      </c>
      <c r="M65" s="524">
        <v>5109593.1792917056</v>
      </c>
      <c r="N65" s="524"/>
      <c r="O65" s="524">
        <v>14480715.097082175</v>
      </c>
      <c r="P65" s="524">
        <v>33370213.444160488</v>
      </c>
      <c r="Q65" s="525">
        <v>12727396.634325815</v>
      </c>
      <c r="R65" s="525">
        <v>11443207.418998854</v>
      </c>
      <c r="S65" s="525">
        <v>37056471.708596662</v>
      </c>
      <c r="T65" s="525">
        <v>26491952.798908409</v>
      </c>
      <c r="U65" s="525">
        <v>4613057.5680101421</v>
      </c>
      <c r="V65" s="525">
        <v>12714674.90999873</v>
      </c>
      <c r="W65" s="525">
        <v>-34748241.42215614</v>
      </c>
      <c r="X65" s="525">
        <v>17843690.237613007</v>
      </c>
      <c r="Y65" s="525">
        <v>7224169.0493606189</v>
      </c>
      <c r="Z65" s="514">
        <v>95366378.903656095</v>
      </c>
      <c r="AA65" s="527">
        <v>-700731739.86562824</v>
      </c>
      <c r="AB65" s="527">
        <v>150699620.50638735</v>
      </c>
      <c r="AC65" s="527"/>
      <c r="AD65" s="527"/>
      <c r="AE65" s="509">
        <f t="shared" si="8"/>
        <v>8864683.5591992568</v>
      </c>
      <c r="AF65" s="509"/>
      <c r="AG65" s="509"/>
      <c r="AH65" s="527">
        <v>-550032119.35924089</v>
      </c>
      <c r="AI65" s="527">
        <v>128736592.34781659</v>
      </c>
      <c r="AJ65" s="528">
        <v>-678768711.70705748</v>
      </c>
      <c r="AK65" s="167"/>
    </row>
    <row r="66" spans="1:39" x14ac:dyDescent="0.25">
      <c r="A66" s="506" t="s">
        <v>536</v>
      </c>
      <c r="B66" s="523">
        <v>0</v>
      </c>
      <c r="C66" s="523">
        <v>0</v>
      </c>
      <c r="D66" s="523">
        <v>18793747.143931072</v>
      </c>
      <c r="E66" s="523">
        <v>316611.27832573769</v>
      </c>
      <c r="F66" s="523">
        <v>0</v>
      </c>
      <c r="G66" s="523">
        <v>0</v>
      </c>
      <c r="H66" s="524">
        <v>202999.99999999997</v>
      </c>
      <c r="I66" s="524"/>
      <c r="J66" s="524">
        <v>-12178099.703638418</v>
      </c>
      <c r="K66" s="524">
        <v>1473613.5082585765</v>
      </c>
      <c r="L66" s="524">
        <v>1507503.7824508627</v>
      </c>
      <c r="M66" s="524">
        <v>5129138.4250386506</v>
      </c>
      <c r="N66" s="524"/>
      <c r="O66" s="524">
        <v>14480715.097082175</v>
      </c>
      <c r="P66" s="524">
        <v>29726229.531448655</v>
      </c>
      <c r="Q66" s="525">
        <v>12218300.768952783</v>
      </c>
      <c r="R66" s="525">
        <v>9472298.0527930036</v>
      </c>
      <c r="S66" s="525">
        <v>37969520.371154666</v>
      </c>
      <c r="T66" s="525">
        <v>27005206.673357755</v>
      </c>
      <c r="U66" s="525">
        <v>3911325.1079386752</v>
      </c>
      <c r="V66" s="525">
        <v>10524775.61421445</v>
      </c>
      <c r="W66" s="525">
        <v>-46736398.656570256</v>
      </c>
      <c r="X66" s="525">
        <v>13501817.424740076</v>
      </c>
      <c r="Y66" s="525">
        <v>7389389.907391347</v>
      </c>
      <c r="Z66" s="514">
        <v>75256235.263972491</v>
      </c>
      <c r="AA66" s="527">
        <v>-678768711.70705748</v>
      </c>
      <c r="AB66" s="527">
        <v>150699620.50638735</v>
      </c>
      <c r="AC66" s="527"/>
      <c r="AD66" s="527"/>
      <c r="AE66" s="509">
        <f t="shared" si="8"/>
        <v>8864683.5591992568</v>
      </c>
      <c r="AF66" s="509"/>
      <c r="AG66" s="509"/>
      <c r="AH66" s="527">
        <v>-528069091.20067012</v>
      </c>
      <c r="AI66" s="527">
        <v>104982464.79542115</v>
      </c>
      <c r="AJ66" s="528">
        <v>-633051555.99609125</v>
      </c>
      <c r="AK66" s="167"/>
    </row>
    <row r="67" spans="1:39" x14ac:dyDescent="0.25">
      <c r="A67" s="506" t="s">
        <v>535</v>
      </c>
      <c r="B67" s="523">
        <v>0</v>
      </c>
      <c r="C67" s="523">
        <v>0</v>
      </c>
      <c r="D67" s="523">
        <v>18767920.498941123</v>
      </c>
      <c r="E67" s="523">
        <v>316327.4563098349</v>
      </c>
      <c r="F67" s="523">
        <v>0</v>
      </c>
      <c r="G67" s="523">
        <v>0</v>
      </c>
      <c r="H67" s="524">
        <v>202999.99999999997</v>
      </c>
      <c r="I67" s="524"/>
      <c r="J67" s="524">
        <v>-14414822.781917136</v>
      </c>
      <c r="K67" s="524">
        <v>491924.47445764416</v>
      </c>
      <c r="L67" s="524">
        <v>1434881.18226462</v>
      </c>
      <c r="M67" s="524">
        <v>5152477.8589922888</v>
      </c>
      <c r="N67" s="524"/>
      <c r="O67" s="524">
        <v>14480715.097082175</v>
      </c>
      <c r="P67" s="524">
        <v>26432423.786130551</v>
      </c>
      <c r="Q67" s="525">
        <v>11729568.738194671</v>
      </c>
      <c r="R67" s="525">
        <v>9093406.1306812838</v>
      </c>
      <c r="S67" s="525">
        <v>38834070.549555846</v>
      </c>
      <c r="T67" s="525">
        <v>27490065.732897107</v>
      </c>
      <c r="U67" s="525">
        <v>3237661.9462700668</v>
      </c>
      <c r="V67" s="525">
        <v>10103784.589645872</v>
      </c>
      <c r="W67" s="525">
        <v>-59106161.565278061</v>
      </c>
      <c r="X67" s="525">
        <v>8814951.9946670756</v>
      </c>
      <c r="Y67" s="525">
        <v>7527351.7544000335</v>
      </c>
      <c r="Z67" s="514">
        <v>57724699.871033892</v>
      </c>
      <c r="AA67" s="527">
        <v>-633051555.99609125</v>
      </c>
      <c r="AB67" s="527">
        <v>150699620.50638735</v>
      </c>
      <c r="AC67" s="527"/>
      <c r="AD67" s="527"/>
      <c r="AE67" s="509">
        <f t="shared" si="8"/>
        <v>8864683.5591992568</v>
      </c>
      <c r="AF67" s="509"/>
      <c r="AG67" s="509"/>
      <c r="AH67" s="527">
        <v>-482351935.48970389</v>
      </c>
      <c r="AI67" s="527">
        <v>84157123.65716444</v>
      </c>
      <c r="AJ67" s="528">
        <v>-566509059.14686835</v>
      </c>
      <c r="AK67" s="167"/>
    </row>
    <row r="68" spans="1:39" x14ac:dyDescent="0.25">
      <c r="A68" s="506" t="s">
        <v>534</v>
      </c>
      <c r="B68" s="523">
        <v>0</v>
      </c>
      <c r="C68" s="523">
        <v>0</v>
      </c>
      <c r="D68" s="523">
        <v>16070781.602889361</v>
      </c>
      <c r="E68" s="523">
        <v>316062.45922355825</v>
      </c>
      <c r="F68" s="523">
        <v>0</v>
      </c>
      <c r="G68" s="523">
        <v>0</v>
      </c>
      <c r="H68" s="524">
        <v>202999.99999999997</v>
      </c>
      <c r="I68" s="529"/>
      <c r="J68" s="524">
        <v>-16609728.458958102</v>
      </c>
      <c r="K68" s="524">
        <v>-461859.84593685059</v>
      </c>
      <c r="L68" s="524">
        <v>1364157.8561997828</v>
      </c>
      <c r="M68" s="524">
        <v>5168541.9969354467</v>
      </c>
      <c r="N68" s="524"/>
      <c r="O68" s="524">
        <v>14480715.097082175</v>
      </c>
      <c r="P68" s="524">
        <v>20531670.707435369</v>
      </c>
      <c r="Q68" s="525">
        <v>0</v>
      </c>
      <c r="R68" s="525">
        <v>7573865.4746863926</v>
      </c>
      <c r="S68" s="525">
        <v>39652122.065854743</v>
      </c>
      <c r="T68" s="525">
        <v>27352615.404232614</v>
      </c>
      <c r="U68" s="525">
        <v>3108155.4684192641</v>
      </c>
      <c r="V68" s="525">
        <v>8415406.0829848796</v>
      </c>
      <c r="W68" s="525">
        <v>-76562245.544981107</v>
      </c>
      <c r="X68" s="525">
        <v>3410939.4306889474</v>
      </c>
      <c r="Y68" s="525">
        <v>7616297.4936763393</v>
      </c>
      <c r="Z68" s="514">
        <v>20567155.875562076</v>
      </c>
      <c r="AA68" s="527">
        <v>-566509059.14686835</v>
      </c>
      <c r="AB68" s="527">
        <v>150699620.50638735</v>
      </c>
      <c r="AC68" s="527"/>
      <c r="AD68" s="527"/>
      <c r="AE68" s="509">
        <f t="shared" si="8"/>
        <v>8864683.5591992568</v>
      </c>
      <c r="AF68" s="509"/>
      <c r="AG68" s="509"/>
      <c r="AH68" s="527">
        <v>-415809438.640481</v>
      </c>
      <c r="AI68" s="527">
        <v>41098826.582997441</v>
      </c>
      <c r="AJ68" s="528">
        <v>-456908265.22347844</v>
      </c>
      <c r="AK68" s="167"/>
    </row>
    <row r="69" spans="1:39" x14ac:dyDescent="0.25">
      <c r="A69" s="506" t="s">
        <v>533</v>
      </c>
      <c r="B69" s="523">
        <v>0</v>
      </c>
      <c r="C69" s="523">
        <v>0</v>
      </c>
      <c r="D69" s="523">
        <v>15003585.626650523</v>
      </c>
      <c r="E69" s="523">
        <v>315759.81227802928</v>
      </c>
      <c r="F69" s="523">
        <v>0</v>
      </c>
      <c r="G69" s="523">
        <v>0</v>
      </c>
      <c r="H69" s="524">
        <v>202999.99999999997</v>
      </c>
      <c r="I69" s="529"/>
      <c r="J69" s="524">
        <v>-18883035.281990737</v>
      </c>
      <c r="K69" s="524">
        <v>-8143438.0234016795</v>
      </c>
      <c r="L69" s="524">
        <v>-543985.34359523351</v>
      </c>
      <c r="M69" s="524">
        <v>5184904.7404116467</v>
      </c>
      <c r="N69" s="524"/>
      <c r="O69" s="524">
        <v>14480715.097082175</v>
      </c>
      <c r="P69" s="524">
        <v>7617506.6274347249</v>
      </c>
      <c r="Q69" s="525">
        <v>0</v>
      </c>
      <c r="R69" s="525">
        <v>6179317.8010850558</v>
      </c>
      <c r="S69" s="525">
        <v>39453861.455525458</v>
      </c>
      <c r="T69" s="525">
        <v>27215852.327211443</v>
      </c>
      <c r="U69" s="525">
        <v>2588771.5839273399</v>
      </c>
      <c r="V69" s="525">
        <v>6865908.6678722836</v>
      </c>
      <c r="W69" s="525">
        <v>-86699132.065990075</v>
      </c>
      <c r="X69" s="525">
        <v>-2437373.2200138341</v>
      </c>
      <c r="Y69" s="525">
        <v>7672369.7110946374</v>
      </c>
      <c r="Z69" s="514">
        <v>839576.26071229298</v>
      </c>
      <c r="AA69" s="527">
        <v>-456908265.22347844</v>
      </c>
      <c r="AB69" s="527">
        <v>150699620.50638735</v>
      </c>
      <c r="AC69" s="527"/>
      <c r="AD69" s="527"/>
      <c r="AE69" s="509">
        <f t="shared" si="8"/>
        <v>8864683.5591992568</v>
      </c>
      <c r="AF69" s="509"/>
      <c r="AG69" s="509"/>
      <c r="AH69" s="527">
        <v>-306208644.71709108</v>
      </c>
      <c r="AI69" s="527">
        <v>8457082.8881470188</v>
      </c>
      <c r="AJ69" s="528">
        <v>-314665727.60523808</v>
      </c>
      <c r="AK69" s="167"/>
    </row>
    <row r="70" spans="1:39" x14ac:dyDescent="0.25">
      <c r="A70" s="506" t="s">
        <v>532</v>
      </c>
      <c r="B70" s="523">
        <v>0</v>
      </c>
      <c r="C70" s="523">
        <v>0</v>
      </c>
      <c r="D70" s="523">
        <v>10717024.037384791</v>
      </c>
      <c r="E70" s="523">
        <v>299099.45994453429</v>
      </c>
      <c r="F70" s="523">
        <v>0</v>
      </c>
      <c r="G70" s="523">
        <v>0</v>
      </c>
      <c r="H70" s="524">
        <v>203001</v>
      </c>
      <c r="I70" s="529"/>
      <c r="J70" s="524">
        <v>0</v>
      </c>
      <c r="K70" s="524">
        <v>0</v>
      </c>
      <c r="L70" s="524">
        <v>0</v>
      </c>
      <c r="M70" s="524">
        <v>5184904.7404116467</v>
      </c>
      <c r="N70" s="524"/>
      <c r="O70" s="524">
        <v>14480715.097082175</v>
      </c>
      <c r="P70" s="524">
        <v>30884744.334823146</v>
      </c>
      <c r="Q70" s="525">
        <v>0</v>
      </c>
      <c r="R70" s="525">
        <v>0</v>
      </c>
      <c r="S70" s="525">
        <v>0</v>
      </c>
      <c r="T70" s="525">
        <v>0</v>
      </c>
      <c r="U70" s="525">
        <v>0</v>
      </c>
      <c r="V70" s="525">
        <v>0</v>
      </c>
      <c r="W70" s="525">
        <v>-102023725.42467526</v>
      </c>
      <c r="X70" s="525">
        <v>-53851763.130203135</v>
      </c>
      <c r="Y70" s="525">
        <v>-3232433.0865648198</v>
      </c>
      <c r="Z70" s="514">
        <v>-159107921.64144319</v>
      </c>
      <c r="AA70" s="527">
        <v>-314665727.60523808</v>
      </c>
      <c r="AB70" s="527">
        <v>150699620.50638735</v>
      </c>
      <c r="AC70" s="527"/>
      <c r="AD70" s="527"/>
      <c r="AE70" s="509">
        <f t="shared" si="8"/>
        <v>8864683.5591992568</v>
      </c>
      <c r="AF70" s="509"/>
      <c r="AG70" s="509"/>
      <c r="AH70" s="527">
        <v>-163966107.09885073</v>
      </c>
      <c r="AI70" s="527">
        <v>-128223177.30662005</v>
      </c>
      <c r="AJ70" s="528">
        <v>-35742929.792230681</v>
      </c>
      <c r="AK70" s="530"/>
      <c r="AL70" s="531">
        <v>-35742929.792230681</v>
      </c>
      <c r="AM70" s="532">
        <v>2556726061.8057499</v>
      </c>
    </row>
    <row r="72" spans="1:39" x14ac:dyDescent="0.25">
      <c r="A72" s="521" t="s">
        <v>212</v>
      </c>
      <c r="B72" s="522">
        <v>0.70538159360122976</v>
      </c>
    </row>
    <row r="73" spans="1:39" ht="60" x14ac:dyDescent="0.25">
      <c r="A73" s="501" t="s">
        <v>583</v>
      </c>
      <c r="B73" s="501" t="s">
        <v>570</v>
      </c>
      <c r="C73" s="501" t="s">
        <v>569</v>
      </c>
      <c r="D73" s="501" t="s">
        <v>582</v>
      </c>
      <c r="E73" s="501" t="s">
        <v>567</v>
      </c>
      <c r="F73" s="501" t="s">
        <v>581</v>
      </c>
      <c r="G73" s="501" t="s">
        <v>580</v>
      </c>
      <c r="H73" s="501" t="s">
        <v>579</v>
      </c>
      <c r="I73" s="502" t="s">
        <v>578</v>
      </c>
      <c r="J73" s="502" t="s">
        <v>577</v>
      </c>
      <c r="K73" s="502" t="s">
        <v>576</v>
      </c>
      <c r="L73" s="502" t="s">
        <v>575</v>
      </c>
      <c r="M73" s="501" t="s">
        <v>574</v>
      </c>
      <c r="N73" s="501" t="s">
        <v>573</v>
      </c>
      <c r="O73" s="501" t="s">
        <v>572</v>
      </c>
      <c r="P73" s="502" t="s">
        <v>571</v>
      </c>
      <c r="Q73" s="503" t="s">
        <v>570</v>
      </c>
      <c r="R73" s="503" t="s">
        <v>569</v>
      </c>
      <c r="S73" s="503" t="s">
        <v>568</v>
      </c>
      <c r="T73" s="503" t="s">
        <v>567</v>
      </c>
      <c r="U73" s="503" t="s">
        <v>566</v>
      </c>
      <c r="V73" s="503" t="s">
        <v>565</v>
      </c>
      <c r="W73" s="503" t="s">
        <v>564</v>
      </c>
      <c r="X73" s="503" t="s">
        <v>563</v>
      </c>
      <c r="Y73" s="503" t="s">
        <v>562</v>
      </c>
      <c r="Z73" s="503" t="s">
        <v>561</v>
      </c>
      <c r="AA73" s="502" t="s">
        <v>560</v>
      </c>
      <c r="AB73" s="502" t="s">
        <v>559</v>
      </c>
      <c r="AC73" s="502"/>
      <c r="AD73" s="502"/>
      <c r="AE73" s="502" t="str">
        <f>$AE$7</f>
        <v>DY Collections (Calendar Year) adjusted for 5.88% increase.</v>
      </c>
      <c r="AF73" s="502"/>
      <c r="AG73" s="502"/>
      <c r="AH73" s="502" t="s">
        <v>558</v>
      </c>
      <c r="AI73" s="501" t="s">
        <v>557</v>
      </c>
      <c r="AJ73" s="501" t="s">
        <v>556</v>
      </c>
    </row>
    <row r="74" spans="1:39" x14ac:dyDescent="0.25">
      <c r="A74" s="506" t="s">
        <v>555</v>
      </c>
      <c r="B74" s="523">
        <v>97349277.80708088</v>
      </c>
      <c r="C74" s="523">
        <v>34302115.081670769</v>
      </c>
      <c r="D74" s="523">
        <v>21153728.817258116</v>
      </c>
      <c r="E74" s="523">
        <v>0</v>
      </c>
      <c r="F74" s="523">
        <v>0</v>
      </c>
      <c r="G74" s="523">
        <v>0</v>
      </c>
      <c r="H74" s="524">
        <v>23095359.600711424</v>
      </c>
      <c r="I74" s="524">
        <v>4022753.2299999995</v>
      </c>
      <c r="J74" s="523">
        <v>0</v>
      </c>
      <c r="K74" s="523">
        <v>0</v>
      </c>
      <c r="L74" s="523">
        <v>0</v>
      </c>
      <c r="M74" s="524">
        <v>4766319.8739403263</v>
      </c>
      <c r="N74" s="524"/>
      <c r="O74" s="524">
        <v>7943866.4565672111</v>
      </c>
      <c r="P74" s="524">
        <v>192633420.86722872</v>
      </c>
      <c r="Q74" s="525">
        <v>0</v>
      </c>
      <c r="R74" s="525">
        <v>0</v>
      </c>
      <c r="S74" s="525">
        <v>0</v>
      </c>
      <c r="T74" s="525">
        <v>0</v>
      </c>
      <c r="U74" s="525">
        <v>0</v>
      </c>
      <c r="V74" s="525">
        <v>0</v>
      </c>
      <c r="W74" s="525">
        <v>0</v>
      </c>
      <c r="X74" s="525">
        <v>0</v>
      </c>
      <c r="Y74" s="525">
        <v>0</v>
      </c>
      <c r="Z74" s="514">
        <v>0</v>
      </c>
      <c r="AA74" s="527">
        <v>204555086.45917991</v>
      </c>
      <c r="AB74" s="527">
        <v>160340838.45917991</v>
      </c>
      <c r="AC74" s="527"/>
      <c r="AD74" s="527"/>
      <c r="AE74" s="509">
        <f t="shared" ref="AE74:AE97" si="9">AB74*$AE$5</f>
        <v>9431814.0270105824</v>
      </c>
      <c r="AF74" s="509"/>
      <c r="AG74" s="509"/>
      <c r="AH74" s="527">
        <v>364895924.91835982</v>
      </c>
      <c r="AI74" s="527">
        <v>192633420.86722872</v>
      </c>
      <c r="AJ74" s="528">
        <v>172262504.0511311</v>
      </c>
    </row>
    <row r="75" spans="1:39" x14ac:dyDescent="0.25">
      <c r="A75" s="506" t="s">
        <v>554</v>
      </c>
      <c r="B75" s="523">
        <v>43769066.843130246</v>
      </c>
      <c r="C75" s="523">
        <v>42820673.53133586</v>
      </c>
      <c r="D75" s="523">
        <v>59387707.207531936</v>
      </c>
      <c r="E75" s="523">
        <v>0</v>
      </c>
      <c r="F75" s="523">
        <v>0</v>
      </c>
      <c r="G75" s="523">
        <v>0</v>
      </c>
      <c r="H75" s="524">
        <v>18588255.383493654</v>
      </c>
      <c r="I75" s="524">
        <v>13774212.278173922</v>
      </c>
      <c r="J75" s="523">
        <v>0</v>
      </c>
      <c r="K75" s="523">
        <v>0</v>
      </c>
      <c r="L75" s="523">
        <v>0</v>
      </c>
      <c r="M75" s="524">
        <v>9834525.4696835726</v>
      </c>
      <c r="N75" s="524">
        <v>10000000</v>
      </c>
      <c r="O75" s="524">
        <v>35269079.680061489</v>
      </c>
      <c r="P75" s="524">
        <v>233443520.39341071</v>
      </c>
      <c r="Q75" s="525">
        <v>0</v>
      </c>
      <c r="R75" s="525">
        <v>0</v>
      </c>
      <c r="S75" s="525">
        <v>0</v>
      </c>
      <c r="T75" s="525">
        <v>0</v>
      </c>
      <c r="U75" s="525">
        <v>0</v>
      </c>
      <c r="V75" s="525">
        <v>0</v>
      </c>
      <c r="W75" s="525">
        <v>0</v>
      </c>
      <c r="X75" s="525">
        <v>0</v>
      </c>
      <c r="Y75" s="525">
        <v>0</v>
      </c>
      <c r="Z75" s="514">
        <v>0</v>
      </c>
      <c r="AA75" s="527">
        <v>172262504.0511311</v>
      </c>
      <c r="AB75" s="527">
        <v>334084827.7045005</v>
      </c>
      <c r="AC75" s="527"/>
      <c r="AD75" s="527"/>
      <c r="AE75" s="509">
        <f t="shared" si="9"/>
        <v>19652048.688500028</v>
      </c>
      <c r="AF75" s="509"/>
      <c r="AG75" s="509"/>
      <c r="AH75" s="527">
        <v>506347331.75563157</v>
      </c>
      <c r="AI75" s="527">
        <v>233443520.39341071</v>
      </c>
      <c r="AJ75" s="528">
        <v>272903811.36222088</v>
      </c>
    </row>
    <row r="76" spans="1:39" x14ac:dyDescent="0.25">
      <c r="A76" s="506" t="s">
        <v>553</v>
      </c>
      <c r="B76" s="523">
        <v>46730717.271104053</v>
      </c>
      <c r="C76" s="523">
        <v>52605779.196010046</v>
      </c>
      <c r="D76" s="523">
        <v>80228547.089789987</v>
      </c>
      <c r="E76" s="523">
        <v>0</v>
      </c>
      <c r="F76" s="523">
        <v>0</v>
      </c>
      <c r="G76" s="523">
        <v>0</v>
      </c>
      <c r="H76" s="524">
        <v>17220344.595163539</v>
      </c>
      <c r="I76" s="524">
        <v>16234169.923732867</v>
      </c>
      <c r="J76" s="523">
        <v>0</v>
      </c>
      <c r="K76" s="523">
        <v>0</v>
      </c>
      <c r="L76" s="523">
        <v>0</v>
      </c>
      <c r="M76" s="524">
        <v>12431567.473247776</v>
      </c>
      <c r="N76" s="524"/>
      <c r="O76" s="524">
        <v>35269079.680061489</v>
      </c>
      <c r="P76" s="524">
        <v>260720205.22910973</v>
      </c>
      <c r="Q76" s="525">
        <v>0</v>
      </c>
      <c r="R76" s="525">
        <v>0</v>
      </c>
      <c r="S76" s="525">
        <v>0</v>
      </c>
      <c r="T76" s="525">
        <v>0</v>
      </c>
      <c r="U76" s="525">
        <v>0</v>
      </c>
      <c r="V76" s="525">
        <v>0</v>
      </c>
      <c r="W76" s="525">
        <v>0</v>
      </c>
      <c r="X76" s="525">
        <v>0</v>
      </c>
      <c r="Y76" s="525">
        <v>0</v>
      </c>
      <c r="Z76" s="514">
        <v>0</v>
      </c>
      <c r="AA76" s="527">
        <v>272903811.36222088</v>
      </c>
      <c r="AB76" s="527">
        <v>425587002.41775018</v>
      </c>
      <c r="AC76" s="527"/>
      <c r="AD76" s="527"/>
      <c r="AE76" s="509">
        <f t="shared" si="9"/>
        <v>25034529.553985305</v>
      </c>
      <c r="AF76" s="509"/>
      <c r="AG76" s="509"/>
      <c r="AH76" s="527">
        <v>698490813.77997112</v>
      </c>
      <c r="AI76" s="527">
        <v>260720205.22910973</v>
      </c>
      <c r="AJ76" s="528">
        <v>437770608.55086136</v>
      </c>
      <c r="AK76" s="167"/>
    </row>
    <row r="77" spans="1:39" x14ac:dyDescent="0.25">
      <c r="A77" s="506" t="s">
        <v>552</v>
      </c>
      <c r="B77" s="523">
        <v>170098664.56529862</v>
      </c>
      <c r="C77" s="523">
        <v>63855261.28128995</v>
      </c>
      <c r="D77" s="523">
        <v>93051349.666662529</v>
      </c>
      <c r="E77" s="523">
        <v>0</v>
      </c>
      <c r="F77" s="523">
        <v>0</v>
      </c>
      <c r="G77" s="523">
        <v>0</v>
      </c>
      <c r="H77" s="524">
        <v>14320007.415898787</v>
      </c>
      <c r="I77" s="524">
        <v>15893275.783732867</v>
      </c>
      <c r="J77" s="523">
        <v>0</v>
      </c>
      <c r="K77" s="523">
        <v>0</v>
      </c>
      <c r="L77" s="523">
        <v>0</v>
      </c>
      <c r="M77" s="524">
        <v>12207796.425872406</v>
      </c>
      <c r="N77" s="524"/>
      <c r="O77" s="524">
        <v>35269079.680061489</v>
      </c>
      <c r="P77" s="524">
        <v>404695434.81881666</v>
      </c>
      <c r="Q77" s="525">
        <v>0</v>
      </c>
      <c r="R77" s="525">
        <v>0</v>
      </c>
      <c r="S77" s="525">
        <v>0</v>
      </c>
      <c r="T77" s="525">
        <v>0</v>
      </c>
      <c r="U77" s="525">
        <v>0</v>
      </c>
      <c r="V77" s="525">
        <v>0</v>
      </c>
      <c r="W77" s="525">
        <v>0</v>
      </c>
      <c r="X77" s="525">
        <v>0</v>
      </c>
      <c r="Y77" s="525">
        <v>0</v>
      </c>
      <c r="Z77" s="514">
        <v>0</v>
      </c>
      <c r="AA77" s="527">
        <v>437770608.55086136</v>
      </c>
      <c r="AB77" s="527">
        <v>418637876.44009328</v>
      </c>
      <c r="AC77" s="527"/>
      <c r="AD77" s="527"/>
      <c r="AE77" s="509">
        <f t="shared" si="9"/>
        <v>24625757.437652547</v>
      </c>
      <c r="AF77" s="509"/>
      <c r="AG77" s="509"/>
      <c r="AH77" s="527">
        <v>856408484.99095464</v>
      </c>
      <c r="AI77" s="527">
        <v>404695434.81881666</v>
      </c>
      <c r="AJ77" s="528">
        <v>451713050.17213798</v>
      </c>
      <c r="AK77" s="167"/>
    </row>
    <row r="78" spans="1:39" x14ac:dyDescent="0.25">
      <c r="A78" s="506" t="s">
        <v>551</v>
      </c>
      <c r="B78" s="523">
        <v>21216476.036916912</v>
      </c>
      <c r="C78" s="523">
        <v>44825930.209480658</v>
      </c>
      <c r="D78" s="523">
        <v>99607904.732120857</v>
      </c>
      <c r="E78" s="523">
        <v>617227.23432250973</v>
      </c>
      <c r="F78" s="523">
        <v>4454784.5507690469</v>
      </c>
      <c r="G78" s="523">
        <v>0</v>
      </c>
      <c r="H78" s="524">
        <v>14162541.685608782</v>
      </c>
      <c r="I78" s="524">
        <v>15893275.783732867</v>
      </c>
      <c r="J78" s="523">
        <v>3114288.1607936593</v>
      </c>
      <c r="K78" s="523">
        <v>0</v>
      </c>
      <c r="L78" s="523">
        <v>0</v>
      </c>
      <c r="M78" s="524">
        <v>12138791.617203886</v>
      </c>
      <c r="N78" s="524">
        <v>10000000</v>
      </c>
      <c r="O78" s="524">
        <v>35269079.680061489</v>
      </c>
      <c r="P78" s="524">
        <v>261300299.69101068</v>
      </c>
      <c r="Q78" s="525">
        <v>109793449.47638761</v>
      </c>
      <c r="R78" s="525">
        <v>20634176.287307918</v>
      </c>
      <c r="S78" s="525">
        <v>6157217.5042378232</v>
      </c>
      <c r="T78" s="525">
        <v>18017622.080281988</v>
      </c>
      <c r="U78" s="525">
        <v>2912156.4809121094</v>
      </c>
      <c r="V78" s="525">
        <v>19838793.380660862</v>
      </c>
      <c r="W78" s="525">
        <v>0</v>
      </c>
      <c r="X78" s="525">
        <v>0</v>
      </c>
      <c r="Y78" s="525">
        <v>0</v>
      </c>
      <c r="Z78" s="514">
        <v>177353415.20978832</v>
      </c>
      <c r="AA78" s="527">
        <v>451713050.17213798</v>
      </c>
      <c r="AB78" s="527">
        <v>416841690.5059967</v>
      </c>
      <c r="AC78" s="527"/>
      <c r="AD78" s="527"/>
      <c r="AE78" s="509">
        <f t="shared" si="9"/>
        <v>24520099.441529218</v>
      </c>
      <c r="AF78" s="509"/>
      <c r="AG78" s="509"/>
      <c r="AH78" s="527">
        <v>868554740.67813468</v>
      </c>
      <c r="AI78" s="527">
        <v>438653714.90079904</v>
      </c>
      <c r="AJ78" s="528">
        <v>429901025.77733564</v>
      </c>
      <c r="AK78" s="167"/>
    </row>
    <row r="79" spans="1:39" x14ac:dyDescent="0.25">
      <c r="A79" s="506" t="s">
        <v>550</v>
      </c>
      <c r="B79" s="523">
        <v>0</v>
      </c>
      <c r="C79" s="523">
        <v>31891694.269977365</v>
      </c>
      <c r="D79" s="523">
        <v>71241996.873415813</v>
      </c>
      <c r="E79" s="523">
        <v>781157.21129384183</v>
      </c>
      <c r="F79" s="523">
        <v>5480232.3370852405</v>
      </c>
      <c r="G79" s="523">
        <v>0</v>
      </c>
      <c r="H79" s="524">
        <v>10125431.694168944</v>
      </c>
      <c r="I79" s="524">
        <v>15893275.783732867</v>
      </c>
      <c r="J79" s="523">
        <v>3020326.9350360446</v>
      </c>
      <c r="K79" s="523">
        <v>14263514.521724612</v>
      </c>
      <c r="L79" s="523">
        <v>0</v>
      </c>
      <c r="M79" s="524">
        <v>11989718.975085922</v>
      </c>
      <c r="N79" s="524"/>
      <c r="O79" s="524">
        <v>35269079.680061489</v>
      </c>
      <c r="P79" s="524">
        <v>199956428.28158212</v>
      </c>
      <c r="Q79" s="525">
        <v>105401711.49733211</v>
      </c>
      <c r="R79" s="525">
        <v>30826879.88369545</v>
      </c>
      <c r="S79" s="525">
        <v>15601232.50434603</v>
      </c>
      <c r="T79" s="525">
        <v>23497811.205328662</v>
      </c>
      <c r="U79" s="525">
        <v>6764133.1279829023</v>
      </c>
      <c r="V79" s="525">
        <v>31164019.598869231</v>
      </c>
      <c r="W79" s="525">
        <v>0</v>
      </c>
      <c r="X79" s="525">
        <v>2036854.4337257878</v>
      </c>
      <c r="Y79" s="525">
        <v>0</v>
      </c>
      <c r="Z79" s="514">
        <v>215292642.25128019</v>
      </c>
      <c r="AA79" s="527">
        <v>429901025.77733564</v>
      </c>
      <c r="AB79" s="527">
        <v>411704590.86891198</v>
      </c>
      <c r="AC79" s="527"/>
      <c r="AD79" s="527"/>
      <c r="AE79" s="509">
        <f t="shared" si="9"/>
        <v>24217917.109935999</v>
      </c>
      <c r="AF79" s="509"/>
      <c r="AG79" s="509"/>
      <c r="AH79" s="527">
        <v>841605616.64624763</v>
      </c>
      <c r="AI79" s="527">
        <v>415249070.53286231</v>
      </c>
      <c r="AJ79" s="528">
        <v>426356546.11338532</v>
      </c>
      <c r="AK79" s="167"/>
    </row>
    <row r="80" spans="1:39" x14ac:dyDescent="0.25">
      <c r="A80" s="506" t="s">
        <v>549</v>
      </c>
      <c r="B80" s="523">
        <v>0</v>
      </c>
      <c r="C80" s="523">
        <v>26298478.141518641</v>
      </c>
      <c r="D80" s="523">
        <v>51349119.314798459</v>
      </c>
      <c r="E80" s="523">
        <v>780368.59467219573</v>
      </c>
      <c r="F80" s="523">
        <v>5455746.4258265607</v>
      </c>
      <c r="G80" s="523">
        <v>0</v>
      </c>
      <c r="H80" s="524">
        <v>8012431.7104763286</v>
      </c>
      <c r="I80" s="524">
        <v>15893275.783732867</v>
      </c>
      <c r="J80" s="523">
        <v>35029947.634698205</v>
      </c>
      <c r="K80" s="523">
        <v>34058771.087050252</v>
      </c>
      <c r="L80" s="523">
        <v>2961622.661509098</v>
      </c>
      <c r="M80" s="524">
        <v>11913056.699079983</v>
      </c>
      <c r="N80" s="524"/>
      <c r="O80" s="524">
        <v>35269079.680061489</v>
      </c>
      <c r="P80" s="524">
        <v>227021897.7334241</v>
      </c>
      <c r="Q80" s="525">
        <v>101185643.03743881</v>
      </c>
      <c r="R80" s="525">
        <v>40611875.336227477</v>
      </c>
      <c r="S80" s="525">
        <v>24619035.38594852</v>
      </c>
      <c r="T80" s="525">
        <v>28727788.295332182</v>
      </c>
      <c r="U80" s="525">
        <v>10248032.00655582</v>
      </c>
      <c r="V80" s="525">
        <v>42036236.76834926</v>
      </c>
      <c r="W80" s="525">
        <v>0</v>
      </c>
      <c r="X80" s="525">
        <v>2014908.534483419</v>
      </c>
      <c r="Y80" s="525">
        <v>0</v>
      </c>
      <c r="Z80" s="514">
        <v>249443519.36433551</v>
      </c>
      <c r="AA80" s="527">
        <v>426356546.11338532</v>
      </c>
      <c r="AB80" s="527">
        <v>409825345.05896723</v>
      </c>
      <c r="AC80" s="527"/>
      <c r="AD80" s="527"/>
      <c r="AE80" s="509">
        <f t="shared" si="9"/>
        <v>24107373.238762777</v>
      </c>
      <c r="AF80" s="509"/>
      <c r="AG80" s="509"/>
      <c r="AH80" s="527">
        <v>836181891.17235255</v>
      </c>
      <c r="AI80" s="527">
        <v>476465417.0977596</v>
      </c>
      <c r="AJ80" s="528">
        <v>359716474.07459295</v>
      </c>
      <c r="AK80" s="167"/>
    </row>
    <row r="81" spans="1:37" x14ac:dyDescent="0.25">
      <c r="A81" s="506" t="s">
        <v>548</v>
      </c>
      <c r="B81" s="523">
        <v>0</v>
      </c>
      <c r="C81" s="523">
        <v>23362047.927042458</v>
      </c>
      <c r="D81" s="523">
        <v>47606066.908117838</v>
      </c>
      <c r="E81" s="523">
        <v>779676.61532887293</v>
      </c>
      <c r="F81" s="523">
        <v>5431362.0895173606</v>
      </c>
      <c r="G81" s="523">
        <v>0</v>
      </c>
      <c r="H81" s="524">
        <v>4480482.7749063233</v>
      </c>
      <c r="I81" s="524">
        <v>15893275.783732867</v>
      </c>
      <c r="J81" s="523">
        <v>35333266.230862021</v>
      </c>
      <c r="K81" s="523">
        <v>34029499.86395292</v>
      </c>
      <c r="L81" s="523">
        <v>5917857.5853415076</v>
      </c>
      <c r="M81" s="524">
        <v>11894429.870504905</v>
      </c>
      <c r="N81" s="524">
        <v>10000000</v>
      </c>
      <c r="O81" s="524">
        <v>35269079.680061489</v>
      </c>
      <c r="P81" s="524">
        <v>229997045.32936856</v>
      </c>
      <c r="Q81" s="525">
        <v>97138217.315941244</v>
      </c>
      <c r="R81" s="525">
        <v>50005470.970658228</v>
      </c>
      <c r="S81" s="525">
        <v>33227916.89137803</v>
      </c>
      <c r="T81" s="525">
        <v>33717716.854044475</v>
      </c>
      <c r="U81" s="525">
        <v>13592574.929985818</v>
      </c>
      <c r="V81" s="525">
        <v>52473565.2510501</v>
      </c>
      <c r="W81" s="525">
        <v>48118059.937772252</v>
      </c>
      <c r="X81" s="525">
        <v>22020692.963026956</v>
      </c>
      <c r="Y81" s="525">
        <v>0</v>
      </c>
      <c r="Z81" s="514">
        <v>350294215.11385709</v>
      </c>
      <c r="AA81" s="527">
        <v>359716474.07459295</v>
      </c>
      <c r="AB81" s="527">
        <v>409988158.14116162</v>
      </c>
      <c r="AC81" s="527"/>
      <c r="AD81" s="527"/>
      <c r="AE81" s="509">
        <f t="shared" si="9"/>
        <v>24116950.478891861</v>
      </c>
      <c r="AF81" s="509"/>
      <c r="AG81" s="509"/>
      <c r="AH81" s="527">
        <v>769704632.21575451</v>
      </c>
      <c r="AI81" s="527">
        <v>580291260.44322562</v>
      </c>
      <c r="AJ81" s="528">
        <v>189413371.77252889</v>
      </c>
      <c r="AK81" s="167"/>
    </row>
    <row r="82" spans="1:37" x14ac:dyDescent="0.25">
      <c r="A82" s="506" t="s">
        <v>547</v>
      </c>
      <c r="B82" s="523">
        <v>0</v>
      </c>
      <c r="C82" s="523">
        <v>22459954.452288873</v>
      </c>
      <c r="D82" s="523">
        <v>47539572.70143383</v>
      </c>
      <c r="E82" s="523">
        <v>778934.55389240442</v>
      </c>
      <c r="F82" s="523">
        <v>5407029.9514460862</v>
      </c>
      <c r="G82" s="523">
        <v>0</v>
      </c>
      <c r="H82" s="524">
        <v>4478132.259204451</v>
      </c>
      <c r="I82" s="524">
        <v>15893275.783732867</v>
      </c>
      <c r="J82" s="523">
        <v>27340779.29000752</v>
      </c>
      <c r="K82" s="523">
        <v>30161966.33630199</v>
      </c>
      <c r="L82" s="523">
        <v>5641281.2382334033</v>
      </c>
      <c r="M82" s="524">
        <v>11925482.396519691</v>
      </c>
      <c r="N82" s="524"/>
      <c r="O82" s="524">
        <v>35269079.680061489</v>
      </c>
      <c r="P82" s="524">
        <v>206895488.64312261</v>
      </c>
      <c r="Q82" s="525">
        <v>93252688.623303592</v>
      </c>
      <c r="R82" s="525">
        <v>59023322.779711746</v>
      </c>
      <c r="S82" s="525">
        <v>41444474.921986021</v>
      </c>
      <c r="T82" s="525">
        <v>38477353.06995564</v>
      </c>
      <c r="U82" s="525">
        <v>16803336.136478618</v>
      </c>
      <c r="V82" s="525">
        <v>62493400.594442889</v>
      </c>
      <c r="W82" s="525">
        <v>64712941.81476561</v>
      </c>
      <c r="X82" s="525">
        <v>42104461.868170477</v>
      </c>
      <c r="Y82" s="525">
        <v>2966344.6543065202</v>
      </c>
      <c r="Z82" s="514">
        <v>421278324.46312118</v>
      </c>
      <c r="AA82" s="527">
        <v>189413371.77252889</v>
      </c>
      <c r="AB82" s="527">
        <v>411453110.88446397</v>
      </c>
      <c r="AC82" s="527"/>
      <c r="AD82" s="527"/>
      <c r="AE82" s="509">
        <f t="shared" si="9"/>
        <v>24203124.169674352</v>
      </c>
      <c r="AF82" s="509"/>
      <c r="AG82" s="509"/>
      <c r="AH82" s="527">
        <v>600866482.65699291</v>
      </c>
      <c r="AI82" s="527">
        <v>628173813.10624385</v>
      </c>
      <c r="AJ82" s="528">
        <v>-27307330.449250937</v>
      </c>
      <c r="AK82" s="167"/>
    </row>
    <row r="83" spans="1:37" x14ac:dyDescent="0.25">
      <c r="A83" s="506" t="s">
        <v>546</v>
      </c>
      <c r="B83" s="523">
        <v>0</v>
      </c>
      <c r="C83" s="523">
        <v>16720107.830441887</v>
      </c>
      <c r="D83" s="523">
        <v>47472825.262757719</v>
      </c>
      <c r="E83" s="523">
        <v>778243.27993067517</v>
      </c>
      <c r="F83" s="523">
        <v>5383054.7364611737</v>
      </c>
      <c r="G83" s="523">
        <v>0</v>
      </c>
      <c r="H83" s="524">
        <v>4338008.6485485407</v>
      </c>
      <c r="I83" s="524">
        <v>15893275.783732867</v>
      </c>
      <c r="J83" s="523">
        <v>17955138.019693192</v>
      </c>
      <c r="K83" s="523">
        <v>25690995.901192825</v>
      </c>
      <c r="L83" s="523">
        <v>5324486.149536307</v>
      </c>
      <c r="M83" s="524">
        <v>11935336.689052543</v>
      </c>
      <c r="N83" s="524"/>
      <c r="O83" s="524">
        <v>35269079.680061489</v>
      </c>
      <c r="P83" s="524">
        <v>186760551.98140922</v>
      </c>
      <c r="Q83" s="525">
        <v>89522581.07837145</v>
      </c>
      <c r="R83" s="525">
        <v>67680460.516403124</v>
      </c>
      <c r="S83" s="525">
        <v>49284642.257838383</v>
      </c>
      <c r="T83" s="525">
        <v>43016062.112780012</v>
      </c>
      <c r="U83" s="525">
        <v>19885666.894711707</v>
      </c>
      <c r="V83" s="525">
        <v>72112442.524099976</v>
      </c>
      <c r="W83" s="525">
        <v>62593359.180420138</v>
      </c>
      <c r="X83" s="525">
        <v>55364369.084623605</v>
      </c>
      <c r="Y83" s="525">
        <v>5669629.3851591991</v>
      </c>
      <c r="Z83" s="514">
        <v>465129213.03440756</v>
      </c>
      <c r="AA83" s="527">
        <v>-27307330.449250937</v>
      </c>
      <c r="AB83" s="527">
        <v>411918354.75480801</v>
      </c>
      <c r="AC83" s="527"/>
      <c r="AD83" s="527"/>
      <c r="AE83" s="509">
        <f t="shared" si="9"/>
        <v>24230491.456165176</v>
      </c>
      <c r="AF83" s="509"/>
      <c r="AG83" s="509"/>
      <c r="AH83" s="527">
        <v>384611024.30555707</v>
      </c>
      <c r="AI83" s="527">
        <v>651889765.01581681</v>
      </c>
      <c r="AJ83" s="528">
        <v>-267278740.71025974</v>
      </c>
      <c r="AK83" s="167"/>
    </row>
    <row r="84" spans="1:37" x14ac:dyDescent="0.25">
      <c r="A84" s="506" t="s">
        <v>545</v>
      </c>
      <c r="B84" s="523">
        <v>0</v>
      </c>
      <c r="C84" s="523">
        <v>1455438.5304331933</v>
      </c>
      <c r="D84" s="523">
        <v>47406795.902543895</v>
      </c>
      <c r="E84" s="523">
        <v>777454.66330902907</v>
      </c>
      <c r="F84" s="523">
        <v>4774361.9140396453</v>
      </c>
      <c r="G84" s="523">
        <v>0</v>
      </c>
      <c r="H84" s="524">
        <v>4303453.6786395097</v>
      </c>
      <c r="I84" s="524">
        <v>15893275.783732867</v>
      </c>
      <c r="J84" s="523">
        <v>16562918.690605946</v>
      </c>
      <c r="K84" s="523">
        <v>24924913.947779678</v>
      </c>
      <c r="L84" s="523">
        <v>5255269.9485051492</v>
      </c>
      <c r="M84" s="524">
        <v>12007983.800800409</v>
      </c>
      <c r="N84" s="524">
        <v>10000000</v>
      </c>
      <c r="O84" s="524">
        <v>35269079.680061489</v>
      </c>
      <c r="P84" s="524">
        <v>178630946.54045084</v>
      </c>
      <c r="Q84" s="525">
        <v>85941677.835236579</v>
      </c>
      <c r="R84" s="525">
        <v>66626710.457238808</v>
      </c>
      <c r="S84" s="525">
        <v>56763713.168592982</v>
      </c>
      <c r="T84" s="525">
        <v>47342833.77806329</v>
      </c>
      <c r="U84" s="525">
        <v>19932547.941703357</v>
      </c>
      <c r="V84" s="525">
        <v>74029678.285820901</v>
      </c>
      <c r="W84" s="525">
        <v>49327302.251904368</v>
      </c>
      <c r="X84" s="525">
        <v>62665791.802157305</v>
      </c>
      <c r="Y84" s="525">
        <v>8047048.3896514922</v>
      </c>
      <c r="Z84" s="514">
        <v>470677303.9103691</v>
      </c>
      <c r="AA84" s="527">
        <v>-267278740.71025974</v>
      </c>
      <c r="AB84" s="527">
        <v>415348992.70139438</v>
      </c>
      <c r="AC84" s="527"/>
      <c r="AD84" s="527"/>
      <c r="AE84" s="509">
        <f t="shared" si="9"/>
        <v>24432293.688317318</v>
      </c>
      <c r="AF84" s="509"/>
      <c r="AG84" s="509"/>
      <c r="AH84" s="527">
        <v>148070251.99113464</v>
      </c>
      <c r="AI84" s="527">
        <v>649308250.45081997</v>
      </c>
      <c r="AJ84" s="528">
        <v>-501237998.45968533</v>
      </c>
      <c r="AK84" s="167"/>
    </row>
    <row r="85" spans="1:37" x14ac:dyDescent="0.25">
      <c r="A85" s="506" t="s">
        <v>544</v>
      </c>
      <c r="B85" s="523">
        <v>0</v>
      </c>
      <c r="C85" s="523">
        <v>0</v>
      </c>
      <c r="D85" s="523">
        <v>47341104.420113407</v>
      </c>
      <c r="E85" s="523">
        <v>776809.23915088386</v>
      </c>
      <c r="F85" s="523">
        <v>0</v>
      </c>
      <c r="G85" s="523">
        <v>0</v>
      </c>
      <c r="H85" s="524">
        <v>4261079.6921323007</v>
      </c>
      <c r="I85" s="524">
        <v>15893275.783732867</v>
      </c>
      <c r="J85" s="523">
        <v>13631124.058447558</v>
      </c>
      <c r="K85" s="523">
        <v>23464261.107306413</v>
      </c>
      <c r="L85" s="523">
        <v>5139746.3059337428</v>
      </c>
      <c r="M85" s="524">
        <v>12076451.190587828</v>
      </c>
      <c r="N85" s="524"/>
      <c r="O85" s="524">
        <v>35269079.680061489</v>
      </c>
      <c r="P85" s="524">
        <v>157852931.47746646</v>
      </c>
      <c r="Q85" s="525">
        <v>82504010.72182712</v>
      </c>
      <c r="R85" s="525">
        <v>63961642.038949251</v>
      </c>
      <c r="S85" s="525">
        <v>63896368.959912054</v>
      </c>
      <c r="T85" s="525">
        <v>51466297.505986243</v>
      </c>
      <c r="U85" s="525">
        <v>22773223.968490973</v>
      </c>
      <c r="V85" s="525">
        <v>71068491.154388055</v>
      </c>
      <c r="W85" s="525">
        <v>53086277.854506239</v>
      </c>
      <c r="X85" s="525">
        <v>70794663.848646745</v>
      </c>
      <c r="Y85" s="525">
        <v>10616572.247133967</v>
      </c>
      <c r="Z85" s="514">
        <v>490167548.29984069</v>
      </c>
      <c r="AA85" s="527">
        <v>-501237998.45968533</v>
      </c>
      <c r="AB85" s="527">
        <v>418582949.03196639</v>
      </c>
      <c r="AC85" s="527"/>
      <c r="AD85" s="527"/>
      <c r="AE85" s="509">
        <f t="shared" si="9"/>
        <v>24622526.413645081</v>
      </c>
      <c r="AF85" s="509"/>
      <c r="AG85" s="509"/>
      <c r="AH85" s="527">
        <v>-82655049.427718937</v>
      </c>
      <c r="AI85" s="527">
        <v>648020479.77730715</v>
      </c>
      <c r="AJ85" s="528">
        <v>-730675529.20502615</v>
      </c>
      <c r="AK85" s="167"/>
    </row>
    <row r="86" spans="1:37" x14ac:dyDescent="0.25">
      <c r="A86" s="506" t="s">
        <v>543</v>
      </c>
      <c r="B86" s="523">
        <v>0</v>
      </c>
      <c r="C86" s="523">
        <v>0</v>
      </c>
      <c r="D86" s="523">
        <v>47275623.846779406</v>
      </c>
      <c r="E86" s="523">
        <v>776072.11538557056</v>
      </c>
      <c r="F86" s="523">
        <v>0</v>
      </c>
      <c r="G86" s="523">
        <v>0</v>
      </c>
      <c r="H86" s="524">
        <v>4261079.6921323007</v>
      </c>
      <c r="I86" s="524">
        <v>15893275.783732867</v>
      </c>
      <c r="J86" s="523">
        <v>8738701.2753398065</v>
      </c>
      <c r="K86" s="523">
        <v>21128594.422620423</v>
      </c>
      <c r="L86" s="523">
        <v>4965861.0996225737</v>
      </c>
      <c r="M86" s="524">
        <v>12156830.373009583</v>
      </c>
      <c r="N86" s="524"/>
      <c r="O86" s="524">
        <v>35269079.680061489</v>
      </c>
      <c r="P86" s="524">
        <v>150465118.28868401</v>
      </c>
      <c r="Q86" s="525">
        <v>79203850.292954043</v>
      </c>
      <c r="R86" s="525">
        <v>61403176.357391283</v>
      </c>
      <c r="S86" s="525">
        <v>70696702.49798806</v>
      </c>
      <c r="T86" s="525">
        <v>55394736.799397066</v>
      </c>
      <c r="U86" s="525">
        <v>21862295.009751335</v>
      </c>
      <c r="V86" s="525">
        <v>68225751.508212537</v>
      </c>
      <c r="W86" s="525">
        <v>49930857.356950767</v>
      </c>
      <c r="X86" s="525">
        <v>76141085.246462435</v>
      </c>
      <c r="Y86" s="525">
        <v>13011684.905142087</v>
      </c>
      <c r="Z86" s="514">
        <v>495870139.9742496</v>
      </c>
      <c r="AA86" s="527">
        <v>-730675529.20502615</v>
      </c>
      <c r="AB86" s="527">
        <v>422379359.92819607</v>
      </c>
      <c r="AC86" s="527"/>
      <c r="AD86" s="527"/>
      <c r="AE86" s="509">
        <f t="shared" si="9"/>
        <v>24845844.701658592</v>
      </c>
      <c r="AF86" s="509"/>
      <c r="AG86" s="509"/>
      <c r="AH86" s="527">
        <v>-308296169.27683008</v>
      </c>
      <c r="AI86" s="527">
        <v>646335258.26293361</v>
      </c>
      <c r="AJ86" s="528">
        <v>-954631427.53976369</v>
      </c>
      <c r="AK86" s="167"/>
    </row>
    <row r="87" spans="1:37" x14ac:dyDescent="0.25">
      <c r="A87" s="506" t="s">
        <v>542</v>
      </c>
      <c r="B87" s="523">
        <v>0</v>
      </c>
      <c r="C87" s="523">
        <v>0</v>
      </c>
      <c r="D87" s="523">
        <v>47210397.210819103</v>
      </c>
      <c r="E87" s="523">
        <v>775329.34856750851</v>
      </c>
      <c r="F87" s="523">
        <v>0</v>
      </c>
      <c r="G87" s="523">
        <v>0</v>
      </c>
      <c r="H87" s="524">
        <v>4261079.6921323007</v>
      </c>
      <c r="I87" s="524">
        <v>14729978.877595581</v>
      </c>
      <c r="J87" s="523">
        <v>4359082.1945208693</v>
      </c>
      <c r="K87" s="523">
        <v>19047053.078642357</v>
      </c>
      <c r="L87" s="523">
        <v>4809040.8890989153</v>
      </c>
      <c r="M87" s="524">
        <v>12195621.735584125</v>
      </c>
      <c r="N87" s="524"/>
      <c r="O87" s="524">
        <v>35269079.680061489</v>
      </c>
      <c r="P87" s="524">
        <v>142656662.70702225</v>
      </c>
      <c r="Q87" s="525">
        <v>38017848.140617937</v>
      </c>
      <c r="R87" s="525">
        <v>55044767.746047258</v>
      </c>
      <c r="S87" s="525">
        <v>77178241.753058657</v>
      </c>
      <c r="T87" s="525">
        <v>57126933.090251639</v>
      </c>
      <c r="U87" s="525">
        <v>20987803.209361281</v>
      </c>
      <c r="V87" s="525">
        <v>61160853.051163636</v>
      </c>
      <c r="W87" s="525">
        <v>31209647.411927879</v>
      </c>
      <c r="X87" s="525">
        <v>75076223.792321876</v>
      </c>
      <c r="Y87" s="525">
        <v>14072849.04124519</v>
      </c>
      <c r="Z87" s="514">
        <v>429875167.23599529</v>
      </c>
      <c r="AA87" s="527">
        <v>-954631427.53976369</v>
      </c>
      <c r="AB87" s="527">
        <v>424212020.72689438</v>
      </c>
      <c r="AC87" s="527"/>
      <c r="AD87" s="527"/>
      <c r="AE87" s="509">
        <f t="shared" si="9"/>
        <v>24953648.278052609</v>
      </c>
      <c r="AF87" s="509"/>
      <c r="AG87" s="509"/>
      <c r="AH87" s="527">
        <v>-530419406.81286931</v>
      </c>
      <c r="AI87" s="527">
        <v>572531829.94301748</v>
      </c>
      <c r="AJ87" s="528">
        <v>-1102951236.7558868</v>
      </c>
      <c r="AK87" s="167"/>
    </row>
    <row r="88" spans="1:37" x14ac:dyDescent="0.25">
      <c r="A88" s="506" t="s">
        <v>541</v>
      </c>
      <c r="B88" s="523">
        <v>0</v>
      </c>
      <c r="C88" s="523">
        <v>0</v>
      </c>
      <c r="D88" s="523">
        <v>47145677.744224593</v>
      </c>
      <c r="E88" s="523">
        <v>774638.07460577926</v>
      </c>
      <c r="F88" s="523">
        <v>0</v>
      </c>
      <c r="G88" s="523">
        <v>0</v>
      </c>
      <c r="H88" s="524">
        <v>4261079.6921323007</v>
      </c>
      <c r="I88" s="524">
        <v>14729978.877595581</v>
      </c>
      <c r="J88" s="523">
        <v>-1556255.0287928907</v>
      </c>
      <c r="K88" s="523">
        <v>16296412.297831494</v>
      </c>
      <c r="L88" s="523">
        <v>4607613.3950678548</v>
      </c>
      <c r="M88" s="524">
        <v>12258610.726656701</v>
      </c>
      <c r="N88" s="524"/>
      <c r="O88" s="524">
        <v>35269079.680061489</v>
      </c>
      <c r="P88" s="524">
        <v>133786835.45938291</v>
      </c>
      <c r="Q88" s="525">
        <v>36497134.214993216</v>
      </c>
      <c r="R88" s="525">
        <v>49157488.898993038</v>
      </c>
      <c r="S88" s="525">
        <v>80073161.472722411</v>
      </c>
      <c r="T88" s="525">
        <v>58770101.600657895</v>
      </c>
      <c r="U88" s="525">
        <v>18814478.691377569</v>
      </c>
      <c r="V88" s="525">
        <v>54619432.109992258</v>
      </c>
      <c r="W88" s="525">
        <v>16366517.397010589</v>
      </c>
      <c r="X88" s="525">
        <v>73590829.976289377</v>
      </c>
      <c r="Y88" s="525">
        <v>15089695.484236658</v>
      </c>
      <c r="Z88" s="514">
        <v>402978839.84627301</v>
      </c>
      <c r="AA88" s="527">
        <v>-1102951236.7558868</v>
      </c>
      <c r="AB88" s="527">
        <v>427187635.13579118</v>
      </c>
      <c r="AC88" s="527"/>
      <c r="AD88" s="527"/>
      <c r="AE88" s="509">
        <f t="shared" si="9"/>
        <v>25128684.419752423</v>
      </c>
      <c r="AF88" s="509"/>
      <c r="AG88" s="509"/>
      <c r="AH88" s="527">
        <v>-675763601.62009561</v>
      </c>
      <c r="AI88" s="527">
        <v>536765675.3056559</v>
      </c>
      <c r="AJ88" s="528">
        <v>-1212529276.9257514</v>
      </c>
      <c r="AK88" s="167"/>
    </row>
    <row r="89" spans="1:37" x14ac:dyDescent="0.25">
      <c r="A89" s="506" t="s">
        <v>540</v>
      </c>
      <c r="B89" s="523">
        <v>0</v>
      </c>
      <c r="C89" s="523">
        <v>0</v>
      </c>
      <c r="D89" s="523">
        <v>47081253.127136216</v>
      </c>
      <c r="E89" s="523">
        <v>773900.24545887241</v>
      </c>
      <c r="F89" s="523">
        <v>0</v>
      </c>
      <c r="G89" s="523">
        <v>0</v>
      </c>
      <c r="H89" s="524">
        <v>4261079.6921323007</v>
      </c>
      <c r="I89" s="524">
        <v>12304968.635004908</v>
      </c>
      <c r="J89" s="523">
        <v>-7417222.8489297004</v>
      </c>
      <c r="K89" s="523">
        <v>13597086.238730764</v>
      </c>
      <c r="L89" s="523">
        <v>4409702.164887107</v>
      </c>
      <c r="M89" s="524">
        <v>12304825.240757391</v>
      </c>
      <c r="N89" s="524"/>
      <c r="O89" s="524">
        <v>35269079.680061489</v>
      </c>
      <c r="P89" s="524">
        <v>122584672.17523934</v>
      </c>
      <c r="Q89" s="525">
        <v>35037248.846393488</v>
      </c>
      <c r="R89" s="525">
        <v>43505701.205820985</v>
      </c>
      <c r="S89" s="525">
        <v>82822374.156650707</v>
      </c>
      <c r="T89" s="525">
        <v>60327902.141477816</v>
      </c>
      <c r="U89" s="525">
        <v>16802187.842424832</v>
      </c>
      <c r="V89" s="525">
        <v>48339668.006467752</v>
      </c>
      <c r="W89" s="525">
        <v>-6555653.0516916662</v>
      </c>
      <c r="X89" s="525">
        <v>68115769.745596141</v>
      </c>
      <c r="Y89" s="525">
        <v>15864753.518655321</v>
      </c>
      <c r="Z89" s="514">
        <v>364259952.41179538</v>
      </c>
      <c r="AA89" s="527">
        <v>-1212529276.9257514</v>
      </c>
      <c r="AB89" s="527">
        <v>429370630.38209999</v>
      </c>
      <c r="AC89" s="527"/>
      <c r="AD89" s="527"/>
      <c r="AE89" s="509">
        <f t="shared" si="9"/>
        <v>25257095.904829409</v>
      </c>
      <c r="AF89" s="509"/>
      <c r="AG89" s="509"/>
      <c r="AH89" s="527">
        <v>-783158646.54365146</v>
      </c>
      <c r="AI89" s="527">
        <v>486844624.5870347</v>
      </c>
      <c r="AJ89" s="528">
        <v>-1270003271.1306863</v>
      </c>
      <c r="AK89" s="167"/>
    </row>
    <row r="90" spans="1:37" x14ac:dyDescent="0.25">
      <c r="A90" s="506" t="s">
        <v>539</v>
      </c>
      <c r="B90" s="523">
        <v>0</v>
      </c>
      <c r="C90" s="523">
        <v>0</v>
      </c>
      <c r="D90" s="523">
        <v>47016913.861220658</v>
      </c>
      <c r="E90" s="523">
        <v>773208.97149714327</v>
      </c>
      <c r="F90" s="523">
        <v>0</v>
      </c>
      <c r="G90" s="523">
        <v>0</v>
      </c>
      <c r="H90" s="524">
        <v>4261079.6921323007</v>
      </c>
      <c r="I90" s="524">
        <v>4136282.6555589437</v>
      </c>
      <c r="J90" s="523">
        <v>-13139497.26536699</v>
      </c>
      <c r="K90" s="523">
        <v>10985984.707517309</v>
      </c>
      <c r="L90" s="523">
        <v>4217772.348219078</v>
      </c>
      <c r="M90" s="524">
        <v>12359815.959409403</v>
      </c>
      <c r="N90" s="524"/>
      <c r="O90" s="524">
        <v>35269079.680061489</v>
      </c>
      <c r="P90" s="524">
        <v>105880640.61024934</v>
      </c>
      <c r="Q90" s="525">
        <v>33635758.89253775</v>
      </c>
      <c r="R90" s="525">
        <v>38079985.020375796</v>
      </c>
      <c r="S90" s="525">
        <v>85431857.637507662</v>
      </c>
      <c r="T90" s="525">
        <v>61803847.637640677</v>
      </c>
      <c r="U90" s="525">
        <v>14870388.627430204</v>
      </c>
      <c r="V90" s="525">
        <v>42311094.467084222</v>
      </c>
      <c r="W90" s="525">
        <v>-30565478.773061939</v>
      </c>
      <c r="X90" s="525">
        <v>61204733.521749109</v>
      </c>
      <c r="Y90" s="525">
        <v>16536733.967053292</v>
      </c>
      <c r="Z90" s="514">
        <v>323308920.99831676</v>
      </c>
      <c r="AA90" s="527">
        <v>-1270003271.1306863</v>
      </c>
      <c r="AB90" s="527">
        <v>431968420.40625679</v>
      </c>
      <c r="AC90" s="527"/>
      <c r="AD90" s="527"/>
      <c r="AE90" s="509">
        <f t="shared" si="9"/>
        <v>25409907.082720987</v>
      </c>
      <c r="AF90" s="509"/>
      <c r="AG90" s="509"/>
      <c r="AH90" s="527">
        <v>-838034850.72442949</v>
      </c>
      <c r="AI90" s="527">
        <v>429189561.60856611</v>
      </c>
      <c r="AJ90" s="528">
        <v>-1267224412.3329957</v>
      </c>
      <c r="AK90" s="167"/>
    </row>
    <row r="91" spans="1:37" x14ac:dyDescent="0.25">
      <c r="A91" s="506" t="s">
        <v>538</v>
      </c>
      <c r="B91" s="523">
        <v>0</v>
      </c>
      <c r="C91" s="523">
        <v>0</v>
      </c>
      <c r="D91" s="523">
        <v>46953376.614177026</v>
      </c>
      <c r="E91" s="523">
        <v>772517.69753541402</v>
      </c>
      <c r="F91" s="523">
        <v>0</v>
      </c>
      <c r="G91" s="523">
        <v>0</v>
      </c>
      <c r="H91" s="524">
        <v>4261079.6921323007</v>
      </c>
      <c r="I91" s="524"/>
      <c r="J91" s="523">
        <v>-18860947.524248894</v>
      </c>
      <c r="K91" s="523">
        <v>8401018.7084825486</v>
      </c>
      <c r="L91" s="523">
        <v>4027675.9321891675</v>
      </c>
      <c r="M91" s="524">
        <v>12386288.295960709</v>
      </c>
      <c r="N91" s="524"/>
      <c r="O91" s="524">
        <v>35269079.680061489</v>
      </c>
      <c r="P91" s="524">
        <v>93210089.096289754</v>
      </c>
      <c r="Q91" s="525">
        <v>32290328.536836237</v>
      </c>
      <c r="R91" s="525">
        <v>32871297.482348427</v>
      </c>
      <c r="S91" s="525">
        <v>87907349.886894733</v>
      </c>
      <c r="T91" s="525">
        <v>63201310.006047919</v>
      </c>
      <c r="U91" s="525">
        <v>13015861.381035358</v>
      </c>
      <c r="V91" s="525">
        <v>36523663.869276032</v>
      </c>
      <c r="W91" s="525">
        <v>-56552781.270352416</v>
      </c>
      <c r="X91" s="525">
        <v>53067052.336483039</v>
      </c>
      <c r="Y91" s="525">
        <v>17118000.728627697</v>
      </c>
      <c r="Z91" s="514">
        <v>279442082.95719701</v>
      </c>
      <c r="AA91" s="527">
        <v>-1267224412.3329957</v>
      </c>
      <c r="AB91" s="527">
        <v>433218617.73495358</v>
      </c>
      <c r="AC91" s="527"/>
      <c r="AD91" s="527"/>
      <c r="AE91" s="509">
        <f t="shared" si="9"/>
        <v>25483448.102056094</v>
      </c>
      <c r="AF91" s="509"/>
      <c r="AG91" s="509"/>
      <c r="AH91" s="527">
        <v>-834005794.59804201</v>
      </c>
      <c r="AI91" s="527">
        <v>372652172.05348676</v>
      </c>
      <c r="AJ91" s="528">
        <v>-1206657966.6515288</v>
      </c>
      <c r="AK91" s="167"/>
    </row>
    <row r="92" spans="1:37" x14ac:dyDescent="0.25">
      <c r="A92" s="506" t="s">
        <v>537</v>
      </c>
      <c r="B92" s="523">
        <v>0</v>
      </c>
      <c r="C92" s="523">
        <v>0</v>
      </c>
      <c r="D92" s="523">
        <v>46889840.072514988</v>
      </c>
      <c r="E92" s="523">
        <v>771872.97875886247</v>
      </c>
      <c r="F92" s="523">
        <v>0</v>
      </c>
      <c r="G92" s="523">
        <v>0</v>
      </c>
      <c r="H92" s="524">
        <v>4261079.6921323007</v>
      </c>
      <c r="I92" s="524"/>
      <c r="J92" s="523">
        <v>-24373159.1655499</v>
      </c>
      <c r="K92" s="523">
        <v>5933690.8018676601</v>
      </c>
      <c r="L92" s="523">
        <v>3845524.8915357487</v>
      </c>
      <c r="M92" s="524">
        <v>12444872.21556136</v>
      </c>
      <c r="N92" s="524"/>
      <c r="O92" s="524">
        <v>35269079.680061489</v>
      </c>
      <c r="P92" s="524">
        <v>85042801.166882515</v>
      </c>
      <c r="Q92" s="525">
        <v>30998715.395362787</v>
      </c>
      <c r="R92" s="525">
        <v>27870957.445842154</v>
      </c>
      <c r="S92" s="525">
        <v>90254358.613531888</v>
      </c>
      <c r="T92" s="525">
        <v>64523525.798349351</v>
      </c>
      <c r="U92" s="525">
        <v>11235515.224496311</v>
      </c>
      <c r="V92" s="525">
        <v>30967730.495380182</v>
      </c>
      <c r="W92" s="525">
        <v>-84632456.83957836</v>
      </c>
      <c r="X92" s="525">
        <v>43459907.094195701</v>
      </c>
      <c r="Y92" s="525">
        <v>17595111.29912867</v>
      </c>
      <c r="Z92" s="514">
        <v>232273364.52670869</v>
      </c>
      <c r="AA92" s="527">
        <v>-1206657966.6515288</v>
      </c>
      <c r="AB92" s="527">
        <v>435986334.71697921</v>
      </c>
      <c r="AC92" s="527"/>
      <c r="AD92" s="527"/>
      <c r="AE92" s="509">
        <f t="shared" si="9"/>
        <v>25646254.983351719</v>
      </c>
      <c r="AF92" s="509"/>
      <c r="AG92" s="509"/>
      <c r="AH92" s="527">
        <v>-770671631.93454957</v>
      </c>
      <c r="AI92" s="527">
        <v>317316165.69359124</v>
      </c>
      <c r="AJ92" s="528">
        <v>-1087987797.6281409</v>
      </c>
      <c r="AK92" s="167"/>
    </row>
    <row r="93" spans="1:37" x14ac:dyDescent="0.25">
      <c r="A93" s="506" t="s">
        <v>536</v>
      </c>
      <c r="B93" s="523">
        <v>0</v>
      </c>
      <c r="C93" s="523">
        <v>0</v>
      </c>
      <c r="D93" s="523">
        <v>45773855.85327848</v>
      </c>
      <c r="E93" s="523">
        <v>771135.14961195563</v>
      </c>
      <c r="F93" s="523">
        <v>0</v>
      </c>
      <c r="G93" s="523">
        <v>0</v>
      </c>
      <c r="H93" s="524">
        <v>4261079.6921323007</v>
      </c>
      <c r="I93" s="524"/>
      <c r="J93" s="523">
        <v>-29660853.481324393</v>
      </c>
      <c r="K93" s="523">
        <v>3589117.7950776131</v>
      </c>
      <c r="L93" s="523">
        <v>3671660.5958200791</v>
      </c>
      <c r="M93" s="524">
        <v>12492476.413627123</v>
      </c>
      <c r="N93" s="524"/>
      <c r="O93" s="524">
        <v>35269079.680061489</v>
      </c>
      <c r="P93" s="524">
        <v>76167551.698284656</v>
      </c>
      <c r="Q93" s="525">
        <v>29758766.779548276</v>
      </c>
      <c r="R93" s="525">
        <v>23070631.01079613</v>
      </c>
      <c r="S93" s="525">
        <v>92478170.477492988</v>
      </c>
      <c r="T93" s="525">
        <v>65773601.617995977</v>
      </c>
      <c r="U93" s="525">
        <v>9526382.9142188262</v>
      </c>
      <c r="V93" s="525">
        <v>25634034.456440147</v>
      </c>
      <c r="W93" s="525">
        <v>-113830688.41053526</v>
      </c>
      <c r="X93" s="525">
        <v>32884886.650021359</v>
      </c>
      <c r="Y93" s="525">
        <v>17997521.509372227</v>
      </c>
      <c r="Z93" s="514">
        <v>183293307.00535068</v>
      </c>
      <c r="AA93" s="527">
        <v>-1087987797.6281409</v>
      </c>
      <c r="AB93" s="527">
        <v>438235256.99747199</v>
      </c>
      <c r="AC93" s="527"/>
      <c r="AD93" s="527"/>
      <c r="AE93" s="509">
        <f t="shared" si="9"/>
        <v>25778544.529263057</v>
      </c>
      <c r="AF93" s="509"/>
      <c r="AG93" s="509"/>
      <c r="AH93" s="527">
        <v>-649752540.63066888</v>
      </c>
      <c r="AI93" s="527">
        <v>259460858.70363533</v>
      </c>
      <c r="AJ93" s="528">
        <v>-909213399.33430421</v>
      </c>
      <c r="AK93" s="167"/>
    </row>
    <row r="94" spans="1:37" x14ac:dyDescent="0.25">
      <c r="A94" s="506" t="s">
        <v>535</v>
      </c>
      <c r="B94" s="523">
        <v>0</v>
      </c>
      <c r="C94" s="523">
        <v>0</v>
      </c>
      <c r="D94" s="523">
        <v>45710952.744287498</v>
      </c>
      <c r="E94" s="523">
        <v>770443.87565022637</v>
      </c>
      <c r="F94" s="523">
        <v>0</v>
      </c>
      <c r="G94" s="523">
        <v>0</v>
      </c>
      <c r="H94" s="524">
        <v>4261079.6921323007</v>
      </c>
      <c r="I94" s="524"/>
      <c r="J94" s="523">
        <v>-35108593.039845236</v>
      </c>
      <c r="K94" s="523">
        <v>1198126.1539849609</v>
      </c>
      <c r="L94" s="523">
        <v>3494781.743127373</v>
      </c>
      <c r="M94" s="524">
        <v>12549321.69718389</v>
      </c>
      <c r="N94" s="524"/>
      <c r="O94" s="524">
        <v>35269079.680061489</v>
      </c>
      <c r="P94" s="524">
        <v>68145192.546582505</v>
      </c>
      <c r="Q94" s="525">
        <v>28568416.108366344</v>
      </c>
      <c r="R94" s="525">
        <v>22147805.770364285</v>
      </c>
      <c r="S94" s="525">
        <v>94583859.935853139</v>
      </c>
      <c r="T94" s="525">
        <v>66954519.320598848</v>
      </c>
      <c r="U94" s="525">
        <v>7885615.8963524383</v>
      </c>
      <c r="V94" s="525">
        <v>24608673.078182541</v>
      </c>
      <c r="W94" s="525">
        <v>-143958354.80862579</v>
      </c>
      <c r="X94" s="525">
        <v>21469605.761284161</v>
      </c>
      <c r="Y94" s="525">
        <v>18333539.954755373</v>
      </c>
      <c r="Z94" s="514">
        <v>140593681.01713136</v>
      </c>
      <c r="AA94" s="527">
        <v>-909213399.33430421</v>
      </c>
      <c r="AB94" s="527">
        <v>440920931.13038957</v>
      </c>
      <c r="AC94" s="527"/>
      <c r="AD94" s="527"/>
      <c r="AE94" s="509">
        <f t="shared" si="9"/>
        <v>25936525.360611152</v>
      </c>
      <c r="AF94" s="509"/>
      <c r="AG94" s="509"/>
      <c r="AH94" s="527">
        <v>-468292468.20391464</v>
      </c>
      <c r="AI94" s="527">
        <v>208738873.56371385</v>
      </c>
      <c r="AJ94" s="528">
        <v>-677031341.76762843</v>
      </c>
      <c r="AK94" s="167"/>
    </row>
    <row r="95" spans="1:37" x14ac:dyDescent="0.25">
      <c r="A95" s="506" t="s">
        <v>534</v>
      </c>
      <c r="B95" s="523">
        <v>0</v>
      </c>
      <c r="C95" s="523">
        <v>0</v>
      </c>
      <c r="D95" s="523">
        <v>39141829.189594381</v>
      </c>
      <c r="E95" s="523">
        <v>769798.45149208128</v>
      </c>
      <c r="F95" s="523">
        <v>0</v>
      </c>
      <c r="G95" s="523">
        <v>0</v>
      </c>
      <c r="H95" s="524">
        <v>4261079.6921323007</v>
      </c>
      <c r="I95" s="529"/>
      <c r="J95" s="523">
        <v>-40454482.569111332</v>
      </c>
      <c r="K95" s="523">
        <v>-1124901.0562088864</v>
      </c>
      <c r="L95" s="523">
        <v>3322528.7428095699</v>
      </c>
      <c r="M95" s="524">
        <v>12588447.345144667</v>
      </c>
      <c r="N95" s="524"/>
      <c r="O95" s="524">
        <v>35269079.680061489</v>
      </c>
      <c r="P95" s="524">
        <v>53773379.47591427</v>
      </c>
      <c r="Q95" s="525">
        <v>0</v>
      </c>
      <c r="R95" s="525">
        <v>18446828.29003422</v>
      </c>
      <c r="S95" s="525">
        <v>96576297.734491572</v>
      </c>
      <c r="T95" s="525">
        <v>66619746.723995835</v>
      </c>
      <c r="U95" s="525">
        <v>7570191.2604983402</v>
      </c>
      <c r="V95" s="525">
        <v>20496475.877815802</v>
      </c>
      <c r="W95" s="525">
        <v>-186474212.11639407</v>
      </c>
      <c r="X95" s="525">
        <v>8307648.7423657905</v>
      </c>
      <c r="Y95" s="525">
        <v>18550175.27591918</v>
      </c>
      <c r="Z95" s="514">
        <v>50093151.788726687</v>
      </c>
      <c r="AA95" s="527">
        <v>-677031341.76762843</v>
      </c>
      <c r="AB95" s="527">
        <v>442769305.46354878</v>
      </c>
      <c r="AC95" s="527"/>
      <c r="AD95" s="527"/>
      <c r="AE95" s="509">
        <f t="shared" si="9"/>
        <v>26045253.262561694</v>
      </c>
      <c r="AF95" s="509"/>
      <c r="AG95" s="509"/>
      <c r="AH95" s="527">
        <v>-234262036.30407965</v>
      </c>
      <c r="AI95" s="527">
        <v>103866531.26464096</v>
      </c>
      <c r="AJ95" s="528">
        <v>-338128567.56872058</v>
      </c>
      <c r="AK95" s="167"/>
    </row>
    <row r="96" spans="1:37" x14ac:dyDescent="0.25">
      <c r="A96" s="506" t="s">
        <v>533</v>
      </c>
      <c r="B96" s="523">
        <v>0</v>
      </c>
      <c r="C96" s="523">
        <v>0</v>
      </c>
      <c r="D96" s="523">
        <v>36542577.725293927</v>
      </c>
      <c r="E96" s="523">
        <v>769061.32772676798</v>
      </c>
      <c r="F96" s="523">
        <v>0</v>
      </c>
      <c r="G96" s="523">
        <v>0</v>
      </c>
      <c r="H96" s="524">
        <v>4261079.6921323007</v>
      </c>
      <c r="I96" s="529"/>
      <c r="J96" s="523">
        <v>-45991325.117372014</v>
      </c>
      <c r="K96" s="523">
        <v>-19834073.289299686</v>
      </c>
      <c r="L96" s="523">
        <v>-1324925.0675411613</v>
      </c>
      <c r="M96" s="524">
        <v>12628300.273648368</v>
      </c>
      <c r="N96" s="524"/>
      <c r="O96" s="524">
        <v>35269079.680061489</v>
      </c>
      <c r="P96" s="524">
        <v>22319775.224649996</v>
      </c>
      <c r="Q96" s="525">
        <v>0</v>
      </c>
      <c r="R96" s="525">
        <v>15050282.422779331</v>
      </c>
      <c r="S96" s="525">
        <v>96093416.245819092</v>
      </c>
      <c r="T96" s="525">
        <v>66286647.990375847</v>
      </c>
      <c r="U96" s="525">
        <v>6305185.2518947609</v>
      </c>
      <c r="V96" s="525">
        <v>16722536.025310369</v>
      </c>
      <c r="W96" s="525">
        <v>-211163507.91569099</v>
      </c>
      <c r="X96" s="525">
        <v>-5936440.9651314421</v>
      </c>
      <c r="Y96" s="525">
        <v>18686744.187793028</v>
      </c>
      <c r="Z96" s="514">
        <v>2044863.2431500256</v>
      </c>
      <c r="AA96" s="527">
        <v>-338128567.56872058</v>
      </c>
      <c r="AB96" s="527">
        <v>444652102.27955437</v>
      </c>
      <c r="AC96" s="527"/>
      <c r="AD96" s="527"/>
      <c r="AE96" s="509">
        <f t="shared" si="9"/>
        <v>26156006.016444374</v>
      </c>
      <c r="AF96" s="509"/>
      <c r="AG96" s="509"/>
      <c r="AH96" s="527">
        <v>106523534.71083379</v>
      </c>
      <c r="AI96" s="527">
        <v>24364638.467800021</v>
      </c>
      <c r="AJ96" s="528">
        <v>82158896.243033767</v>
      </c>
      <c r="AK96" s="167"/>
    </row>
    <row r="97" spans="1:39" x14ac:dyDescent="0.25">
      <c r="A97" s="506" t="s">
        <v>532</v>
      </c>
      <c r="B97" s="523">
        <v>0</v>
      </c>
      <c r="C97" s="523">
        <v>0</v>
      </c>
      <c r="D97" s="523">
        <v>26102272.724350493</v>
      </c>
      <c r="E97" s="523">
        <v>728483.54617326369</v>
      </c>
      <c r="F97" s="523">
        <v>0</v>
      </c>
      <c r="G97" s="523">
        <v>0</v>
      </c>
      <c r="H97" s="524">
        <v>4261079.6921323007</v>
      </c>
      <c r="I97" s="529"/>
      <c r="J97" s="523">
        <v>0</v>
      </c>
      <c r="K97" s="523">
        <v>0</v>
      </c>
      <c r="L97" s="523">
        <v>0</v>
      </c>
      <c r="M97" s="524">
        <v>12628300.273648368</v>
      </c>
      <c r="N97" s="524"/>
      <c r="O97" s="524">
        <v>35269079.680061489</v>
      </c>
      <c r="P97" s="524">
        <v>78989215.916365921</v>
      </c>
      <c r="Q97" s="525">
        <v>0</v>
      </c>
      <c r="R97" s="525">
        <v>0</v>
      </c>
      <c r="S97" s="525">
        <v>0</v>
      </c>
      <c r="T97" s="525">
        <v>0</v>
      </c>
      <c r="U97" s="525">
        <v>0</v>
      </c>
      <c r="V97" s="525">
        <v>0</v>
      </c>
      <c r="W97" s="525">
        <v>-248487928.74770606</v>
      </c>
      <c r="X97" s="525">
        <v>-131160796.41216311</v>
      </c>
      <c r="Y97" s="525">
        <v>-7872880.5398217812</v>
      </c>
      <c r="Z97" s="514">
        <v>-387521605.699691</v>
      </c>
      <c r="AA97" s="527">
        <v>82158896.243033767</v>
      </c>
      <c r="AB97" s="527">
        <v>444652102.27955437</v>
      </c>
      <c r="AC97" s="527"/>
      <c r="AD97" s="527"/>
      <c r="AE97" s="509">
        <f t="shared" si="9"/>
        <v>26156006.016444374</v>
      </c>
      <c r="AF97" s="509"/>
      <c r="AG97" s="509"/>
      <c r="AH97" s="527">
        <v>526810998.52258813</v>
      </c>
      <c r="AI97" s="527">
        <v>-308532389.78332508</v>
      </c>
      <c r="AJ97" s="528">
        <v>835343388.30591321</v>
      </c>
      <c r="AK97" s="530"/>
      <c r="AL97" s="531">
        <v>835343388.30591321</v>
      </c>
      <c r="AM97" s="532">
        <v>2556726061.8057499</v>
      </c>
    </row>
    <row r="99" spans="1:39" x14ac:dyDescent="0.25">
      <c r="A99" s="521" t="s">
        <v>584</v>
      </c>
      <c r="B99" s="522">
        <v>5.0041044571267233E-3</v>
      </c>
    </row>
    <row r="100" spans="1:39" ht="60" x14ac:dyDescent="0.25">
      <c r="A100" s="501" t="s">
        <v>583</v>
      </c>
      <c r="B100" s="501" t="s">
        <v>570</v>
      </c>
      <c r="C100" s="501" t="s">
        <v>569</v>
      </c>
      <c r="D100" s="501" t="s">
        <v>582</v>
      </c>
      <c r="E100" s="501" t="s">
        <v>567</v>
      </c>
      <c r="F100" s="501" t="s">
        <v>581</v>
      </c>
      <c r="G100" s="501" t="s">
        <v>580</v>
      </c>
      <c r="H100" s="501" t="s">
        <v>579</v>
      </c>
      <c r="I100" s="502" t="s">
        <v>578</v>
      </c>
      <c r="J100" s="502" t="s">
        <v>577</v>
      </c>
      <c r="K100" s="502" t="s">
        <v>576</v>
      </c>
      <c r="L100" s="502" t="s">
        <v>575</v>
      </c>
      <c r="M100" s="501" t="s">
        <v>574</v>
      </c>
      <c r="N100" s="501" t="s">
        <v>573</v>
      </c>
      <c r="O100" s="501" t="s">
        <v>572</v>
      </c>
      <c r="P100" s="502" t="s">
        <v>571</v>
      </c>
      <c r="Q100" s="503" t="s">
        <v>570</v>
      </c>
      <c r="R100" s="503" t="s">
        <v>569</v>
      </c>
      <c r="S100" s="503" t="s">
        <v>568</v>
      </c>
      <c r="T100" s="503" t="s">
        <v>567</v>
      </c>
      <c r="U100" s="503" t="s">
        <v>566</v>
      </c>
      <c r="V100" s="503" t="s">
        <v>565</v>
      </c>
      <c r="W100" s="503" t="s">
        <v>564</v>
      </c>
      <c r="X100" s="503" t="s">
        <v>563</v>
      </c>
      <c r="Y100" s="503" t="s">
        <v>562</v>
      </c>
      <c r="Z100" s="503" t="s">
        <v>561</v>
      </c>
      <c r="AA100" s="502" t="s">
        <v>560</v>
      </c>
      <c r="AB100" s="502" t="s">
        <v>559</v>
      </c>
      <c r="AC100" s="502"/>
      <c r="AD100" s="502"/>
      <c r="AE100" s="502" t="str">
        <f>$AE$7</f>
        <v>DY Collections (Calendar Year) adjusted for 5.88% increase.</v>
      </c>
      <c r="AF100" s="502"/>
      <c r="AG100" s="502"/>
      <c r="AH100" s="502" t="s">
        <v>558</v>
      </c>
      <c r="AI100" s="501" t="s">
        <v>557</v>
      </c>
      <c r="AJ100" s="501" t="s">
        <v>556</v>
      </c>
    </row>
    <row r="101" spans="1:39" x14ac:dyDescent="0.25">
      <c r="A101" s="506" t="s">
        <v>555</v>
      </c>
      <c r="B101" s="524">
        <v>690613.36359150463</v>
      </c>
      <c r="C101" s="524">
        <v>243345.40130643302</v>
      </c>
      <c r="D101" s="524">
        <v>150068.37379872735</v>
      </c>
      <c r="E101" s="524">
        <v>0</v>
      </c>
      <c r="F101" s="524">
        <v>0</v>
      </c>
      <c r="G101" s="524">
        <v>0</v>
      </c>
      <c r="H101" s="524"/>
      <c r="I101" s="524">
        <v>9408.9599999999991</v>
      </c>
      <c r="J101" s="524">
        <v>0</v>
      </c>
      <c r="K101" s="524">
        <v>0</v>
      </c>
      <c r="L101" s="524">
        <v>0</v>
      </c>
      <c r="M101" s="524">
        <v>33813.134254762168</v>
      </c>
      <c r="N101" s="524"/>
      <c r="O101" s="524">
        <v>56355.223757936954</v>
      </c>
      <c r="P101" s="524">
        <v>1183604.456709364</v>
      </c>
      <c r="Q101" s="525">
        <v>0</v>
      </c>
      <c r="R101" s="525">
        <v>0</v>
      </c>
      <c r="S101" s="525">
        <v>0</v>
      </c>
      <c r="T101" s="525">
        <v>0</v>
      </c>
      <c r="U101" s="525">
        <v>0</v>
      </c>
      <c r="V101" s="525">
        <v>0</v>
      </c>
      <c r="W101" s="525">
        <v>0</v>
      </c>
      <c r="X101" s="525">
        <v>0</v>
      </c>
      <c r="Y101" s="525">
        <v>0</v>
      </c>
      <c r="Z101" s="514">
        <v>0</v>
      </c>
      <c r="AA101" s="527">
        <v>1406204.2258068149</v>
      </c>
      <c r="AB101" s="527">
        <v>585306.97492689674</v>
      </c>
      <c r="AC101" s="527"/>
      <c r="AD101" s="527"/>
      <c r="AE101" s="509">
        <f t="shared" ref="AE101:AE124" si="10">AB101*$AE$5</f>
        <v>34429.822054523334</v>
      </c>
      <c r="AF101" s="509"/>
      <c r="AG101" s="509"/>
      <c r="AH101" s="527">
        <v>1991511.2007337115</v>
      </c>
      <c r="AI101" s="527">
        <v>1183604.456709364</v>
      </c>
      <c r="AJ101" s="528">
        <v>807906.74402434751</v>
      </c>
    </row>
    <row r="102" spans="1:39" x14ac:dyDescent="0.25">
      <c r="A102" s="506" t="s">
        <v>554</v>
      </c>
      <c r="B102" s="524">
        <v>310505.66737329122</v>
      </c>
      <c r="C102" s="524">
        <v>303777.59388553532</v>
      </c>
      <c r="D102" s="524">
        <v>421307.1237350037</v>
      </c>
      <c r="E102" s="524">
        <v>0</v>
      </c>
      <c r="F102" s="524">
        <v>0</v>
      </c>
      <c r="G102" s="524">
        <v>0</v>
      </c>
      <c r="H102" s="524"/>
      <c r="I102" s="524">
        <v>55160.941677111034</v>
      </c>
      <c r="J102" s="524">
        <v>0</v>
      </c>
      <c r="K102" s="524">
        <v>0</v>
      </c>
      <c r="L102" s="524">
        <v>0</v>
      </c>
      <c r="M102" s="524">
        <v>69767.900357761828</v>
      </c>
      <c r="N102" s="524"/>
      <c r="O102" s="524">
        <v>250205.22285633616</v>
      </c>
      <c r="P102" s="524">
        <v>1410724.4498850391</v>
      </c>
      <c r="Q102" s="525">
        <v>0</v>
      </c>
      <c r="R102" s="525">
        <v>0</v>
      </c>
      <c r="S102" s="525">
        <v>0</v>
      </c>
      <c r="T102" s="525">
        <v>0</v>
      </c>
      <c r="U102" s="525">
        <v>0</v>
      </c>
      <c r="V102" s="525">
        <v>0</v>
      </c>
      <c r="W102" s="525">
        <v>0</v>
      </c>
      <c r="X102" s="525">
        <v>0</v>
      </c>
      <c r="Y102" s="525">
        <v>0</v>
      </c>
      <c r="Z102" s="514">
        <v>0</v>
      </c>
      <c r="AA102" s="527">
        <v>807906.74402434751</v>
      </c>
      <c r="AB102" s="527">
        <v>1153433.5221666666</v>
      </c>
      <c r="AC102" s="527"/>
      <c r="AD102" s="527"/>
      <c r="AE102" s="509">
        <f t="shared" si="10"/>
        <v>67849.030715686269</v>
      </c>
      <c r="AF102" s="509"/>
      <c r="AG102" s="509"/>
      <c r="AH102" s="527">
        <v>1961340.2661910141</v>
      </c>
      <c r="AI102" s="527">
        <v>1410724.4498850391</v>
      </c>
      <c r="AJ102" s="528">
        <v>550615.81630597496</v>
      </c>
      <c r="AK102" s="167"/>
    </row>
    <row r="103" spans="1:39" x14ac:dyDescent="0.25">
      <c r="A103" s="506" t="s">
        <v>553</v>
      </c>
      <c r="B103" s="524">
        <v>331516.15055220632</v>
      </c>
      <c r="C103" s="524">
        <v>373194.90121852705</v>
      </c>
      <c r="D103" s="524">
        <v>569155.80690326553</v>
      </c>
      <c r="E103" s="524">
        <v>0</v>
      </c>
      <c r="F103" s="524">
        <v>0</v>
      </c>
      <c r="G103" s="524">
        <v>0</v>
      </c>
      <c r="H103" s="524"/>
      <c r="I103" s="524">
        <v>74567.941677111041</v>
      </c>
      <c r="J103" s="524">
        <v>0</v>
      </c>
      <c r="K103" s="524">
        <v>0</v>
      </c>
      <c r="L103" s="524">
        <v>0</v>
      </c>
      <c r="M103" s="524">
        <v>88191.78550485264</v>
      </c>
      <c r="N103" s="524"/>
      <c r="O103" s="524">
        <v>250205.22285633616</v>
      </c>
      <c r="P103" s="524">
        <v>1686831.808712299</v>
      </c>
      <c r="Q103" s="525">
        <v>0</v>
      </c>
      <c r="R103" s="525">
        <v>0</v>
      </c>
      <c r="S103" s="525">
        <v>0</v>
      </c>
      <c r="T103" s="525">
        <v>0</v>
      </c>
      <c r="U103" s="525">
        <v>0</v>
      </c>
      <c r="V103" s="525">
        <v>0</v>
      </c>
      <c r="W103" s="525">
        <v>0</v>
      </c>
      <c r="X103" s="525">
        <v>0</v>
      </c>
      <c r="Y103" s="525">
        <v>0</v>
      </c>
      <c r="Z103" s="514">
        <v>0</v>
      </c>
      <c r="AA103" s="527">
        <v>550615.81630597496</v>
      </c>
      <c r="AB103" s="527">
        <v>1392648.2258068149</v>
      </c>
      <c r="AC103" s="527"/>
      <c r="AD103" s="527"/>
      <c r="AE103" s="509">
        <f t="shared" si="10"/>
        <v>81920.483870989105</v>
      </c>
      <c r="AF103" s="509"/>
      <c r="AG103" s="509"/>
      <c r="AH103" s="527">
        <v>1943264.0421127898</v>
      </c>
      <c r="AI103" s="527">
        <v>1686831.808712299</v>
      </c>
      <c r="AJ103" s="528">
        <v>256432.23340049083</v>
      </c>
      <c r="AK103" s="167"/>
    </row>
    <row r="104" spans="1:39" x14ac:dyDescent="0.25">
      <c r="A104" s="506" t="s">
        <v>552</v>
      </c>
      <c r="B104" s="524">
        <v>1206710.6559399599</v>
      </c>
      <c r="C104" s="524">
        <v>453000.7594291406</v>
      </c>
      <c r="D104" s="524">
        <v>660123.0849125908</v>
      </c>
      <c r="E104" s="524">
        <v>0</v>
      </c>
      <c r="F104" s="524">
        <v>0</v>
      </c>
      <c r="G104" s="524">
        <v>0</v>
      </c>
      <c r="H104" s="524"/>
      <c r="I104" s="524">
        <v>74566.48252909616</v>
      </c>
      <c r="J104" s="524">
        <v>0</v>
      </c>
      <c r="K104" s="524">
        <v>0</v>
      </c>
      <c r="L104" s="524">
        <v>0</v>
      </c>
      <c r="M104" s="524">
        <v>86604.313268966609</v>
      </c>
      <c r="N104" s="524"/>
      <c r="O104" s="524">
        <v>250205.22285633616</v>
      </c>
      <c r="P104" s="524">
        <v>2731210.5189360902</v>
      </c>
      <c r="Q104" s="525">
        <v>0</v>
      </c>
      <c r="R104" s="525">
        <v>0</v>
      </c>
      <c r="S104" s="525">
        <v>0</v>
      </c>
      <c r="T104" s="525">
        <v>0</v>
      </c>
      <c r="U104" s="525">
        <v>0</v>
      </c>
      <c r="V104" s="525">
        <v>0</v>
      </c>
      <c r="W104" s="525">
        <v>0</v>
      </c>
      <c r="X104" s="525">
        <v>0</v>
      </c>
      <c r="Y104" s="525">
        <v>0</v>
      </c>
      <c r="Z104" s="514">
        <v>0</v>
      </c>
      <c r="AA104" s="527">
        <v>256432.23340049083</v>
      </c>
      <c r="AB104" s="527">
        <v>1383224.4391287609</v>
      </c>
      <c r="AC104" s="527"/>
      <c r="AD104" s="527"/>
      <c r="AE104" s="509">
        <f t="shared" si="10"/>
        <v>81366.143478162412</v>
      </c>
      <c r="AF104" s="509"/>
      <c r="AG104" s="509"/>
      <c r="AH104" s="527">
        <v>1639656.6725292518</v>
      </c>
      <c r="AI104" s="527">
        <v>2731210.5189360902</v>
      </c>
      <c r="AJ104" s="528">
        <v>-1091553.8464068384</v>
      </c>
      <c r="AK104" s="167"/>
    </row>
    <row r="105" spans="1:39" x14ac:dyDescent="0.25">
      <c r="A105" s="506" t="s">
        <v>551</v>
      </c>
      <c r="B105" s="524">
        <v>150513.51391071107</v>
      </c>
      <c r="C105" s="524">
        <v>318003.24702394183</v>
      </c>
      <c r="D105" s="524">
        <v>706636.47103449318</v>
      </c>
      <c r="E105" s="524">
        <v>4378.7215067017678</v>
      </c>
      <c r="F105" s="524">
        <v>31603.046391149535</v>
      </c>
      <c r="G105" s="524">
        <v>0</v>
      </c>
      <c r="H105" s="524"/>
      <c r="I105" s="524">
        <v>74566.48252909616</v>
      </c>
      <c r="J105" s="524">
        <v>22093.322830613433</v>
      </c>
      <c r="K105" s="524">
        <v>0</v>
      </c>
      <c r="L105" s="524">
        <v>0</v>
      </c>
      <c r="M105" s="524">
        <v>86114.780690070693</v>
      </c>
      <c r="N105" s="524"/>
      <c r="O105" s="524">
        <v>250205.22285633616</v>
      </c>
      <c r="P105" s="524">
        <v>1644114.8087731139</v>
      </c>
      <c r="Q105" s="525">
        <v>778894.56554023561</v>
      </c>
      <c r="R105" s="525">
        <v>146382.57429046143</v>
      </c>
      <c r="S105" s="525">
        <v>43680.41331947998</v>
      </c>
      <c r="T105" s="525">
        <v>127820.26604699709</v>
      </c>
      <c r="U105" s="525">
        <v>20659.364177031672</v>
      </c>
      <c r="V105" s="525">
        <v>140739.98425922077</v>
      </c>
      <c r="W105" s="525">
        <v>0</v>
      </c>
      <c r="X105" s="525">
        <v>0</v>
      </c>
      <c r="Y105" s="525">
        <v>0</v>
      </c>
      <c r="Z105" s="514">
        <v>1258177.1676334266</v>
      </c>
      <c r="AA105" s="527">
        <v>-1091553.8464068384</v>
      </c>
      <c r="AB105" s="527">
        <v>1387044.2350979969</v>
      </c>
      <c r="AC105" s="527"/>
      <c r="AD105" s="527"/>
      <c r="AE105" s="509">
        <f t="shared" si="10"/>
        <v>81590.837358705699</v>
      </c>
      <c r="AF105" s="509"/>
      <c r="AG105" s="509"/>
      <c r="AH105" s="527">
        <v>295490.3886911585</v>
      </c>
      <c r="AI105" s="527">
        <v>2902291.9764065407</v>
      </c>
      <c r="AJ105" s="528">
        <v>-2606801.5877153822</v>
      </c>
      <c r="AK105" s="167"/>
    </row>
    <row r="106" spans="1:39" x14ac:dyDescent="0.25">
      <c r="A106" s="506" t="s">
        <v>550</v>
      </c>
      <c r="B106" s="524">
        <v>0</v>
      </c>
      <c r="C106" s="524">
        <v>226245.44060889754</v>
      </c>
      <c r="D106" s="524">
        <v>505403.59618514241</v>
      </c>
      <c r="E106" s="524">
        <v>5541.6703784335614</v>
      </c>
      <c r="F106" s="524">
        <v>38877.758241593052</v>
      </c>
      <c r="G106" s="524">
        <v>0</v>
      </c>
      <c r="H106" s="524"/>
      <c r="I106" s="524">
        <v>74566.48252909616</v>
      </c>
      <c r="J106" s="524">
        <v>21426.744920336147</v>
      </c>
      <c r="K106" s="524">
        <v>101187.94882079757</v>
      </c>
      <c r="L106" s="524">
        <v>0</v>
      </c>
      <c r="M106" s="524">
        <v>85057.232435870174</v>
      </c>
      <c r="N106" s="524"/>
      <c r="O106" s="524">
        <v>250205.22285633616</v>
      </c>
      <c r="P106" s="524">
        <v>1308512.0969765028</v>
      </c>
      <c r="Q106" s="525">
        <v>747738.78291862621</v>
      </c>
      <c r="R106" s="525">
        <v>218691.45498644549</v>
      </c>
      <c r="S106" s="525">
        <v>110677.96185762589</v>
      </c>
      <c r="T106" s="525">
        <v>166697.71773458199</v>
      </c>
      <c r="U106" s="525">
        <v>47985.982397880864</v>
      </c>
      <c r="V106" s="525">
        <v>221083.18503253642</v>
      </c>
      <c r="W106" s="525">
        <v>0</v>
      </c>
      <c r="X106" s="525">
        <v>14449.813324853636</v>
      </c>
      <c r="Y106" s="525">
        <v>0</v>
      </c>
      <c r="Z106" s="514">
        <v>1527324.8982525505</v>
      </c>
      <c r="AA106" s="527">
        <v>-2606801.5877153822</v>
      </c>
      <c r="AB106" s="527">
        <v>1386156.5915539409</v>
      </c>
      <c r="AC106" s="527"/>
      <c r="AD106" s="527"/>
      <c r="AE106" s="509">
        <f t="shared" si="10"/>
        <v>81538.623032584757</v>
      </c>
      <c r="AF106" s="509"/>
      <c r="AG106" s="509"/>
      <c r="AH106" s="527">
        <v>-1220644.9961614413</v>
      </c>
      <c r="AI106" s="527">
        <v>2835836.9952290533</v>
      </c>
      <c r="AJ106" s="528">
        <v>-4056481.9913904946</v>
      </c>
      <c r="AK106" s="167"/>
    </row>
    <row r="107" spans="1:39" x14ac:dyDescent="0.25">
      <c r="A107" s="506" t="s">
        <v>549</v>
      </c>
      <c r="B107" s="524">
        <v>0</v>
      </c>
      <c r="C107" s="524">
        <v>186566.15493998866</v>
      </c>
      <c r="D107" s="524">
        <v>364279.92899681319</v>
      </c>
      <c r="E107" s="524">
        <v>5536.0757896504938</v>
      </c>
      <c r="F107" s="524">
        <v>38704.050763572814</v>
      </c>
      <c r="G107" s="524">
        <v>0</v>
      </c>
      <c r="H107" s="524"/>
      <c r="I107" s="524">
        <v>74566.48252909616</v>
      </c>
      <c r="J107" s="524">
        <v>248508.77692565208</v>
      </c>
      <c r="K107" s="524">
        <v>241619.07504680005</v>
      </c>
      <c r="L107" s="524">
        <v>21010.286198598289</v>
      </c>
      <c r="M107" s="524">
        <v>84513.376400307563</v>
      </c>
      <c r="N107" s="524"/>
      <c r="O107" s="524">
        <v>250205.22285633616</v>
      </c>
      <c r="P107" s="524">
        <v>1515509.4304468152</v>
      </c>
      <c r="Q107" s="525">
        <v>717829.2316018811</v>
      </c>
      <c r="R107" s="525">
        <v>288107.98045459017</v>
      </c>
      <c r="S107" s="525">
        <v>174651.88462889136</v>
      </c>
      <c r="T107" s="525">
        <v>203800.12004301618</v>
      </c>
      <c r="U107" s="525">
        <v>72701.390433182241</v>
      </c>
      <c r="V107" s="525">
        <v>298212.65777491935</v>
      </c>
      <c r="W107" s="525">
        <v>0</v>
      </c>
      <c r="X107" s="525">
        <v>14294.125150948044</v>
      </c>
      <c r="Y107" s="525">
        <v>0</v>
      </c>
      <c r="Z107" s="514">
        <v>1769597.3900874285</v>
      </c>
      <c r="AA107" s="527">
        <v>-4056481.9913904946</v>
      </c>
      <c r="AB107" s="527">
        <v>1390856.9158026592</v>
      </c>
      <c r="AC107" s="527"/>
      <c r="AD107" s="527"/>
      <c r="AE107" s="509">
        <f t="shared" si="10"/>
        <v>81815.112694274067</v>
      </c>
      <c r="AF107" s="509"/>
      <c r="AG107" s="509"/>
      <c r="AH107" s="527">
        <v>-2665625.0755878352</v>
      </c>
      <c r="AI107" s="527">
        <v>3285106.8205342437</v>
      </c>
      <c r="AJ107" s="528">
        <v>-5950731.8961220793</v>
      </c>
      <c r="AK107" s="167"/>
    </row>
    <row r="108" spans="1:39" x14ac:dyDescent="0.25">
      <c r="A108" s="506" t="s">
        <v>548</v>
      </c>
      <c r="B108" s="524">
        <v>0</v>
      </c>
      <c r="C108" s="524">
        <v>165734.58851183366</v>
      </c>
      <c r="D108" s="524">
        <v>337726.03901521786</v>
      </c>
      <c r="E108" s="524">
        <v>5531.1667631780529</v>
      </c>
      <c r="F108" s="524">
        <v>38531.063876594402</v>
      </c>
      <c r="G108" s="524">
        <v>0</v>
      </c>
      <c r="H108" s="524"/>
      <c r="I108" s="524">
        <v>74566.48252909616</v>
      </c>
      <c r="J108" s="524">
        <v>250660.5738434646</v>
      </c>
      <c r="K108" s="524">
        <v>241411.41970209635</v>
      </c>
      <c r="L108" s="524">
        <v>41982.350812785648</v>
      </c>
      <c r="M108" s="524">
        <v>84381.234313329071</v>
      </c>
      <c r="N108" s="524"/>
      <c r="O108" s="524">
        <v>250205.22285633616</v>
      </c>
      <c r="P108" s="524">
        <v>1490730.1422239318</v>
      </c>
      <c r="Q108" s="525">
        <v>689116.06233780587</v>
      </c>
      <c r="R108" s="525">
        <v>354747.84490400908</v>
      </c>
      <c r="S108" s="525">
        <v>235724.84528307835</v>
      </c>
      <c r="T108" s="525">
        <v>239199.57470402392</v>
      </c>
      <c r="U108" s="525">
        <v>96428.182147071566</v>
      </c>
      <c r="V108" s="525">
        <v>372256.95160760707</v>
      </c>
      <c r="W108" s="525">
        <v>341358.21006270894</v>
      </c>
      <c r="X108" s="525">
        <v>156218.77407194959</v>
      </c>
      <c r="Y108" s="525">
        <v>0</v>
      </c>
      <c r="Z108" s="514">
        <v>2485050.4451182541</v>
      </c>
      <c r="AA108" s="527">
        <v>-5950731.8961220793</v>
      </c>
      <c r="AB108" s="527">
        <v>1392376.6614621279</v>
      </c>
      <c r="AC108" s="527"/>
      <c r="AD108" s="527"/>
      <c r="AE108" s="509">
        <f t="shared" si="10"/>
        <v>81904.509497772233</v>
      </c>
      <c r="AF108" s="509"/>
      <c r="AG108" s="509"/>
      <c r="AH108" s="527">
        <v>-4558355.2346599512</v>
      </c>
      <c r="AI108" s="527">
        <v>3975780.5873421859</v>
      </c>
      <c r="AJ108" s="528">
        <v>-8534135.8220021371</v>
      </c>
      <c r="AK108" s="167"/>
    </row>
    <row r="109" spans="1:39" x14ac:dyDescent="0.25">
      <c r="A109" s="506" t="s">
        <v>547</v>
      </c>
      <c r="B109" s="524">
        <v>0</v>
      </c>
      <c r="C109" s="524">
        <v>159334.97443243462</v>
      </c>
      <c r="D109" s="524">
        <v>337254.3171003579</v>
      </c>
      <c r="E109" s="524">
        <v>5525.9024452891554</v>
      </c>
      <c r="F109" s="524">
        <v>38358.447293345816</v>
      </c>
      <c r="G109" s="524">
        <v>0</v>
      </c>
      <c r="H109" s="524"/>
      <c r="I109" s="524">
        <v>74566.48252909616</v>
      </c>
      <c r="J109" s="524">
        <v>193960.42758636299</v>
      </c>
      <c r="K109" s="524">
        <v>213974.43815995235</v>
      </c>
      <c r="L109" s="524">
        <v>40020.268240948782</v>
      </c>
      <c r="M109" s="524">
        <v>84601.52654273402</v>
      </c>
      <c r="N109" s="524"/>
      <c r="O109" s="524">
        <v>250205.22285633616</v>
      </c>
      <c r="P109" s="524">
        <v>1397802.007186858</v>
      </c>
      <c r="Q109" s="525">
        <v>661551.41984429362</v>
      </c>
      <c r="R109" s="525">
        <v>418722.11477545125</v>
      </c>
      <c r="S109" s="525">
        <v>294014.59233090119</v>
      </c>
      <c r="T109" s="525">
        <v>272965.29388127767</v>
      </c>
      <c r="U109" s="525">
        <v>119205.90219240529</v>
      </c>
      <c r="V109" s="525">
        <v>443339.47368698718</v>
      </c>
      <c r="W109" s="525">
        <v>459085.30007960548</v>
      </c>
      <c r="X109" s="525">
        <v>298696.65895839268</v>
      </c>
      <c r="Y109" s="525">
        <v>21043.784868564238</v>
      </c>
      <c r="Z109" s="514">
        <v>2988624.540617879</v>
      </c>
      <c r="AA109" s="527">
        <v>-8534135.8220021371</v>
      </c>
      <c r="AB109" s="527">
        <v>1394834.1963444413</v>
      </c>
      <c r="AC109" s="527"/>
      <c r="AD109" s="527"/>
      <c r="AE109" s="509">
        <f t="shared" si="10"/>
        <v>82049.070373202427</v>
      </c>
      <c r="AF109" s="509"/>
      <c r="AG109" s="509"/>
      <c r="AH109" s="527">
        <v>-7139301.6256576963</v>
      </c>
      <c r="AI109" s="527">
        <v>4386426.5478047375</v>
      </c>
      <c r="AJ109" s="528">
        <v>-11525728.173462434</v>
      </c>
      <c r="AK109" s="167"/>
    </row>
    <row r="110" spans="1:39" x14ac:dyDescent="0.25">
      <c r="A110" s="506" t="s">
        <v>546</v>
      </c>
      <c r="B110" s="524">
        <v>0</v>
      </c>
      <c r="C110" s="524">
        <v>118615.465553605</v>
      </c>
      <c r="D110" s="524">
        <v>336780.79871199781</v>
      </c>
      <c r="E110" s="524">
        <v>5520.9984229211714</v>
      </c>
      <c r="F110" s="524">
        <v>38188.36278695253</v>
      </c>
      <c r="G110" s="524">
        <v>0</v>
      </c>
      <c r="H110" s="524"/>
      <c r="I110" s="524">
        <v>74566.48252909616</v>
      </c>
      <c r="J110" s="524">
        <v>127376.99283299749</v>
      </c>
      <c r="K110" s="524">
        <v>182256.56618120079</v>
      </c>
      <c r="L110" s="524">
        <v>37772.866650482567</v>
      </c>
      <c r="M110" s="524">
        <v>84671.434674208955</v>
      </c>
      <c r="N110" s="524"/>
      <c r="O110" s="524">
        <v>250205.22285633616</v>
      </c>
      <c r="P110" s="524">
        <v>1255955.1911997986</v>
      </c>
      <c r="Q110" s="525">
        <v>635089.36305052182</v>
      </c>
      <c r="R110" s="525">
        <v>480137.41385203565</v>
      </c>
      <c r="S110" s="525">
        <v>349634.15579251532</v>
      </c>
      <c r="T110" s="525">
        <v>305163.71578061423</v>
      </c>
      <c r="U110" s="525">
        <v>141072.51343592571</v>
      </c>
      <c r="V110" s="525">
        <v>511578.69488319219</v>
      </c>
      <c r="W110" s="525">
        <v>444048.59795412765</v>
      </c>
      <c r="X110" s="525">
        <v>392764.83624691353</v>
      </c>
      <c r="Y110" s="525">
        <v>40221.375116531439</v>
      </c>
      <c r="Z110" s="514">
        <v>3299710.6661123768</v>
      </c>
      <c r="AA110" s="527">
        <v>-11525728.173462434</v>
      </c>
      <c r="AB110" s="527">
        <v>1395262.2697276347</v>
      </c>
      <c r="AC110" s="527"/>
      <c r="AD110" s="527"/>
      <c r="AE110" s="509">
        <f t="shared" si="10"/>
        <v>82074.251160449101</v>
      </c>
      <c r="AF110" s="509"/>
      <c r="AG110" s="509"/>
      <c r="AH110" s="527">
        <v>-10130465.903734799</v>
      </c>
      <c r="AI110" s="527">
        <v>4555665.8573121754</v>
      </c>
      <c r="AJ110" s="528">
        <v>-14686131.761046976</v>
      </c>
      <c r="AK110" s="167"/>
    </row>
    <row r="111" spans="1:39" x14ac:dyDescent="0.25">
      <c r="A111" s="506" t="s">
        <v>545</v>
      </c>
      <c r="B111" s="524">
        <v>0</v>
      </c>
      <c r="C111" s="524">
        <v>10325.143870045567</v>
      </c>
      <c r="D111" s="524">
        <v>336312.37450197514</v>
      </c>
      <c r="E111" s="524">
        <v>5515.4038341381038</v>
      </c>
      <c r="F111" s="524">
        <v>33870.185940077543</v>
      </c>
      <c r="G111" s="524">
        <v>0</v>
      </c>
      <c r="H111" s="524"/>
      <c r="I111" s="524">
        <v>74566.48252909616</v>
      </c>
      <c r="J111" s="524">
        <v>117500.33739829106</v>
      </c>
      <c r="K111" s="524">
        <v>176821.84240562364</v>
      </c>
      <c r="L111" s="524">
        <v>37281.834415976591</v>
      </c>
      <c r="M111" s="524">
        <v>85186.806409157274</v>
      </c>
      <c r="N111" s="524"/>
      <c r="O111" s="524">
        <v>250205.22285633616</v>
      </c>
      <c r="P111" s="524">
        <v>1127585.634160717</v>
      </c>
      <c r="Q111" s="525">
        <v>609685.78852850094</v>
      </c>
      <c r="R111" s="525">
        <v>472661.92056500399</v>
      </c>
      <c r="S111" s="525">
        <v>402692.03597989067</v>
      </c>
      <c r="T111" s="525">
        <v>335858.61563570442</v>
      </c>
      <c r="U111" s="525">
        <v>141405.09605267362</v>
      </c>
      <c r="V111" s="525">
        <v>525179.91173889325</v>
      </c>
      <c r="W111" s="525">
        <v>349936.79349724582</v>
      </c>
      <c r="X111" s="525">
        <v>444562.44805819093</v>
      </c>
      <c r="Y111" s="525">
        <v>57087.215031774896</v>
      </c>
      <c r="Z111" s="514">
        <v>3339069.8250878784</v>
      </c>
      <c r="AA111" s="527">
        <v>-14686131.761046976</v>
      </c>
      <c r="AB111" s="527">
        <v>1397617.7745758404</v>
      </c>
      <c r="AC111" s="527"/>
      <c r="AD111" s="527"/>
      <c r="AE111" s="509">
        <f t="shared" si="10"/>
        <v>82212.810269167079</v>
      </c>
      <c r="AF111" s="509"/>
      <c r="AG111" s="509"/>
      <c r="AH111" s="527">
        <v>-13288513.986471135</v>
      </c>
      <c r="AI111" s="527">
        <v>4466655.4592485949</v>
      </c>
      <c r="AJ111" s="528">
        <v>-17755169.44571973</v>
      </c>
      <c r="AK111" s="167"/>
    </row>
    <row r="112" spans="1:39" x14ac:dyDescent="0.25">
      <c r="A112" s="506" t="s">
        <v>544</v>
      </c>
      <c r="B112" s="524">
        <v>0</v>
      </c>
      <c r="C112" s="524">
        <v>0</v>
      </c>
      <c r="D112" s="524">
        <v>335846.34725798736</v>
      </c>
      <c r="E112" s="524">
        <v>5510.825078559832</v>
      </c>
      <c r="F112" s="524">
        <v>0</v>
      </c>
      <c r="G112" s="524">
        <v>0</v>
      </c>
      <c r="H112" s="524"/>
      <c r="I112" s="524">
        <v>74566.48252909616</v>
      </c>
      <c r="J112" s="524">
        <v>96701.656628548881</v>
      </c>
      <c r="K112" s="524">
        <v>166459.70727815223</v>
      </c>
      <c r="L112" s="524">
        <v>36462.288825420823</v>
      </c>
      <c r="M112" s="524">
        <v>85672.526441422189</v>
      </c>
      <c r="N112" s="524"/>
      <c r="O112" s="524">
        <v>250205.22285633616</v>
      </c>
      <c r="P112" s="524">
        <v>1051425.0568955236</v>
      </c>
      <c r="Q112" s="525">
        <v>585298.35698736086</v>
      </c>
      <c r="R112" s="525">
        <v>453755.44374240382</v>
      </c>
      <c r="S112" s="525">
        <v>453292.38472767553</v>
      </c>
      <c r="T112" s="525">
        <v>365111.21225415927</v>
      </c>
      <c r="U112" s="525">
        <v>161557.36497470201</v>
      </c>
      <c r="V112" s="525">
        <v>504172.71526933758</v>
      </c>
      <c r="W112" s="525">
        <v>376603.64550734317</v>
      </c>
      <c r="X112" s="525">
        <v>502230.13489359029</v>
      </c>
      <c r="Y112" s="525">
        <v>75315.881479216318</v>
      </c>
      <c r="Z112" s="514">
        <v>3477337.1398357884</v>
      </c>
      <c r="AA112" s="527">
        <v>-17755169.44571973</v>
      </c>
      <c r="AB112" s="527">
        <v>1399139.0166404648</v>
      </c>
      <c r="AC112" s="527"/>
      <c r="AD112" s="527"/>
      <c r="AE112" s="509">
        <f t="shared" si="10"/>
        <v>82302.295096497925</v>
      </c>
      <c r="AF112" s="509"/>
      <c r="AG112" s="509"/>
      <c r="AH112" s="527">
        <v>-16356030.429079264</v>
      </c>
      <c r="AI112" s="527">
        <v>4528762.1967313122</v>
      </c>
      <c r="AJ112" s="528">
        <v>-20884792.625810578</v>
      </c>
      <c r="AK112" s="167"/>
    </row>
    <row r="113" spans="1:39" x14ac:dyDescent="0.25">
      <c r="A113" s="506" t="s">
        <v>543</v>
      </c>
      <c r="B113" s="524">
        <v>0</v>
      </c>
      <c r="C113" s="524">
        <v>0</v>
      </c>
      <c r="D113" s="524">
        <v>335381.81624123227</v>
      </c>
      <c r="E113" s="524">
        <v>5505.5957894021349</v>
      </c>
      <c r="F113" s="524">
        <v>0</v>
      </c>
      <c r="G113" s="524">
        <v>0</v>
      </c>
      <c r="H113" s="524"/>
      <c r="I113" s="524">
        <v>74566.48252909616</v>
      </c>
      <c r="J113" s="524">
        <v>61993.92555478026</v>
      </c>
      <c r="K113" s="524">
        <v>149890.06586246335</v>
      </c>
      <c r="L113" s="524">
        <v>35228.715758270409</v>
      </c>
      <c r="M113" s="524">
        <v>86242.750882583743</v>
      </c>
      <c r="N113" s="524"/>
      <c r="O113" s="524">
        <v>250205.22285633616</v>
      </c>
      <c r="P113" s="524">
        <v>999014.57547416445</v>
      </c>
      <c r="Q113" s="525">
        <v>561886.42270786641</v>
      </c>
      <c r="R113" s="525">
        <v>435605.22599270765</v>
      </c>
      <c r="S113" s="525">
        <v>501535.17937461421</v>
      </c>
      <c r="T113" s="525">
        <v>392980.27030165668</v>
      </c>
      <c r="U113" s="525">
        <v>155095.07037571393</v>
      </c>
      <c r="V113" s="525">
        <v>484005.80665856402</v>
      </c>
      <c r="W113" s="525">
        <v>354218.52244889707</v>
      </c>
      <c r="X113" s="525">
        <v>540158.6141581228</v>
      </c>
      <c r="Y113" s="525">
        <v>92307.243368983356</v>
      </c>
      <c r="Z113" s="514">
        <v>3517792.3553871261</v>
      </c>
      <c r="AA113" s="527">
        <v>-20884792.625810578</v>
      </c>
      <c r="AB113" s="527">
        <v>1401106.3387114073</v>
      </c>
      <c r="AC113" s="527"/>
      <c r="AD113" s="527"/>
      <c r="AE113" s="509">
        <f t="shared" si="10"/>
        <v>82418.019924200431</v>
      </c>
      <c r="AF113" s="509"/>
      <c r="AG113" s="509"/>
      <c r="AH113" s="527">
        <v>-19483686.287099171</v>
      </c>
      <c r="AI113" s="527">
        <v>4516806.9308612905</v>
      </c>
      <c r="AJ113" s="528">
        <v>-24000493.217960462</v>
      </c>
      <c r="AK113" s="167"/>
    </row>
    <row r="114" spans="1:39" x14ac:dyDescent="0.25">
      <c r="A114" s="506" t="s">
        <v>542</v>
      </c>
      <c r="B114" s="524">
        <v>0</v>
      </c>
      <c r="C114" s="524">
        <v>0</v>
      </c>
      <c r="D114" s="524">
        <v>334919.08670208178</v>
      </c>
      <c r="E114" s="524">
        <v>5500.3264674087804</v>
      </c>
      <c r="F114" s="524">
        <v>0</v>
      </c>
      <c r="G114" s="524">
        <v>0</v>
      </c>
      <c r="H114" s="524"/>
      <c r="I114" s="524">
        <v>69108.876913154963</v>
      </c>
      <c r="J114" s="524">
        <v>30924.116586624797</v>
      </c>
      <c r="K114" s="524">
        <v>135123.23552327708</v>
      </c>
      <c r="L114" s="524">
        <v>34116.204854147458</v>
      </c>
      <c r="M114" s="524">
        <v>86517.943816618557</v>
      </c>
      <c r="N114" s="524"/>
      <c r="O114" s="524">
        <v>250205.22285633616</v>
      </c>
      <c r="P114" s="524">
        <v>946415.01371964964</v>
      </c>
      <c r="Q114" s="525">
        <v>269705.48289977584</v>
      </c>
      <c r="R114" s="525">
        <v>390497.5266128353</v>
      </c>
      <c r="S114" s="525">
        <v>547516.38978549512</v>
      </c>
      <c r="T114" s="525">
        <v>405268.78372235701</v>
      </c>
      <c r="U114" s="525">
        <v>148891.26756068537</v>
      </c>
      <c r="V114" s="525">
        <v>433886.14068092819</v>
      </c>
      <c r="W114" s="525">
        <v>221406.87698135807</v>
      </c>
      <c r="X114" s="525">
        <v>532604.29462777835</v>
      </c>
      <c r="Y114" s="525">
        <v>99835.333457223649</v>
      </c>
      <c r="Z114" s="514">
        <v>3049612.0963284364</v>
      </c>
      <c r="AA114" s="527">
        <v>-24000493.217960462</v>
      </c>
      <c r="AB114" s="527">
        <v>1401560.3120471651</v>
      </c>
      <c r="AC114" s="527"/>
      <c r="AD114" s="527"/>
      <c r="AE114" s="509">
        <f t="shared" si="10"/>
        <v>82444.724238068535</v>
      </c>
      <c r="AF114" s="509"/>
      <c r="AG114" s="509"/>
      <c r="AH114" s="527">
        <v>-22598932.905913297</v>
      </c>
      <c r="AI114" s="527">
        <v>3996027.1100480859</v>
      </c>
      <c r="AJ114" s="528">
        <v>-26594960.015961383</v>
      </c>
      <c r="AK114" s="167"/>
    </row>
    <row r="115" spans="1:39" x14ac:dyDescent="0.25">
      <c r="A115" s="506" t="s">
        <v>541</v>
      </c>
      <c r="B115" s="524">
        <v>0</v>
      </c>
      <c r="C115" s="524">
        <v>0</v>
      </c>
      <c r="D115" s="524">
        <v>334459.95511403593</v>
      </c>
      <c r="E115" s="524">
        <v>5495.4224450407964</v>
      </c>
      <c r="F115" s="524">
        <v>0</v>
      </c>
      <c r="G115" s="524">
        <v>0</v>
      </c>
      <c r="H115" s="524"/>
      <c r="I115" s="524">
        <v>69108.876913154963</v>
      </c>
      <c r="J115" s="524">
        <v>-11040.354322614983</v>
      </c>
      <c r="K115" s="524">
        <v>115609.69290170481</v>
      </c>
      <c r="L115" s="524">
        <v>32687.241822205164</v>
      </c>
      <c r="M115" s="524">
        <v>86964.799098689313</v>
      </c>
      <c r="N115" s="524"/>
      <c r="O115" s="524">
        <v>250205.22285633616</v>
      </c>
      <c r="P115" s="524">
        <v>883490.85682855221</v>
      </c>
      <c r="Q115" s="525">
        <v>258917.26358378481</v>
      </c>
      <c r="R115" s="525">
        <v>348732.10689372261</v>
      </c>
      <c r="S115" s="525">
        <v>568053.47326428944</v>
      </c>
      <c r="T115" s="525">
        <v>416925.71798506571</v>
      </c>
      <c r="U115" s="525">
        <v>133473.31080383059</v>
      </c>
      <c r="V115" s="525">
        <v>387480.11877080292</v>
      </c>
      <c r="W115" s="525">
        <v>116107.03114025792</v>
      </c>
      <c r="X115" s="525">
        <v>522066.64255005948</v>
      </c>
      <c r="Y115" s="525">
        <v>107049.02582422871</v>
      </c>
      <c r="Z115" s="514">
        <v>2858804.6908160425</v>
      </c>
      <c r="AA115" s="527">
        <v>-26594960.015961383</v>
      </c>
      <c r="AB115" s="527">
        <v>1402537.6583068424</v>
      </c>
      <c r="AC115" s="527"/>
      <c r="AD115" s="527"/>
      <c r="AE115" s="509">
        <f t="shared" si="10"/>
        <v>82502.215194520148</v>
      </c>
      <c r="AF115" s="509"/>
      <c r="AG115" s="509"/>
      <c r="AH115" s="527">
        <v>-25192422.357654542</v>
      </c>
      <c r="AI115" s="527">
        <v>3742295.5476445947</v>
      </c>
      <c r="AJ115" s="528">
        <v>-28934717.905299135</v>
      </c>
      <c r="AK115" s="167"/>
    </row>
    <row r="116" spans="1:39" x14ac:dyDescent="0.25">
      <c r="A116" s="506" t="s">
        <v>540</v>
      </c>
      <c r="B116" s="524">
        <v>0</v>
      </c>
      <c r="C116" s="524">
        <v>0</v>
      </c>
      <c r="D116" s="524">
        <v>334002.91524165322</v>
      </c>
      <c r="E116" s="524">
        <v>5490.1881517786414</v>
      </c>
      <c r="F116" s="524">
        <v>0</v>
      </c>
      <c r="G116" s="524">
        <v>0</v>
      </c>
      <c r="H116" s="524"/>
      <c r="I116" s="524">
        <v>57733.748208491743</v>
      </c>
      <c r="J116" s="524">
        <v>-52619.118863504431</v>
      </c>
      <c r="K116" s="524">
        <v>96460.186186307692</v>
      </c>
      <c r="L116" s="524">
        <v>31283.223801254659</v>
      </c>
      <c r="M116" s="524">
        <v>87292.653210694887</v>
      </c>
      <c r="N116" s="524"/>
      <c r="O116" s="524">
        <v>250205.22285633616</v>
      </c>
      <c r="P116" s="524">
        <v>809849.01879301248</v>
      </c>
      <c r="Q116" s="525">
        <v>248560.5730404334</v>
      </c>
      <c r="R116" s="525">
        <v>308637.30396337446</v>
      </c>
      <c r="S116" s="525">
        <v>587556.88470858103</v>
      </c>
      <c r="T116" s="525">
        <v>427977.03644920804</v>
      </c>
      <c r="U116" s="525">
        <v>119197.75598694041</v>
      </c>
      <c r="V116" s="525">
        <v>342930.33773708274</v>
      </c>
      <c r="W116" s="525">
        <v>-46506.987073286567</v>
      </c>
      <c r="X116" s="525">
        <v>483225.57616558851</v>
      </c>
      <c r="Y116" s="525">
        <v>112547.42754005078</v>
      </c>
      <c r="Z116" s="514">
        <v>2584125.9085179726</v>
      </c>
      <c r="AA116" s="527">
        <v>-28934717.905299135</v>
      </c>
      <c r="AB116" s="527">
        <v>1403443.746156201</v>
      </c>
      <c r="AC116" s="527"/>
      <c r="AD116" s="527"/>
      <c r="AE116" s="509">
        <f t="shared" si="10"/>
        <v>82555.514479776524</v>
      </c>
      <c r="AF116" s="509"/>
      <c r="AG116" s="509"/>
      <c r="AH116" s="527">
        <v>-27531274.159142934</v>
      </c>
      <c r="AI116" s="527">
        <v>3393974.927310985</v>
      </c>
      <c r="AJ116" s="528">
        <v>-30925249.086453918</v>
      </c>
      <c r="AK116" s="167"/>
    </row>
    <row r="117" spans="1:39" x14ac:dyDescent="0.25">
      <c r="A117" s="506" t="s">
        <v>539</v>
      </c>
      <c r="B117" s="524">
        <v>0</v>
      </c>
      <c r="C117" s="524">
        <v>0</v>
      </c>
      <c r="D117" s="524">
        <v>333546.48086590978</v>
      </c>
      <c r="E117" s="524">
        <v>5485.2841294106574</v>
      </c>
      <c r="F117" s="524">
        <v>0</v>
      </c>
      <c r="G117" s="524">
        <v>0</v>
      </c>
      <c r="H117" s="524"/>
      <c r="I117" s="524">
        <v>19405.540851985119</v>
      </c>
      <c r="J117" s="524">
        <v>-93213.967342615841</v>
      </c>
      <c r="K117" s="524">
        <v>77936.560210121068</v>
      </c>
      <c r="L117" s="524">
        <v>29921.639008347578</v>
      </c>
      <c r="M117" s="524">
        <v>87682.767303270288</v>
      </c>
      <c r="N117" s="524"/>
      <c r="O117" s="524">
        <v>250205.22285633616</v>
      </c>
      <c r="P117" s="524">
        <v>710969.52788276481</v>
      </c>
      <c r="Q117" s="525">
        <v>238618.15011881609</v>
      </c>
      <c r="R117" s="525">
        <v>270146.29315024015</v>
      </c>
      <c r="S117" s="525">
        <v>606069.03194322658</v>
      </c>
      <c r="T117" s="525">
        <v>438447.66043886665</v>
      </c>
      <c r="U117" s="525">
        <v>105493.22336272582</v>
      </c>
      <c r="V117" s="525">
        <v>300162.54794471129</v>
      </c>
      <c r="W117" s="525">
        <v>-216837.028283672</v>
      </c>
      <c r="X117" s="525">
        <v>434197.43666657555</v>
      </c>
      <c r="Y117" s="525">
        <v>117314.57823895504</v>
      </c>
      <c r="Z117" s="514">
        <v>2293611.8935804456</v>
      </c>
      <c r="AA117" s="527">
        <v>-30925249.086453918</v>
      </c>
      <c r="AB117" s="527">
        <v>1404281.1481969259</v>
      </c>
      <c r="AC117" s="527"/>
      <c r="AD117" s="527"/>
      <c r="AE117" s="509">
        <f t="shared" si="10"/>
        <v>82604.773423348583</v>
      </c>
      <c r="AF117" s="509"/>
      <c r="AG117" s="509"/>
      <c r="AH117" s="527">
        <v>-29520967.938256994</v>
      </c>
      <c r="AI117" s="527">
        <v>3004581.4214632101</v>
      </c>
      <c r="AJ117" s="528">
        <v>-32525549.359720204</v>
      </c>
      <c r="AK117" s="167"/>
    </row>
    <row r="118" spans="1:39" x14ac:dyDescent="0.25">
      <c r="A118" s="506" t="s">
        <v>538</v>
      </c>
      <c r="B118" s="524">
        <v>0</v>
      </c>
      <c r="C118" s="524">
        <v>0</v>
      </c>
      <c r="D118" s="524">
        <v>333095.73615693406</v>
      </c>
      <c r="E118" s="524">
        <v>5480.3801070426734</v>
      </c>
      <c r="F118" s="524">
        <v>0</v>
      </c>
      <c r="G118" s="524">
        <v>0</v>
      </c>
      <c r="H118" s="524"/>
      <c r="I118" s="524"/>
      <c r="J118" s="524">
        <v>-133802.9690991395</v>
      </c>
      <c r="K118" s="524">
        <v>59598.344420776812</v>
      </c>
      <c r="L118" s="524">
        <v>28573.060690783957</v>
      </c>
      <c r="M118" s="524">
        <v>87870.56684117805</v>
      </c>
      <c r="N118" s="524"/>
      <c r="O118" s="524">
        <v>250205.22285633616</v>
      </c>
      <c r="P118" s="524">
        <v>631020.3419739122</v>
      </c>
      <c r="Q118" s="525">
        <v>229073.42411406344</v>
      </c>
      <c r="R118" s="525">
        <v>233194.92276963126</v>
      </c>
      <c r="S118" s="525">
        <v>623630.62117537134</v>
      </c>
      <c r="T118" s="525">
        <v>448361.51094170089</v>
      </c>
      <c r="U118" s="525">
        <v>92336.872043479802</v>
      </c>
      <c r="V118" s="525">
        <v>259105.46974403478</v>
      </c>
      <c r="W118" s="525">
        <v>-401195.64698744903</v>
      </c>
      <c r="X118" s="525">
        <v>376467.2562092623</v>
      </c>
      <c r="Y118" s="525">
        <v>121438.18965547079</v>
      </c>
      <c r="Z118" s="514">
        <v>1982412.6196655652</v>
      </c>
      <c r="AA118" s="527">
        <v>-32525549.359720204</v>
      </c>
      <c r="AB118" s="527">
        <v>1405053.8283316598</v>
      </c>
      <c r="AC118" s="527"/>
      <c r="AD118" s="527"/>
      <c r="AE118" s="509">
        <f t="shared" si="10"/>
        <v>82650.225195979991</v>
      </c>
      <c r="AF118" s="509"/>
      <c r="AG118" s="509"/>
      <c r="AH118" s="527">
        <v>-31120495.531388544</v>
      </c>
      <c r="AI118" s="527">
        <v>2613432.9616394774</v>
      </c>
      <c r="AJ118" s="528">
        <v>-33733928.493028022</v>
      </c>
      <c r="AK118" s="167"/>
    </row>
    <row r="119" spans="1:39" x14ac:dyDescent="0.25">
      <c r="A119" s="506" t="s">
        <v>537</v>
      </c>
      <c r="B119" s="524">
        <v>0</v>
      </c>
      <c r="C119" s="524">
        <v>0</v>
      </c>
      <c r="D119" s="524">
        <v>332644.9964520628</v>
      </c>
      <c r="E119" s="524">
        <v>5475.8063555688595</v>
      </c>
      <c r="F119" s="524">
        <v>0</v>
      </c>
      <c r="G119" s="524">
        <v>0</v>
      </c>
      <c r="H119" s="524"/>
      <c r="I119" s="524"/>
      <c r="J119" s="524">
        <v>-172907.59430212423</v>
      </c>
      <c r="K119" s="524">
        <v>42094.674511203513</v>
      </c>
      <c r="L119" s="524">
        <v>27280.848301528815</v>
      </c>
      <c r="M119" s="524">
        <v>88286.171750419977</v>
      </c>
      <c r="N119" s="524"/>
      <c r="O119" s="524">
        <v>250205.22285633616</v>
      </c>
      <c r="P119" s="524">
        <v>573080.12592499587</v>
      </c>
      <c r="Q119" s="525">
        <v>219910.4871495009</v>
      </c>
      <c r="R119" s="525">
        <v>197721.60720424674</v>
      </c>
      <c r="S119" s="525">
        <v>640280.72508568107</v>
      </c>
      <c r="T119" s="525">
        <v>457741.54863982007</v>
      </c>
      <c r="U119" s="525">
        <v>79706.774777003666</v>
      </c>
      <c r="V119" s="525">
        <v>219690.67467138535</v>
      </c>
      <c r="W119" s="525">
        <v>-600397.93826536951</v>
      </c>
      <c r="X119" s="525">
        <v>308312.43226247811</v>
      </c>
      <c r="Y119" s="525">
        <v>124822.89823596703</v>
      </c>
      <c r="Z119" s="514">
        <v>1647789.2097607134</v>
      </c>
      <c r="AA119" s="527">
        <v>-33733928.493028022</v>
      </c>
      <c r="AB119" s="527">
        <v>1405763.6634163791</v>
      </c>
      <c r="AC119" s="527"/>
      <c r="AD119" s="527"/>
      <c r="AE119" s="509">
        <f t="shared" si="10"/>
        <v>82691.980200963473</v>
      </c>
      <c r="AF119" s="509"/>
      <c r="AG119" s="509"/>
      <c r="AH119" s="527">
        <v>-32328164.829611644</v>
      </c>
      <c r="AI119" s="527">
        <v>2220869.3356857095</v>
      </c>
      <c r="AJ119" s="528">
        <v>-34549034.165297352</v>
      </c>
      <c r="AK119" s="167"/>
    </row>
    <row r="120" spans="1:39" x14ac:dyDescent="0.25">
      <c r="A120" s="506" t="s">
        <v>536</v>
      </c>
      <c r="B120" s="524">
        <v>0</v>
      </c>
      <c r="C120" s="524">
        <v>0</v>
      </c>
      <c r="D120" s="524">
        <v>324728.00279044261</v>
      </c>
      <c r="E120" s="524">
        <v>5470.5720623067054</v>
      </c>
      <c r="F120" s="524">
        <v>0</v>
      </c>
      <c r="G120" s="524">
        <v>0</v>
      </c>
      <c r="H120" s="524"/>
      <c r="I120" s="524"/>
      <c r="J120" s="524">
        <v>-210419.45303719834</v>
      </c>
      <c r="K120" s="524">
        <v>25461.850037519052</v>
      </c>
      <c r="L120" s="524">
        <v>26047.423577920516</v>
      </c>
      <c r="M120" s="524">
        <v>88623.884531529911</v>
      </c>
      <c r="N120" s="524"/>
      <c r="O120" s="524">
        <v>250205.22285633616</v>
      </c>
      <c r="P120" s="524">
        <v>510117.50281885662</v>
      </c>
      <c r="Q120" s="525">
        <v>211114.06766352087</v>
      </c>
      <c r="R120" s="525">
        <v>163667.22426147759</v>
      </c>
      <c r="S120" s="525">
        <v>656056.84819579171</v>
      </c>
      <c r="T120" s="525">
        <v>466609.81233933533</v>
      </c>
      <c r="U120" s="525">
        <v>67581.881401186562</v>
      </c>
      <c r="V120" s="525">
        <v>181852.47140164179</v>
      </c>
      <c r="W120" s="525">
        <v>-807535.46789453633</v>
      </c>
      <c r="X120" s="525">
        <v>233291.32678008123</v>
      </c>
      <c r="Y120" s="525">
        <v>127677.66896565449</v>
      </c>
      <c r="Z120" s="514">
        <v>1300315.8331141532</v>
      </c>
      <c r="AA120" s="527">
        <v>-34549034.165297352</v>
      </c>
      <c r="AB120" s="527">
        <v>1406413.2693841213</v>
      </c>
      <c r="AC120" s="527"/>
      <c r="AD120" s="527"/>
      <c r="AE120" s="509">
        <f t="shared" si="10"/>
        <v>82730.192316713015</v>
      </c>
      <c r="AF120" s="509"/>
      <c r="AG120" s="509"/>
      <c r="AH120" s="527">
        <v>-33142620.895913232</v>
      </c>
      <c r="AI120" s="527">
        <v>1810433.3359330099</v>
      </c>
      <c r="AJ120" s="528">
        <v>-34953054.231846243</v>
      </c>
      <c r="AK120" s="167"/>
    </row>
    <row r="121" spans="1:39" x14ac:dyDescent="0.25">
      <c r="A121" s="506" t="s">
        <v>535</v>
      </c>
      <c r="B121" s="524">
        <v>0</v>
      </c>
      <c r="C121" s="524">
        <v>0</v>
      </c>
      <c r="D121" s="524">
        <v>324281.75677137391</v>
      </c>
      <c r="E121" s="524">
        <v>5465.6680399387205</v>
      </c>
      <c r="F121" s="524">
        <v>0</v>
      </c>
      <c r="G121" s="524">
        <v>0</v>
      </c>
      <c r="H121" s="524"/>
      <c r="I121" s="529"/>
      <c r="J121" s="524">
        <v>-249066.70163760777</v>
      </c>
      <c r="K121" s="524">
        <v>8499.7233862408921</v>
      </c>
      <c r="L121" s="524">
        <v>24792.613042516306</v>
      </c>
      <c r="M121" s="524">
        <v>89027.155242579771</v>
      </c>
      <c r="N121" s="524"/>
      <c r="O121" s="524">
        <v>250205.22285633616</v>
      </c>
      <c r="P121" s="524">
        <v>453205.43770137802</v>
      </c>
      <c r="Q121" s="525">
        <v>202669.50495698003</v>
      </c>
      <c r="R121" s="525">
        <v>157120.53529101849</v>
      </c>
      <c r="S121" s="525">
        <v>670994.98962093028</v>
      </c>
      <c r="T121" s="525">
        <v>474987.45586264454</v>
      </c>
      <c r="U121" s="525">
        <v>55941.983760402138</v>
      </c>
      <c r="V121" s="525">
        <v>174578.3725455761</v>
      </c>
      <c r="W121" s="525">
        <v>-1021266.5760962927</v>
      </c>
      <c r="X121" s="525">
        <v>152309.2619050279</v>
      </c>
      <c r="Y121" s="525">
        <v>130061.4445212854</v>
      </c>
      <c r="Z121" s="514">
        <v>997396.97236757213</v>
      </c>
      <c r="AA121" s="527">
        <v>-34953054.231846243</v>
      </c>
      <c r="AB121" s="527">
        <v>1407005.4105150374</v>
      </c>
      <c r="AC121" s="527"/>
      <c r="AD121" s="527"/>
      <c r="AE121" s="509">
        <f t="shared" si="10"/>
        <v>82765.024147943375</v>
      </c>
      <c r="AF121" s="509"/>
      <c r="AG121" s="509"/>
      <c r="AH121" s="527">
        <v>-33546048.821331207</v>
      </c>
      <c r="AI121" s="527">
        <v>1450602.4100689502</v>
      </c>
      <c r="AJ121" s="528">
        <v>-34996651.231400155</v>
      </c>
      <c r="AK121" s="167"/>
    </row>
    <row r="122" spans="1:39" x14ac:dyDescent="0.25">
      <c r="A122" s="506" t="s">
        <v>534</v>
      </c>
      <c r="B122" s="524">
        <v>0</v>
      </c>
      <c r="C122" s="524">
        <v>0</v>
      </c>
      <c r="D122" s="524">
        <v>277679.20751625445</v>
      </c>
      <c r="E122" s="524">
        <v>5461.0892843604497</v>
      </c>
      <c r="F122" s="524">
        <v>0</v>
      </c>
      <c r="G122" s="524">
        <v>0</v>
      </c>
      <c r="H122" s="524"/>
      <c r="I122" s="529"/>
      <c r="J122" s="524">
        <v>-286991.40773056378</v>
      </c>
      <c r="K122" s="524">
        <v>-7980.251313991238</v>
      </c>
      <c r="L122" s="524">
        <v>23570.619139552255</v>
      </c>
      <c r="M122" s="524">
        <v>89304.719657535548</v>
      </c>
      <c r="N122" s="524"/>
      <c r="O122" s="524">
        <v>250205.22285633616</v>
      </c>
      <c r="P122" s="524">
        <v>351249.19940948387</v>
      </c>
      <c r="Q122" s="525">
        <v>0</v>
      </c>
      <c r="R122" s="525">
        <v>130865.13243808385</v>
      </c>
      <c r="S122" s="525">
        <v>685129.7033122984</v>
      </c>
      <c r="T122" s="525">
        <v>472612.5185833312</v>
      </c>
      <c r="U122" s="525">
        <v>53704.304409986056</v>
      </c>
      <c r="V122" s="525">
        <v>145405.70270898205</v>
      </c>
      <c r="W122" s="525">
        <v>-1322881.7486246566</v>
      </c>
      <c r="X122" s="525">
        <v>58935.961013206957</v>
      </c>
      <c r="Y122" s="525">
        <v>131598.29462630776</v>
      </c>
      <c r="Z122" s="514">
        <v>355369.86846753961</v>
      </c>
      <c r="AA122" s="527">
        <v>-34996651.231400155</v>
      </c>
      <c r="AB122" s="527">
        <v>1407542.7546521276</v>
      </c>
      <c r="AC122" s="527"/>
      <c r="AD122" s="527"/>
      <c r="AE122" s="509">
        <f t="shared" si="10"/>
        <v>82796.632626595747</v>
      </c>
      <c r="AF122" s="509"/>
      <c r="AG122" s="509"/>
      <c r="AH122" s="527">
        <v>-33589108.476748027</v>
      </c>
      <c r="AI122" s="527">
        <v>706619.06787702348</v>
      </c>
      <c r="AJ122" s="528">
        <v>-34295727.544625051</v>
      </c>
      <c r="AK122" s="167"/>
    </row>
    <row r="123" spans="1:39" x14ac:dyDescent="0.25">
      <c r="A123" s="506" t="s">
        <v>533</v>
      </c>
      <c r="B123" s="524">
        <v>0</v>
      </c>
      <c r="C123" s="524">
        <v>0</v>
      </c>
      <c r="D123" s="524">
        <v>259239.64805554613</v>
      </c>
      <c r="E123" s="524">
        <v>5455.8599952027525</v>
      </c>
      <c r="F123" s="524">
        <v>0</v>
      </c>
      <c r="G123" s="524">
        <v>0</v>
      </c>
      <c r="H123" s="524"/>
      <c r="I123" s="529"/>
      <c r="J123" s="524">
        <v>-326270.76903726609</v>
      </c>
      <c r="K123" s="524">
        <v>-140706.49907838707</v>
      </c>
      <c r="L123" s="524">
        <v>-9399.2577861193731</v>
      </c>
      <c r="M123" s="524">
        <v>89587.44353205114</v>
      </c>
      <c r="N123" s="524"/>
      <c r="O123" s="524">
        <v>250205.22285633616</v>
      </c>
      <c r="P123" s="524">
        <v>128111.64853736365</v>
      </c>
      <c r="Q123" s="525">
        <v>0</v>
      </c>
      <c r="R123" s="525">
        <v>106769.42244600516</v>
      </c>
      <c r="S123" s="525">
        <v>681704.05479573668</v>
      </c>
      <c r="T123" s="525">
        <v>470249.45599041448</v>
      </c>
      <c r="U123" s="525">
        <v>44730.123252767065</v>
      </c>
      <c r="V123" s="525">
        <v>118632.69160667241</v>
      </c>
      <c r="W123" s="525">
        <v>-1498032.0733188766</v>
      </c>
      <c r="X123" s="525">
        <v>-42114.184666233006</v>
      </c>
      <c r="Y123" s="525">
        <v>132567.13915927018</v>
      </c>
      <c r="Z123" s="514">
        <v>14506.629265756565</v>
      </c>
      <c r="AA123" s="527">
        <v>-34295727.544625051</v>
      </c>
      <c r="AB123" s="527">
        <v>1408025.8004604876</v>
      </c>
      <c r="AC123" s="527"/>
      <c r="AD123" s="527"/>
      <c r="AE123" s="509">
        <f t="shared" si="10"/>
        <v>82825.047085911036</v>
      </c>
      <c r="AF123" s="509"/>
      <c r="AG123" s="509"/>
      <c r="AH123" s="527">
        <v>-32887701.744164564</v>
      </c>
      <c r="AI123" s="527">
        <v>142618.2778031202</v>
      </c>
      <c r="AJ123" s="528">
        <v>-33030320.021967683</v>
      </c>
      <c r="AK123" s="525"/>
      <c r="AL123" s="525"/>
      <c r="AM123" s="532"/>
    </row>
    <row r="124" spans="1:39" x14ac:dyDescent="0.25">
      <c r="A124" s="506" t="s">
        <v>532</v>
      </c>
      <c r="B124" s="524">
        <v>0</v>
      </c>
      <c r="C124" s="524">
        <v>0</v>
      </c>
      <c r="D124" s="524">
        <v>185174.23826471658</v>
      </c>
      <c r="E124" s="524">
        <v>5167.9938822020804</v>
      </c>
      <c r="F124" s="524">
        <v>0</v>
      </c>
      <c r="G124" s="524">
        <v>0</v>
      </c>
      <c r="H124" s="524"/>
      <c r="I124" s="529"/>
      <c r="J124" s="524">
        <v>0</v>
      </c>
      <c r="K124" s="524">
        <v>0</v>
      </c>
      <c r="L124" s="524">
        <v>0</v>
      </c>
      <c r="M124" s="524">
        <v>89587.44353205114</v>
      </c>
      <c r="N124" s="524"/>
      <c r="O124" s="524">
        <v>250205.22285633616</v>
      </c>
      <c r="P124" s="524">
        <v>530134.89853530598</v>
      </c>
      <c r="Q124" s="525">
        <v>0</v>
      </c>
      <c r="R124" s="525">
        <v>0</v>
      </c>
      <c r="S124" s="525">
        <v>0</v>
      </c>
      <c r="T124" s="525">
        <v>0</v>
      </c>
      <c r="U124" s="525">
        <v>0</v>
      </c>
      <c r="V124" s="525">
        <v>0</v>
      </c>
      <c r="W124" s="525">
        <v>-1762818.2576189293</v>
      </c>
      <c r="X124" s="525">
        <v>-930478.38486333296</v>
      </c>
      <c r="Y124" s="525">
        <v>-55851.636840442407</v>
      </c>
      <c r="Z124" s="514">
        <v>-2749148.2793227043</v>
      </c>
      <c r="AA124" s="527">
        <v>-33030320.021967683</v>
      </c>
      <c r="AB124" s="527">
        <v>1408025.8004604876</v>
      </c>
      <c r="AC124" s="527"/>
      <c r="AD124" s="527"/>
      <c r="AE124" s="509">
        <f t="shared" si="10"/>
        <v>82825.047085911036</v>
      </c>
      <c r="AF124" s="509"/>
      <c r="AG124" s="509"/>
      <c r="AH124" s="527">
        <v>-31622294.221507195</v>
      </c>
      <c r="AI124" s="527">
        <v>-2219013.3807873982</v>
      </c>
      <c r="AJ124" s="528">
        <v>-29403280.840719797</v>
      </c>
      <c r="AK124" s="525"/>
      <c r="AL124" s="525">
        <v>-29403280.840719797</v>
      </c>
      <c r="AM124" s="532">
        <v>2556726062.8057499</v>
      </c>
    </row>
  </sheetData>
  <hyperlinks>
    <hyperlink ref="B2" r:id="rId1" tooltip="https://ipa.illinois.gov/content/dam/soi/en/web/ipa/documents/appendix-b-20-oct-2023-11am.xlsx" xr:uid="{5E718976-C479-4E28-BBA7-904D98B5723F}"/>
  </hyperlinks>
  <printOptions horizontalCentered="1" verticalCentered="1"/>
  <pageMargins left="0.25" right="0.25" top="0.75" bottom="0.75" header="0.3" footer="0.3"/>
  <pageSetup scale="21" orientation="landscape" r:id="rId2"/>
  <headerFooter>
    <oddHeader>&amp;C&amp;A</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621FD-3B68-4A1B-8EDB-9127B3517226}">
  <sheetPr codeName="Sheet29">
    <tabColor theme="8" tint="0.79998168889431442"/>
  </sheetPr>
  <dimension ref="A1:AP11"/>
  <sheetViews>
    <sheetView workbookViewId="0"/>
  </sheetViews>
  <sheetFormatPr defaultRowHeight="15" x14ac:dyDescent="0.25"/>
  <cols>
    <col min="1" max="1" width="27" style="3" bestFit="1" customWidth="1"/>
    <col min="2" max="2" width="16.7109375" style="3" customWidth="1"/>
    <col min="3" max="3" width="24.85546875" style="3" bestFit="1" customWidth="1"/>
    <col min="4" max="16384" width="9.140625" style="3"/>
  </cols>
  <sheetData>
    <row r="1" spans="1:42" ht="18.75" x14ac:dyDescent="0.3">
      <c r="A1" s="36" t="s">
        <v>15</v>
      </c>
      <c r="B1" s="36"/>
    </row>
    <row r="2" spans="1:42" x14ac:dyDescent="0.25">
      <c r="B2" s="7" t="s">
        <v>155</v>
      </c>
      <c r="C2" s="3" t="s">
        <v>154</v>
      </c>
    </row>
    <row r="3" spans="1:42" x14ac:dyDescent="0.25">
      <c r="A3" s="265" t="s">
        <v>153</v>
      </c>
      <c r="B3" s="170">
        <f>10^3</f>
        <v>1000</v>
      </c>
    </row>
    <row r="4" spans="1:42" x14ac:dyDescent="0.25">
      <c r="A4" s="4" t="s">
        <v>109</v>
      </c>
      <c r="B4" s="170">
        <f>10^6</f>
        <v>1000000</v>
      </c>
    </row>
    <row r="5" spans="1:42" x14ac:dyDescent="0.25">
      <c r="A5" s="40" t="s">
        <v>152</v>
      </c>
      <c r="B5" s="39">
        <v>47484</v>
      </c>
      <c r="C5" s="38"/>
    </row>
    <row r="6" spans="1:42" x14ac:dyDescent="0.25">
      <c r="A6" s="265" t="s">
        <v>151</v>
      </c>
      <c r="B6" s="496">
        <v>1</v>
      </c>
      <c r="C6" s="37"/>
    </row>
    <row r="7" spans="1:42" x14ac:dyDescent="0.25">
      <c r="A7" s="497" t="s">
        <v>79</v>
      </c>
      <c r="B7" s="496">
        <v>7.4789635042676814E-2</v>
      </c>
      <c r="C7" s="498" t="s">
        <v>502</v>
      </c>
    </row>
    <row r="8" spans="1:42" x14ac:dyDescent="0.25">
      <c r="A8" s="3" t="s">
        <v>500</v>
      </c>
      <c r="B8" s="496">
        <f>CCR_BTM!RCCR</f>
        <v>5.3013198735662778E-2</v>
      </c>
      <c r="C8" s="498" t="s">
        <v>503</v>
      </c>
    </row>
    <row r="9" spans="1:42" x14ac:dyDescent="0.25">
      <c r="A9" s="3" t="s">
        <v>501</v>
      </c>
      <c r="B9" s="496">
        <f>CCR_OSW!RCCR</f>
        <v>5.291849123258105E-2</v>
      </c>
      <c r="C9" s="498" t="s">
        <v>504</v>
      </c>
    </row>
    <row r="10" spans="1:42" x14ac:dyDescent="0.25">
      <c r="A10" s="3" t="s">
        <v>104</v>
      </c>
      <c r="B10" s="3">
        <v>20</v>
      </c>
      <c r="AP10" s="249"/>
    </row>
    <row r="11" spans="1:42" x14ac:dyDescent="0.25">
      <c r="A11" s="3" t="s">
        <v>529</v>
      </c>
      <c r="B11" s="479">
        <v>0.02</v>
      </c>
      <c r="C11" s="499" t="s">
        <v>530</v>
      </c>
    </row>
  </sheetData>
  <dataValidations count="1">
    <dataValidation type="date" showInputMessage="1" showErrorMessage="1" sqref="B5:C5" xr:uid="{33A3DD79-39D0-41CB-AA36-0587D2402986}">
      <formula1>1</formula1>
      <formula2>73050</formula2>
    </dataValidation>
  </dataValidation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F275A-60B6-46EA-AEEA-D77B72D21A40}">
  <sheetPr codeName="Sheet30">
    <tabColor theme="8" tint="0.79998168889431442"/>
    <pageSetUpPr fitToPage="1"/>
  </sheetPr>
  <dimension ref="A1:V66"/>
  <sheetViews>
    <sheetView zoomScale="85" zoomScaleNormal="85" workbookViewId="0">
      <pane xSplit="5" ySplit="21" topLeftCell="F22" activePane="bottomRight" state="frozen"/>
      <selection pane="topRight"/>
      <selection pane="bottomLeft"/>
      <selection pane="bottomRight"/>
    </sheetView>
  </sheetViews>
  <sheetFormatPr defaultRowHeight="15" x14ac:dyDescent="0.25"/>
  <cols>
    <col min="1" max="1" width="18" style="3" customWidth="1"/>
    <col min="2" max="3" width="9.140625" style="3"/>
    <col min="4" max="4" width="12.28515625" style="3" bestFit="1" customWidth="1"/>
    <col min="5" max="16384" width="9.140625" style="3"/>
  </cols>
  <sheetData>
    <row r="1" spans="1:22" ht="18.75" x14ac:dyDescent="0.3">
      <c r="A1" s="36" t="s">
        <v>189</v>
      </c>
    </row>
    <row r="2" spans="1:22" x14ac:dyDescent="0.25">
      <c r="D2" s="180" t="s">
        <v>505</v>
      </c>
    </row>
    <row r="3" spans="1:22" x14ac:dyDescent="0.25">
      <c r="A3" s="31" t="s">
        <v>15</v>
      </c>
      <c r="D3" s="476" t="s">
        <v>80</v>
      </c>
    </row>
    <row r="4" spans="1:22" x14ac:dyDescent="0.25">
      <c r="A4" s="478" t="s">
        <v>187</v>
      </c>
      <c r="B4" s="478"/>
      <c r="C4" s="3" t="s">
        <v>186</v>
      </c>
      <c r="D4" s="247">
        <v>0.51500000000000001</v>
      </c>
    </row>
    <row r="5" spans="1:22" x14ac:dyDescent="0.25">
      <c r="A5" s="478" t="s">
        <v>185</v>
      </c>
      <c r="B5" s="478"/>
      <c r="C5" s="3" t="s">
        <v>184</v>
      </c>
      <c r="D5" s="479">
        <v>5.1909999999999998E-2</v>
      </c>
    </row>
    <row r="6" spans="1:22" x14ac:dyDescent="0.25">
      <c r="A6" s="478" t="s">
        <v>183</v>
      </c>
      <c r="B6" s="478"/>
      <c r="C6" s="3" t="s">
        <v>182</v>
      </c>
      <c r="D6" s="479">
        <v>8.6879999999999985E-2</v>
      </c>
    </row>
    <row r="7" spans="1:22" x14ac:dyDescent="0.25">
      <c r="A7" s="478" t="s">
        <v>181</v>
      </c>
      <c r="B7" s="478"/>
      <c r="C7" s="3" t="s">
        <v>180</v>
      </c>
      <c r="D7" s="247">
        <v>0.21</v>
      </c>
    </row>
    <row r="8" spans="1:22" x14ac:dyDescent="0.25">
      <c r="A8" s="478" t="s">
        <v>179</v>
      </c>
      <c r="B8" s="478"/>
      <c r="C8" s="3" t="s">
        <v>178</v>
      </c>
      <c r="D8" s="479">
        <v>9.5000000000000001E-2</v>
      </c>
      <c r="V8" s="480" t="s">
        <v>81</v>
      </c>
    </row>
    <row r="9" spans="1:22" x14ac:dyDescent="0.25">
      <c r="A9" s="478" t="s">
        <v>177</v>
      </c>
      <c r="B9" s="478"/>
      <c r="C9" s="3" t="s">
        <v>176</v>
      </c>
      <c r="D9" s="3">
        <v>20</v>
      </c>
    </row>
    <row r="10" spans="1:22" x14ac:dyDescent="0.25">
      <c r="A10" s="478" t="s">
        <v>175</v>
      </c>
      <c r="B10" s="478"/>
      <c r="C10" s="3" t="s">
        <v>174</v>
      </c>
      <c r="D10" s="3">
        <v>5</v>
      </c>
      <c r="H10" s="3" t="s">
        <v>190</v>
      </c>
    </row>
    <row r="11" spans="1:22" x14ac:dyDescent="0.25">
      <c r="A11" s="478" t="s">
        <v>173</v>
      </c>
      <c r="B11" s="478"/>
      <c r="C11" s="3" t="s">
        <v>172</v>
      </c>
      <c r="D11" s="247">
        <v>0.3</v>
      </c>
    </row>
    <row r="12" spans="1:22" x14ac:dyDescent="0.25">
      <c r="A12" s="478" t="s">
        <v>26</v>
      </c>
      <c r="B12" s="478"/>
      <c r="C12" s="3" t="s">
        <v>171</v>
      </c>
      <c r="D12" s="479">
        <v>2.5000000000000001E-2</v>
      </c>
    </row>
    <row r="13" spans="1:22" x14ac:dyDescent="0.25">
      <c r="A13" s="478" t="s">
        <v>170</v>
      </c>
      <c r="B13" s="478"/>
      <c r="C13" s="3" t="s">
        <v>169</v>
      </c>
      <c r="D13" s="481">
        <f>IF(TL&lt;=10,2,IF(TL&gt;20,1,1.5))</f>
        <v>2</v>
      </c>
    </row>
    <row r="14" spans="1:22" x14ac:dyDescent="0.25">
      <c r="A14" s="478" t="s">
        <v>168</v>
      </c>
      <c r="B14" s="478"/>
      <c r="C14" s="3" t="s">
        <v>167</v>
      </c>
      <c r="D14" s="33">
        <f>$B$64</f>
        <v>0.81741804850335786</v>
      </c>
    </row>
    <row r="15" spans="1:22" x14ac:dyDescent="0.25">
      <c r="A15" s="478" t="s">
        <v>166</v>
      </c>
      <c r="B15" s="478"/>
      <c r="C15" s="3" t="s">
        <v>165</v>
      </c>
      <c r="D15" s="479">
        <f>SITR+FITR*(1-SITR)</f>
        <v>0.28505000000000003</v>
      </c>
    </row>
    <row r="16" spans="1:22" x14ac:dyDescent="0.25">
      <c r="A16" s="478" t="s">
        <v>164</v>
      </c>
      <c r="B16" s="478"/>
      <c r="C16" s="3" t="s">
        <v>163</v>
      </c>
      <c r="D16" s="479">
        <f>DbtRt*Int*(1-EITR)+(1-DbtRt)*EqRet</f>
        <v>6.1250023067499992E-2</v>
      </c>
    </row>
    <row r="17" spans="1:4" ht="15.75" x14ac:dyDescent="0.25">
      <c r="A17" s="482" t="s">
        <v>162</v>
      </c>
      <c r="B17" s="483"/>
      <c r="C17" s="484" t="s">
        <v>161</v>
      </c>
      <c r="D17" s="485">
        <f>(-PMT(NWACC,BL,1)+PMT(NWACC,BL,PVDpr)*EITR)/(1-EITR)*(1-ITCR)</f>
        <v>6.6137779311552611E-2</v>
      </c>
    </row>
    <row r="18" spans="1:4" x14ac:dyDescent="0.25">
      <c r="A18" s="478" t="s">
        <v>160</v>
      </c>
      <c r="B18" s="478"/>
      <c r="C18" s="3" t="s">
        <v>159</v>
      </c>
      <c r="D18" s="479">
        <f>(1+NWACC)/(1+Inf)-1</f>
        <v>3.5365876163414578E-2</v>
      </c>
    </row>
    <row r="19" spans="1:4" ht="15.75" x14ac:dyDescent="0.25">
      <c r="A19" s="486" t="s">
        <v>158</v>
      </c>
      <c r="B19" s="487"/>
      <c r="C19" s="488" t="s">
        <v>157</v>
      </c>
      <c r="D19" s="489">
        <f>PMT(RWACC,BL,PV(NWACC,BL,NCCR))</f>
        <v>5.3013198735662778E-2</v>
      </c>
    </row>
    <row r="21" spans="1:4" x14ac:dyDescent="0.25">
      <c r="A21" s="491" t="s">
        <v>28</v>
      </c>
      <c r="B21" s="491" t="s">
        <v>156</v>
      </c>
    </row>
    <row r="22" spans="1:4" x14ac:dyDescent="0.25">
      <c r="A22" s="492">
        <v>0</v>
      </c>
      <c r="B22" s="493"/>
    </row>
    <row r="23" spans="1:4" x14ac:dyDescent="0.25">
      <c r="A23" s="217">
        <f t="shared" ref="A23:A62" si="0">A22+1</f>
        <v>1</v>
      </c>
      <c r="B23" s="493">
        <f>IF(OR($A23&gt;=BL,$A23&gt;TL),1,MAX(1/(TL-$A23+1.5),DBR/TL)*IF($A23=1,0.5,1))*MAX(0,1-SUM(B$22:B22))*(1-ITCR)</f>
        <v>0.13999999999999999</v>
      </c>
    </row>
    <row r="24" spans="1:4" x14ac:dyDescent="0.25">
      <c r="A24" s="217">
        <f t="shared" si="0"/>
        <v>2</v>
      </c>
      <c r="B24" s="493">
        <f>IF(OR($A24&gt;=BL,$A24&gt;TL),1,MAX(1/(TL-$A24+1.5),DBR/TL)*IF($A24=1,0.5,1))*MAX(0,1-SUM(B$22:B23))*(1-ITCR)</f>
        <v>0.24080000000000001</v>
      </c>
    </row>
    <row r="25" spans="1:4" x14ac:dyDescent="0.25">
      <c r="A25" s="217">
        <f t="shared" si="0"/>
        <v>3</v>
      </c>
      <c r="B25" s="493">
        <f>IF(OR($A25&gt;=BL,$A25&gt;TL),1,MAX(1/(TL-$A25+1.5),DBR/TL)*IF($A25=1,0.5,1))*MAX(0,1-SUM(B$22:B24))*(1-ITCR)</f>
        <v>0.173376</v>
      </c>
    </row>
    <row r="26" spans="1:4" x14ac:dyDescent="0.25">
      <c r="A26" s="217">
        <f t="shared" si="0"/>
        <v>4</v>
      </c>
      <c r="B26" s="493">
        <f>IF(OR($A26&gt;=BL,$A26&gt;TL),1,MAX(1/(TL-$A26+1.5),DBR/TL)*IF($A26=1,0.5,1))*MAX(0,1-SUM(B$22:B25))*(1-ITCR)</f>
        <v>0.12483071999999999</v>
      </c>
    </row>
    <row r="27" spans="1:4" x14ac:dyDescent="0.25">
      <c r="A27" s="217">
        <f t="shared" si="0"/>
        <v>5</v>
      </c>
      <c r="B27" s="493">
        <f>IF(OR($A27&gt;=BL,$A27&gt;TL),1,MAX(1/(TL-$A27+1.5),DBR/TL)*IF($A27=1,0.5,1))*MAX(0,1-SUM(B$22:B26))*(1-ITCR)</f>
        <v>0.149796864</v>
      </c>
    </row>
    <row r="28" spans="1:4" x14ac:dyDescent="0.25">
      <c r="A28" s="217">
        <f t="shared" si="0"/>
        <v>6</v>
      </c>
      <c r="B28" s="493">
        <f>IF(OR($A28&gt;=BL,$A28&gt;TL),1,MAX(1/(TL-$A28+1.5),DBR/TL)*IF($A28=1,0.5,1))*MAX(0,1-SUM(B$22:B27))*(1-ITCR)</f>
        <v>0.11983749120000001</v>
      </c>
    </row>
    <row r="29" spans="1:4" x14ac:dyDescent="0.25">
      <c r="A29" s="217">
        <f t="shared" si="0"/>
        <v>7</v>
      </c>
      <c r="B29" s="493">
        <f>IF(OR($A29&gt;=BL,$A29&gt;TL),1,MAX(1/(TL-$A29+1.5),DBR/TL)*IF($A29=1,0.5,1))*MAX(0,1-SUM(B$22:B28))*(1-ITCR)</f>
        <v>3.5951247360000022E-2</v>
      </c>
    </row>
    <row r="30" spans="1:4" x14ac:dyDescent="0.25">
      <c r="A30" s="217">
        <f t="shared" si="0"/>
        <v>8</v>
      </c>
      <c r="B30" s="493">
        <f>IF(OR($A30&gt;=BL,$A30&gt;TL),1,MAX(1/(TL-$A30+1.5),DBR/TL)*IF($A30=1,0.5,1))*MAX(0,1-SUM(B$22:B29))*(1-ITCR)</f>
        <v>1.0785374208000031E-2</v>
      </c>
    </row>
    <row r="31" spans="1:4" x14ac:dyDescent="0.25">
      <c r="A31" s="217">
        <f t="shared" si="0"/>
        <v>9</v>
      </c>
      <c r="B31" s="493">
        <f>IF(OR($A31&gt;=BL,$A31&gt;TL),1,MAX(1/(TL-$A31+1.5),DBR/TL)*IF($A31=1,0.5,1))*MAX(0,1-SUM(B$22:B30))*(1-ITCR)</f>
        <v>3.2356122623999782E-3</v>
      </c>
    </row>
    <row r="32" spans="1:4" x14ac:dyDescent="0.25">
      <c r="A32" s="217">
        <f t="shared" si="0"/>
        <v>10</v>
      </c>
      <c r="B32" s="493">
        <f>IF(OR($A32&gt;=BL,$A32&gt;TL),1,MAX(1/(TL-$A32+1.5),DBR/TL)*IF($A32=1,0.5,1))*MAX(0,1-SUM(B$22:B31))*(1-ITCR)</f>
        <v>9.7068367871998567E-4</v>
      </c>
    </row>
    <row r="33" spans="1:2" x14ac:dyDescent="0.25">
      <c r="A33" s="217">
        <f t="shared" si="0"/>
        <v>11</v>
      </c>
      <c r="B33" s="493">
        <f>IF(OR($A33&gt;=BL,$A33&gt;TL),1,MAX(1/(TL-$A33+1.5),DBR/TL)*IF($A33=1,0.5,1))*MAX(0,1-SUM(B$22:B32))*(1-ITCR)</f>
        <v>2.9120510361598792E-4</v>
      </c>
    </row>
    <row r="34" spans="1:2" x14ac:dyDescent="0.25">
      <c r="A34" s="217">
        <f t="shared" si="0"/>
        <v>12</v>
      </c>
      <c r="B34" s="493">
        <f>IF(OR($A34&gt;=BL,$A34&gt;TL),1,MAX(1/(TL-$A34+1.5),DBR/TL)*IF($A34=1,0.5,1))*MAX(0,1-SUM(B$22:B33))*(1-ITCR)</f>
        <v>8.7361531084773062E-5</v>
      </c>
    </row>
    <row r="35" spans="1:2" x14ac:dyDescent="0.25">
      <c r="A35" s="217">
        <f t="shared" si="0"/>
        <v>13</v>
      </c>
      <c r="B35" s="493">
        <f>IF(OR($A35&gt;=BL,$A35&gt;TL),1,MAX(1/(TL-$A35+1.5),DBR/TL)*IF($A35=1,0.5,1))*MAX(0,1-SUM(B$22:B34))*(1-ITCR)</f>
        <v>2.6208459325416376E-5</v>
      </c>
    </row>
    <row r="36" spans="1:2" x14ac:dyDescent="0.25">
      <c r="A36" s="217">
        <f t="shared" si="0"/>
        <v>14</v>
      </c>
      <c r="B36" s="493">
        <f>IF(OR($A36&gt;=BL,$A36&gt;TL),1,MAX(1/(TL-$A36+1.5),DBR/TL)*IF($A36=1,0.5,1))*MAX(0,1-SUM(B$22:B35))*(1-ITCR)</f>
        <v>7.8625377976093702E-6</v>
      </c>
    </row>
    <row r="37" spans="1:2" x14ac:dyDescent="0.25">
      <c r="A37" s="217">
        <f t="shared" si="0"/>
        <v>15</v>
      </c>
      <c r="B37" s="493">
        <f>IF(OR($A37&gt;=BL,$A37&gt;TL),1,MAX(1/(TL-$A37+1.5),DBR/TL)*IF($A37=1,0.5,1))*MAX(0,1-SUM(B$22:B36))*(1-ITCR)</f>
        <v>2.358761339282811E-6</v>
      </c>
    </row>
    <row r="38" spans="1:2" x14ac:dyDescent="0.25">
      <c r="A38" s="217">
        <f t="shared" si="0"/>
        <v>16</v>
      </c>
      <c r="B38" s="493">
        <f>IF(OR($A38&gt;=BL,$A38&gt;TL),1,MAX(1/(TL-$A38+1.5),DBR/TL)*IF($A38=1,0.5,1))*MAX(0,1-SUM(B$22:B37))*(1-ITCR)</f>
        <v>7.0762840180815796E-7</v>
      </c>
    </row>
    <row r="39" spans="1:2" x14ac:dyDescent="0.25">
      <c r="A39" s="217">
        <f t="shared" si="0"/>
        <v>17</v>
      </c>
      <c r="B39" s="493">
        <f>IF(OR($A39&gt;=BL,$A39&gt;TL),1,MAX(1/(TL-$A39+1.5),DBR/TL)*IF($A39=1,0.5,1))*MAX(0,1-SUM(B$22:B38))*(1-ITCR)</f>
        <v>2.1228852057353364E-7</v>
      </c>
    </row>
    <row r="40" spans="1:2" x14ac:dyDescent="0.25">
      <c r="A40" s="217">
        <f t="shared" si="0"/>
        <v>18</v>
      </c>
      <c r="B40" s="493">
        <f>IF(OR($A40&gt;=BL,$A40&gt;TL),1,MAX(1/(TL-$A40+1.5),DBR/TL)*IF($A40=1,0.5,1))*MAX(0,1-SUM(B$22:B39))*(1-ITCR)</f>
        <v>6.3686556195374777E-8</v>
      </c>
    </row>
    <row r="41" spans="1:2" x14ac:dyDescent="0.25">
      <c r="A41" s="217">
        <f t="shared" si="0"/>
        <v>19</v>
      </c>
      <c r="B41" s="493">
        <f>IF(OR($A41&gt;=BL,$A41&gt;TL),1,MAX(1/(TL-$A41+1.5),DBR/TL)*IF($A41=1,0.5,1))*MAX(0,1-SUM(B$22:B40))*(1-ITCR)</f>
        <v>1.9105966897470237E-8</v>
      </c>
    </row>
    <row r="42" spans="1:2" x14ac:dyDescent="0.25">
      <c r="A42" s="217">
        <f t="shared" si="0"/>
        <v>20</v>
      </c>
      <c r="B42" s="493">
        <f>IF(OR($A42&gt;=BL,$A42&gt;TL),1,MAX(1/(TL-$A42+1.5),DBR/TL)*IF($A42=1,0.5,1))*MAX(0,1-SUM(B$22:B41))*(1-ITCR)</f>
        <v>5.7317900536979487E-9</v>
      </c>
    </row>
    <row r="43" spans="1:2" x14ac:dyDescent="0.25">
      <c r="A43" s="217">
        <f t="shared" si="0"/>
        <v>21</v>
      </c>
      <c r="B43" s="493">
        <f>IF(OR($A43&gt;=BL,$A43&gt;TL),1,MAX(1/(TL-$A43+1.5),DBR/TL)*IF($A43=1,0.5,1))*MAX(0,1-SUM(B$22:B42))*(1-ITCR)</f>
        <v>1.7195370238809459E-9</v>
      </c>
    </row>
    <row r="44" spans="1:2" x14ac:dyDescent="0.25">
      <c r="A44" s="217">
        <f t="shared" si="0"/>
        <v>22</v>
      </c>
      <c r="B44" s="493">
        <f>IF(OR($A44&gt;=BL,$A44&gt;TL),1,MAX(1/(TL-$A44+1.5),DBR/TL)*IF($A44=1,0.5,1))*MAX(0,1-SUM(B$22:B43))*(1-ITCR)</f>
        <v>5.158610760780391E-10</v>
      </c>
    </row>
    <row r="45" spans="1:2" x14ac:dyDescent="0.25">
      <c r="A45" s="217">
        <f t="shared" si="0"/>
        <v>23</v>
      </c>
      <c r="B45" s="493">
        <f>IF(OR($A45&gt;=BL,$A45&gt;TL),1,MAX(1/(TL-$A45+1.5),DBR/TL)*IF($A45=1,0.5,1))*MAX(0,1-SUM(B$22:B44))*(1-ITCR)</f>
        <v>1.5475836168121758E-10</v>
      </c>
    </row>
    <row r="46" spans="1:2" x14ac:dyDescent="0.25">
      <c r="A46" s="217">
        <f t="shared" si="0"/>
        <v>24</v>
      </c>
      <c r="B46" s="493">
        <f>IF(OR($A46&gt;=BL,$A46&gt;TL),1,MAX(1/(TL-$A46+1.5),DBR/TL)*IF($A46=1,0.5,1))*MAX(0,1-SUM(B$22:B45))*(1-ITCR)</f>
        <v>4.6427539590609965E-11</v>
      </c>
    </row>
    <row r="47" spans="1:2" x14ac:dyDescent="0.25">
      <c r="A47" s="217">
        <f t="shared" si="0"/>
        <v>25</v>
      </c>
      <c r="B47" s="493">
        <f>IF(OR($A47&gt;=BL,$A47&gt;TL),1,MAX(1/(TL-$A47+1.5),DBR/TL)*IF($A47=1,0.5,1))*MAX(0,1-SUM(B$22:B46))*(1-ITCR)</f>
        <v>1.3928269648744162E-11</v>
      </c>
    </row>
    <row r="48" spans="1:2" x14ac:dyDescent="0.25">
      <c r="A48" s="217">
        <f t="shared" si="0"/>
        <v>26</v>
      </c>
      <c r="B48" s="493">
        <f>IF(OR($A48&gt;=BL,$A48&gt;TL),1,MAX(1/(TL-$A48+1.5),DBR/TL)*IF($A48=1,0.5,1))*MAX(0,1-SUM(B$22:B47))*(1-ITCR)</f>
        <v>4.1784575799397313E-12</v>
      </c>
    </row>
    <row r="49" spans="1:2" x14ac:dyDescent="0.25">
      <c r="A49" s="217">
        <f t="shared" si="0"/>
        <v>27</v>
      </c>
      <c r="B49" s="493">
        <f>IF(OR($A49&gt;=BL,$A49&gt;TL),1,MAX(1/(TL-$A49+1.5),DBR/TL)*IF($A49=1,0.5,1))*MAX(0,1-SUM(B$22:B48))*(1-ITCR)</f>
        <v>1.2535528171042642E-12</v>
      </c>
    </row>
    <row r="50" spans="1:2" x14ac:dyDescent="0.25">
      <c r="A50" s="217">
        <f t="shared" si="0"/>
        <v>28</v>
      </c>
      <c r="B50" s="493">
        <f>IF(OR($A50&gt;=BL,$A50&gt;TL),1,MAX(1/(TL-$A50+1.5),DBR/TL)*IF($A50=1,0.5,1))*MAX(0,1-SUM(B$22:B49))*(1-ITCR)</f>
        <v>3.7606584513127924E-13</v>
      </c>
    </row>
    <row r="51" spans="1:2" x14ac:dyDescent="0.25">
      <c r="A51" s="217">
        <f t="shared" si="0"/>
        <v>29</v>
      </c>
      <c r="B51" s="493">
        <f>IF(OR($A51&gt;=BL,$A51&gt;TL),1,MAX(1/(TL-$A51+1.5),DBR/TL)*IF($A51=1,0.5,1))*MAX(0,1-SUM(B$22:B50))*(1-ITCR)</f>
        <v>1.1284306822290091E-13</v>
      </c>
    </row>
    <row r="52" spans="1:2" x14ac:dyDescent="0.25">
      <c r="A52" s="217">
        <f t="shared" si="0"/>
        <v>30</v>
      </c>
      <c r="B52" s="493">
        <f>IF(OR($A52&gt;=BL,$A52&gt;TL),1,MAX(1/(TL-$A52+1.5),DBR/TL)*IF($A52=1,0.5,1))*MAX(0,1-SUM(B$22:B51))*(1-ITCR)</f>
        <v>3.3884006711559776E-14</v>
      </c>
    </row>
    <row r="53" spans="1:2" x14ac:dyDescent="0.25">
      <c r="A53" s="217">
        <f t="shared" si="0"/>
        <v>31</v>
      </c>
      <c r="B53" s="493">
        <f>IF(OR($A53&gt;=BL,$A53&gt;TL),1,MAX(1/(TL-$A53+1.5),DBR/TL)*IF($A53=1,0.5,1))*MAX(0,1-SUM(B$22:B52))*(1-ITCR)</f>
        <v>1.0180745135812684E-14</v>
      </c>
    </row>
    <row r="54" spans="1:2" x14ac:dyDescent="0.25">
      <c r="A54" s="217">
        <f t="shared" si="0"/>
        <v>32</v>
      </c>
      <c r="B54" s="493">
        <f>IF(OR($A54&gt;=BL,$A54&gt;TL),1,MAX(1/(TL-$A54+1.5),DBR/TL)*IF($A54=1,0.5,1))*MAX(0,1-SUM(B$22:B53))*(1-ITCR)</f>
        <v>3.030908857226677E-15</v>
      </c>
    </row>
    <row r="55" spans="1:2" x14ac:dyDescent="0.25">
      <c r="A55" s="217">
        <f t="shared" si="0"/>
        <v>33</v>
      </c>
      <c r="B55" s="493">
        <f>IF(OR($A55&gt;=BL,$A55&gt;TL),1,MAX(1/(TL-$A55+1.5),DBR/TL)*IF($A55=1,0.5,1))*MAX(0,1-SUM(B$22:B54))*(1-ITCR)</f>
        <v>9.3258734068513134E-16</v>
      </c>
    </row>
    <row r="56" spans="1:2" x14ac:dyDescent="0.25">
      <c r="A56" s="217">
        <f t="shared" si="0"/>
        <v>34</v>
      </c>
      <c r="B56" s="493">
        <f>IF(OR($A56&gt;=BL,$A56&gt;TL),1,MAX(1/(TL-$A56+1.5),DBR/TL)*IF($A56=1,0.5,1))*MAX(0,1-SUM(B$22:B55))*(1-ITCR)</f>
        <v>3.1086244689504381E-16</v>
      </c>
    </row>
    <row r="57" spans="1:2" x14ac:dyDescent="0.25">
      <c r="A57" s="217">
        <f t="shared" si="0"/>
        <v>35</v>
      </c>
      <c r="B57" s="493">
        <f>IF(OR($A57&gt;=BL,$A57&gt;TL),1,MAX(1/(TL-$A57+1.5),DBR/TL)*IF($A57=1,0.5,1))*MAX(0,1-SUM(B$22:B56))*(1-ITCR)</f>
        <v>7.7715611723760953E-17</v>
      </c>
    </row>
    <row r="58" spans="1:2" x14ac:dyDescent="0.25">
      <c r="A58" s="217">
        <f t="shared" si="0"/>
        <v>36</v>
      </c>
      <c r="B58" s="493">
        <f>IF(OR($A58&gt;=BL,$A58&gt;TL),1,MAX(1/(TL-$A58+1.5),DBR/TL)*IF($A58=1,0.5,1))*MAX(0,1-SUM(B$22:B57))*(1-ITCR)</f>
        <v>0</v>
      </c>
    </row>
    <row r="59" spans="1:2" x14ac:dyDescent="0.25">
      <c r="A59" s="217">
        <f t="shared" si="0"/>
        <v>37</v>
      </c>
      <c r="B59" s="493">
        <f>IF(OR($A59&gt;=BL,$A59&gt;TL),1,MAX(1/(TL-$A59+1.5),DBR/TL)*IF($A59=1,0.5,1))*MAX(0,1-SUM(B$22:B58))*(1-ITCR)</f>
        <v>0</v>
      </c>
    </row>
    <row r="60" spans="1:2" x14ac:dyDescent="0.25">
      <c r="A60" s="217">
        <f t="shared" si="0"/>
        <v>38</v>
      </c>
      <c r="B60" s="493">
        <f>IF(OR($A60&gt;=BL,$A60&gt;TL),1,MAX(1/(TL-$A60+1.5),DBR/TL)*IF($A60=1,0.5,1))*MAX(0,1-SUM(B$22:B59))*(1-ITCR)</f>
        <v>0</v>
      </c>
    </row>
    <row r="61" spans="1:2" x14ac:dyDescent="0.25">
      <c r="A61" s="217">
        <f t="shared" si="0"/>
        <v>39</v>
      </c>
      <c r="B61" s="493">
        <f>IF(OR($A61&gt;=BL,$A61&gt;TL),1,MAX(1/(TL-$A61+1.5),DBR/TL)*IF($A61=1,0.5,1))*MAX(0,1-SUM(B$22:B60))*(1-ITCR)</f>
        <v>0</v>
      </c>
    </row>
    <row r="62" spans="1:2" x14ac:dyDescent="0.25">
      <c r="A62" s="217">
        <f t="shared" si="0"/>
        <v>40</v>
      </c>
      <c r="B62" s="493">
        <f>IF(OR($A62&gt;=BL,$A62&gt;TL),1,MAX(1/(TL-$A62+1.5),DBR/TL)*IF($A62=1,0.5,1))*MAX(0,1-SUM(B$22:B61))*(1-ITCR)</f>
        <v>0</v>
      </c>
    </row>
    <row r="63" spans="1:2" x14ac:dyDescent="0.25">
      <c r="A63" s="202"/>
      <c r="B63" s="201"/>
    </row>
    <row r="64" spans="1:2" x14ac:dyDescent="0.25">
      <c r="A64" s="494" t="str">
        <f>D3</f>
        <v>Battery</v>
      </c>
      <c r="B64" s="495">
        <f>NPV(NWACC,B$22:B$62)</f>
        <v>0.81741804850335786</v>
      </c>
    </row>
    <row r="66" spans="2:2" x14ac:dyDescent="0.25">
      <c r="B66" s="33"/>
    </row>
  </sheetData>
  <hyperlinks>
    <hyperlink ref="V8" r:id="rId1" xr:uid="{11CC1854-F3F3-4923-8155-3661EB068D2D}"/>
  </hyperlinks>
  <printOptions horizontalCentered="1" verticalCentered="1"/>
  <pageMargins left="0.7" right="0.7" top="0.75" bottom="0.75" header="0.3" footer="0.3"/>
  <pageSetup scale="73" orientation="portrait"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C5FEF-248E-43CF-B93D-22D262F2EEC1}">
  <sheetPr codeName="Sheet31">
    <tabColor theme="8" tint="0.79998168889431442"/>
    <pageSetUpPr fitToPage="1"/>
  </sheetPr>
  <dimension ref="A1:U66"/>
  <sheetViews>
    <sheetView zoomScale="85" zoomScaleNormal="85" workbookViewId="0">
      <pane xSplit="5" ySplit="21" topLeftCell="F22" activePane="bottomRight" state="frozen"/>
      <selection pane="topRight"/>
      <selection pane="bottomLeft"/>
      <selection pane="bottomRight"/>
    </sheetView>
  </sheetViews>
  <sheetFormatPr defaultRowHeight="15" x14ac:dyDescent="0.25"/>
  <cols>
    <col min="1" max="1" width="18" style="3" customWidth="1"/>
    <col min="2" max="3" width="9.140625" style="3"/>
    <col min="4" max="4" width="12.28515625" style="3" bestFit="1" customWidth="1"/>
    <col min="5" max="14" width="9.140625" style="3"/>
    <col min="15" max="17" width="12" style="3" customWidth="1"/>
    <col min="18" max="16384" width="9.140625" style="3"/>
  </cols>
  <sheetData>
    <row r="1" spans="1:18" ht="18.75" x14ac:dyDescent="0.3">
      <c r="A1" s="36" t="s">
        <v>189</v>
      </c>
      <c r="O1" s="31"/>
    </row>
    <row r="2" spans="1:18" x14ac:dyDescent="0.25">
      <c r="D2" s="3" t="s">
        <v>188</v>
      </c>
    </row>
    <row r="3" spans="1:18" x14ac:dyDescent="0.25">
      <c r="A3" s="31" t="s">
        <v>15</v>
      </c>
      <c r="D3" s="476" t="s">
        <v>80</v>
      </c>
      <c r="O3" s="477"/>
      <c r="P3" s="477"/>
      <c r="Q3" s="477"/>
      <c r="R3" s="477"/>
    </row>
    <row r="4" spans="1:18" x14ac:dyDescent="0.25">
      <c r="A4" s="478" t="s">
        <v>187</v>
      </c>
      <c r="B4" s="478"/>
      <c r="C4" s="3" t="s">
        <v>186</v>
      </c>
      <c r="D4" s="247">
        <v>0.51500000000000001</v>
      </c>
      <c r="O4" s="42"/>
      <c r="P4" s="42"/>
      <c r="Q4" s="42"/>
      <c r="R4" s="42"/>
    </row>
    <row r="5" spans="1:18" x14ac:dyDescent="0.25">
      <c r="A5" s="478" t="s">
        <v>185</v>
      </c>
      <c r="B5" s="478"/>
      <c r="C5" s="3" t="s">
        <v>184</v>
      </c>
      <c r="D5" s="479">
        <v>5.1909999999999998E-2</v>
      </c>
      <c r="O5" s="41"/>
      <c r="P5" s="41"/>
      <c r="Q5" s="41"/>
      <c r="R5" s="41"/>
    </row>
    <row r="6" spans="1:18" x14ac:dyDescent="0.25">
      <c r="A6" s="478" t="s">
        <v>183</v>
      </c>
      <c r="B6" s="478"/>
      <c r="C6" s="3" t="s">
        <v>182</v>
      </c>
      <c r="D6" s="479">
        <v>8.6879999999999985E-2</v>
      </c>
      <c r="O6" s="41"/>
      <c r="P6" s="41"/>
      <c r="Q6" s="41"/>
      <c r="R6" s="41"/>
    </row>
    <row r="7" spans="1:18" x14ac:dyDescent="0.25">
      <c r="A7" s="478" t="s">
        <v>181</v>
      </c>
      <c r="B7" s="478"/>
      <c r="C7" s="3" t="s">
        <v>180</v>
      </c>
      <c r="D7" s="247">
        <v>0.21</v>
      </c>
    </row>
    <row r="8" spans="1:18" x14ac:dyDescent="0.25">
      <c r="A8" s="478" t="s">
        <v>179</v>
      </c>
      <c r="B8" s="478"/>
      <c r="C8" s="3" t="s">
        <v>178</v>
      </c>
      <c r="D8" s="479">
        <v>9.5000000000000001E-2</v>
      </c>
    </row>
    <row r="9" spans="1:18" x14ac:dyDescent="0.25">
      <c r="A9" s="478" t="s">
        <v>177</v>
      </c>
      <c r="B9" s="478"/>
      <c r="C9" s="3" t="s">
        <v>176</v>
      </c>
      <c r="D9" s="3">
        <v>20</v>
      </c>
    </row>
    <row r="10" spans="1:18" x14ac:dyDescent="0.25">
      <c r="A10" s="478" t="s">
        <v>175</v>
      </c>
      <c r="B10" s="478"/>
      <c r="C10" s="3" t="s">
        <v>174</v>
      </c>
      <c r="D10" s="3">
        <v>5</v>
      </c>
    </row>
    <row r="11" spans="1:18" x14ac:dyDescent="0.25">
      <c r="A11" s="478" t="s">
        <v>173</v>
      </c>
      <c r="B11" s="478"/>
      <c r="C11" s="3" t="s">
        <v>172</v>
      </c>
      <c r="D11" s="247">
        <v>0</v>
      </c>
    </row>
    <row r="12" spans="1:18" x14ac:dyDescent="0.25">
      <c r="A12" s="478" t="s">
        <v>26</v>
      </c>
      <c r="B12" s="478"/>
      <c r="C12" s="3" t="s">
        <v>171</v>
      </c>
      <c r="D12" s="479">
        <v>2.5000000000000001E-2</v>
      </c>
    </row>
    <row r="13" spans="1:18" x14ac:dyDescent="0.25">
      <c r="A13" s="478" t="s">
        <v>170</v>
      </c>
      <c r="B13" s="478"/>
      <c r="C13" s="3" t="s">
        <v>169</v>
      </c>
      <c r="D13" s="481">
        <f>IF(TL&lt;=10,2,IF(TL&gt;20,1,1.5))</f>
        <v>2</v>
      </c>
    </row>
    <row r="14" spans="1:18" x14ac:dyDescent="0.25">
      <c r="A14" s="478" t="s">
        <v>168</v>
      </c>
      <c r="B14" s="478"/>
      <c r="C14" s="3" t="s">
        <v>167</v>
      </c>
      <c r="D14" s="33">
        <f>$B$64</f>
        <v>0.84994124828664652</v>
      </c>
    </row>
    <row r="15" spans="1:18" x14ac:dyDescent="0.25">
      <c r="A15" s="478" t="s">
        <v>166</v>
      </c>
      <c r="B15" s="478"/>
      <c r="C15" s="3" t="s">
        <v>165</v>
      </c>
      <c r="D15" s="479">
        <f>SITR+FITR*(1-SITR)</f>
        <v>0.28505000000000003</v>
      </c>
    </row>
    <row r="16" spans="1:18" x14ac:dyDescent="0.25">
      <c r="A16" s="478" t="s">
        <v>164</v>
      </c>
      <c r="B16" s="478"/>
      <c r="C16" s="3" t="s">
        <v>163</v>
      </c>
      <c r="D16" s="479">
        <f>DbtRt*Int*(1-EITR)+(1-DbtRt)*EqRet</f>
        <v>6.1250023067499992E-2</v>
      </c>
    </row>
    <row r="17" spans="1:21" ht="15.75" x14ac:dyDescent="0.25">
      <c r="A17" s="482" t="s">
        <v>162</v>
      </c>
      <c r="B17" s="483"/>
      <c r="C17" s="484" t="s">
        <v>161</v>
      </c>
      <c r="D17" s="485">
        <f>(-PMT(NWACC,BL,1)+PMT(NWACC,BL,PVDpr)*EITR)/(1-EITR)*(1-ITCR)</f>
        <v>9.3340522802619355E-2</v>
      </c>
    </row>
    <row r="18" spans="1:21" x14ac:dyDescent="0.25">
      <c r="A18" s="478" t="s">
        <v>160</v>
      </c>
      <c r="B18" s="478"/>
      <c r="C18" s="3" t="s">
        <v>159</v>
      </c>
      <c r="D18" s="479">
        <f>(1+NWACC)/(1+Inf)-1</f>
        <v>3.5365876163414578E-2</v>
      </c>
    </row>
    <row r="19" spans="1:21" ht="15.75" x14ac:dyDescent="0.25">
      <c r="A19" s="486" t="s">
        <v>158</v>
      </c>
      <c r="B19" s="487"/>
      <c r="C19" s="488" t="s">
        <v>157</v>
      </c>
      <c r="D19" s="489">
        <f>PMT(RWACC,BL,PV(NWACC,BL,NCCR))</f>
        <v>7.4817747691773226E-2</v>
      </c>
      <c r="O19" s="479"/>
      <c r="P19" s="479"/>
      <c r="Q19" s="479"/>
      <c r="S19" s="490"/>
      <c r="T19" s="490"/>
      <c r="U19" s="490"/>
    </row>
    <row r="21" spans="1:21" x14ac:dyDescent="0.25">
      <c r="A21" s="491" t="s">
        <v>28</v>
      </c>
      <c r="B21" s="491" t="s">
        <v>156</v>
      </c>
    </row>
    <row r="22" spans="1:21" x14ac:dyDescent="0.25">
      <c r="A22" s="492">
        <v>0</v>
      </c>
      <c r="B22" s="493"/>
    </row>
    <row r="23" spans="1:21" x14ac:dyDescent="0.25">
      <c r="A23" s="217">
        <f t="shared" ref="A23:A62" si="0">A22+1</f>
        <v>1</v>
      </c>
      <c r="B23" s="493">
        <f>IF(OR($A23&gt;=BL,$A23&gt;TL),1,MAX(1/(TL-$A23+1.5),DBR/TL)*IF($A23=1,0.5,1))*MAX(0,1-SUM(B$22:B22))*(1-ITCR)</f>
        <v>0.2</v>
      </c>
    </row>
    <row r="24" spans="1:21" x14ac:dyDescent="0.25">
      <c r="A24" s="217">
        <f t="shared" si="0"/>
        <v>2</v>
      </c>
      <c r="B24" s="493">
        <f>IF(OR($A24&gt;=BL,$A24&gt;TL),1,MAX(1/(TL-$A24+1.5),DBR/TL)*IF($A24=1,0.5,1))*MAX(0,1-SUM(B$22:B23))*(1-ITCR)</f>
        <v>0.32000000000000006</v>
      </c>
    </row>
    <row r="25" spans="1:21" x14ac:dyDescent="0.25">
      <c r="A25" s="217">
        <f t="shared" si="0"/>
        <v>3</v>
      </c>
      <c r="B25" s="493">
        <f>IF(OR($A25&gt;=BL,$A25&gt;TL),1,MAX(1/(TL-$A25+1.5),DBR/TL)*IF($A25=1,0.5,1))*MAX(0,1-SUM(B$22:B24))*(1-ITCR)</f>
        <v>0.192</v>
      </c>
    </row>
    <row r="26" spans="1:21" x14ac:dyDescent="0.25">
      <c r="A26" s="217">
        <f t="shared" si="0"/>
        <v>4</v>
      </c>
      <c r="B26" s="493">
        <f>IF(OR($A26&gt;=BL,$A26&gt;TL),1,MAX(1/(TL-$A26+1.5),DBR/TL)*IF($A26=1,0.5,1))*MAX(0,1-SUM(B$22:B25))*(1-ITCR)</f>
        <v>0.11520000000000002</v>
      </c>
    </row>
    <row r="27" spans="1:21" x14ac:dyDescent="0.25">
      <c r="A27" s="217">
        <f t="shared" si="0"/>
        <v>5</v>
      </c>
      <c r="B27" s="493">
        <f>IF(OR($A27&gt;=BL,$A27&gt;TL),1,MAX(1/(TL-$A27+1.5),DBR/TL)*IF($A27=1,0.5,1))*MAX(0,1-SUM(B$22:B26))*(1-ITCR)</f>
        <v>0.11520000000000004</v>
      </c>
    </row>
    <row r="28" spans="1:21" x14ac:dyDescent="0.25">
      <c r="A28" s="217">
        <f t="shared" si="0"/>
        <v>6</v>
      </c>
      <c r="B28" s="493">
        <f>IF(OR($A28&gt;=BL,$A28&gt;TL),1,MAX(1/(TL-$A28+1.5),DBR/TL)*IF($A28=1,0.5,1))*MAX(0,1-SUM(B$22:B27))*(1-ITCR)</f>
        <v>5.7599999999999985E-2</v>
      </c>
    </row>
    <row r="29" spans="1:21" x14ac:dyDescent="0.25">
      <c r="A29" s="217">
        <f t="shared" si="0"/>
        <v>7</v>
      </c>
      <c r="B29" s="493">
        <f>IF(OR($A29&gt;=BL,$A29&gt;TL),1,MAX(1/(TL-$A29+1.5),DBR/TL)*IF($A29=1,0.5,1))*MAX(0,1-SUM(B$22:B28))*(1-ITCR)</f>
        <v>0</v>
      </c>
    </row>
    <row r="30" spans="1:21" x14ac:dyDescent="0.25">
      <c r="A30" s="217">
        <f t="shared" si="0"/>
        <v>8</v>
      </c>
      <c r="B30" s="493">
        <f>IF(OR($A30&gt;=BL,$A30&gt;TL),1,MAX(1/(TL-$A30+1.5),DBR/TL)*IF($A30=1,0.5,1))*MAX(0,1-SUM(B$22:B29))*(1-ITCR)</f>
        <v>0</v>
      </c>
    </row>
    <row r="31" spans="1:21" x14ac:dyDescent="0.25">
      <c r="A31" s="217">
        <f t="shared" si="0"/>
        <v>9</v>
      </c>
      <c r="B31" s="493">
        <f>IF(OR($A31&gt;=BL,$A31&gt;TL),1,MAX(1/(TL-$A31+1.5),DBR/TL)*IF($A31=1,0.5,1))*MAX(0,1-SUM(B$22:B30))*(1-ITCR)</f>
        <v>0</v>
      </c>
    </row>
    <row r="32" spans="1:21" x14ac:dyDescent="0.25">
      <c r="A32" s="217">
        <f t="shared" si="0"/>
        <v>10</v>
      </c>
      <c r="B32" s="493">
        <f>IF(OR($A32&gt;=BL,$A32&gt;TL),1,MAX(1/(TL-$A32+1.5),DBR/TL)*IF($A32=1,0.5,1))*MAX(0,1-SUM(B$22:B31))*(1-ITCR)</f>
        <v>0</v>
      </c>
    </row>
    <row r="33" spans="1:2" x14ac:dyDescent="0.25">
      <c r="A33" s="217">
        <f t="shared" si="0"/>
        <v>11</v>
      </c>
      <c r="B33" s="493">
        <f>IF(OR($A33&gt;=BL,$A33&gt;TL),1,MAX(1/(TL-$A33+1.5),DBR/TL)*IF($A33=1,0.5,1))*MAX(0,1-SUM(B$22:B32))*(1-ITCR)</f>
        <v>0</v>
      </c>
    </row>
    <row r="34" spans="1:2" x14ac:dyDescent="0.25">
      <c r="A34" s="217">
        <f t="shared" si="0"/>
        <v>12</v>
      </c>
      <c r="B34" s="493">
        <f>IF(OR($A34&gt;=BL,$A34&gt;TL),1,MAX(1/(TL-$A34+1.5),DBR/TL)*IF($A34=1,0.5,1))*MAX(0,1-SUM(B$22:B33))*(1-ITCR)</f>
        <v>0</v>
      </c>
    </row>
    <row r="35" spans="1:2" x14ac:dyDescent="0.25">
      <c r="A35" s="217">
        <f t="shared" si="0"/>
        <v>13</v>
      </c>
      <c r="B35" s="493">
        <f>IF(OR($A35&gt;=BL,$A35&gt;TL),1,MAX(1/(TL-$A35+1.5),DBR/TL)*IF($A35=1,0.5,1))*MAX(0,1-SUM(B$22:B34))*(1-ITCR)</f>
        <v>0</v>
      </c>
    </row>
    <row r="36" spans="1:2" x14ac:dyDescent="0.25">
      <c r="A36" s="217">
        <f t="shared" si="0"/>
        <v>14</v>
      </c>
      <c r="B36" s="493">
        <f>IF(OR($A36&gt;=BL,$A36&gt;TL),1,MAX(1/(TL-$A36+1.5),DBR/TL)*IF($A36=1,0.5,1))*MAX(0,1-SUM(B$22:B35))*(1-ITCR)</f>
        <v>0</v>
      </c>
    </row>
    <row r="37" spans="1:2" x14ac:dyDescent="0.25">
      <c r="A37" s="217">
        <f t="shared" si="0"/>
        <v>15</v>
      </c>
      <c r="B37" s="493">
        <f>IF(OR($A37&gt;=BL,$A37&gt;TL),1,MAX(1/(TL-$A37+1.5),DBR/TL)*IF($A37=1,0.5,1))*MAX(0,1-SUM(B$22:B36))*(1-ITCR)</f>
        <v>0</v>
      </c>
    </row>
    <row r="38" spans="1:2" x14ac:dyDescent="0.25">
      <c r="A38" s="217">
        <f t="shared" si="0"/>
        <v>16</v>
      </c>
      <c r="B38" s="493">
        <f>IF(OR($A38&gt;=BL,$A38&gt;TL),1,MAX(1/(TL-$A38+1.5),DBR/TL)*IF($A38=1,0.5,1))*MAX(0,1-SUM(B$22:B37))*(1-ITCR)</f>
        <v>0</v>
      </c>
    </row>
    <row r="39" spans="1:2" x14ac:dyDescent="0.25">
      <c r="A39" s="217">
        <f t="shared" si="0"/>
        <v>17</v>
      </c>
      <c r="B39" s="493">
        <f>IF(OR($A39&gt;=BL,$A39&gt;TL),1,MAX(1/(TL-$A39+1.5),DBR/TL)*IF($A39=1,0.5,1))*MAX(0,1-SUM(B$22:B38))*(1-ITCR)</f>
        <v>0</v>
      </c>
    </row>
    <row r="40" spans="1:2" x14ac:dyDescent="0.25">
      <c r="A40" s="217">
        <f t="shared" si="0"/>
        <v>18</v>
      </c>
      <c r="B40" s="493">
        <f>IF(OR($A40&gt;=BL,$A40&gt;TL),1,MAX(1/(TL-$A40+1.5),DBR/TL)*IF($A40=1,0.5,1))*MAX(0,1-SUM(B$22:B39))*(1-ITCR)</f>
        <v>0</v>
      </c>
    </row>
    <row r="41" spans="1:2" x14ac:dyDescent="0.25">
      <c r="A41" s="217">
        <f t="shared" si="0"/>
        <v>19</v>
      </c>
      <c r="B41" s="493">
        <f>IF(OR($A41&gt;=BL,$A41&gt;TL),1,MAX(1/(TL-$A41+1.5),DBR/TL)*IF($A41=1,0.5,1))*MAX(0,1-SUM(B$22:B40))*(1-ITCR)</f>
        <v>0</v>
      </c>
    </row>
    <row r="42" spans="1:2" x14ac:dyDescent="0.25">
      <c r="A42" s="217">
        <f t="shared" si="0"/>
        <v>20</v>
      </c>
      <c r="B42" s="493">
        <f>IF(OR($A42&gt;=BL,$A42&gt;TL),1,MAX(1/(TL-$A42+1.5),DBR/TL)*IF($A42=1,0.5,1))*MAX(0,1-SUM(B$22:B41))*(1-ITCR)</f>
        <v>0</v>
      </c>
    </row>
    <row r="43" spans="1:2" x14ac:dyDescent="0.25">
      <c r="A43" s="217">
        <f t="shared" si="0"/>
        <v>21</v>
      </c>
      <c r="B43" s="493">
        <f>IF(OR($A43&gt;=BL,$A43&gt;TL),1,MAX(1/(TL-$A43+1.5),DBR/TL)*IF($A43=1,0.5,1))*MAX(0,1-SUM(B$22:B42))*(1-ITCR)</f>
        <v>0</v>
      </c>
    </row>
    <row r="44" spans="1:2" x14ac:dyDescent="0.25">
      <c r="A44" s="217">
        <f t="shared" si="0"/>
        <v>22</v>
      </c>
      <c r="B44" s="493">
        <f>IF(OR($A44&gt;=BL,$A44&gt;TL),1,MAX(1/(TL-$A44+1.5),DBR/TL)*IF($A44=1,0.5,1))*MAX(0,1-SUM(B$22:B43))*(1-ITCR)</f>
        <v>0</v>
      </c>
    </row>
    <row r="45" spans="1:2" x14ac:dyDescent="0.25">
      <c r="A45" s="217">
        <f t="shared" si="0"/>
        <v>23</v>
      </c>
      <c r="B45" s="493">
        <f>IF(OR($A45&gt;=BL,$A45&gt;TL),1,MAX(1/(TL-$A45+1.5),DBR/TL)*IF($A45=1,0.5,1))*MAX(0,1-SUM(B$22:B44))*(1-ITCR)</f>
        <v>0</v>
      </c>
    </row>
    <row r="46" spans="1:2" x14ac:dyDescent="0.25">
      <c r="A46" s="217">
        <f t="shared" si="0"/>
        <v>24</v>
      </c>
      <c r="B46" s="493">
        <f>IF(OR($A46&gt;=BL,$A46&gt;TL),1,MAX(1/(TL-$A46+1.5),DBR/TL)*IF($A46=1,0.5,1))*MAX(0,1-SUM(B$22:B45))*(1-ITCR)</f>
        <v>0</v>
      </c>
    </row>
    <row r="47" spans="1:2" x14ac:dyDescent="0.25">
      <c r="A47" s="217">
        <f t="shared" si="0"/>
        <v>25</v>
      </c>
      <c r="B47" s="493">
        <f>IF(OR($A47&gt;=BL,$A47&gt;TL),1,MAX(1/(TL-$A47+1.5),DBR/TL)*IF($A47=1,0.5,1))*MAX(0,1-SUM(B$22:B46))*(1-ITCR)</f>
        <v>0</v>
      </c>
    </row>
    <row r="48" spans="1:2" x14ac:dyDescent="0.25">
      <c r="A48" s="217">
        <f t="shared" si="0"/>
        <v>26</v>
      </c>
      <c r="B48" s="493">
        <f>IF(OR($A48&gt;=BL,$A48&gt;TL),1,MAX(1/(TL-$A48+1.5),DBR/TL)*IF($A48=1,0.5,1))*MAX(0,1-SUM(B$22:B47))*(1-ITCR)</f>
        <v>0</v>
      </c>
    </row>
    <row r="49" spans="1:2" x14ac:dyDescent="0.25">
      <c r="A49" s="217">
        <f t="shared" si="0"/>
        <v>27</v>
      </c>
      <c r="B49" s="493">
        <f>IF(OR($A49&gt;=BL,$A49&gt;TL),1,MAX(1/(TL-$A49+1.5),DBR/TL)*IF($A49=1,0.5,1))*MAX(0,1-SUM(B$22:B48))*(1-ITCR)</f>
        <v>0</v>
      </c>
    </row>
    <row r="50" spans="1:2" x14ac:dyDescent="0.25">
      <c r="A50" s="217">
        <f t="shared" si="0"/>
        <v>28</v>
      </c>
      <c r="B50" s="493">
        <f>IF(OR($A50&gt;=BL,$A50&gt;TL),1,MAX(1/(TL-$A50+1.5),DBR/TL)*IF($A50=1,0.5,1))*MAX(0,1-SUM(B$22:B49))*(1-ITCR)</f>
        <v>0</v>
      </c>
    </row>
    <row r="51" spans="1:2" x14ac:dyDescent="0.25">
      <c r="A51" s="217">
        <f t="shared" si="0"/>
        <v>29</v>
      </c>
      <c r="B51" s="493">
        <f>IF(OR($A51&gt;=BL,$A51&gt;TL),1,MAX(1/(TL-$A51+1.5),DBR/TL)*IF($A51=1,0.5,1))*MAX(0,1-SUM(B$22:B50))*(1-ITCR)</f>
        <v>0</v>
      </c>
    </row>
    <row r="52" spans="1:2" x14ac:dyDescent="0.25">
      <c r="A52" s="217">
        <f t="shared" si="0"/>
        <v>30</v>
      </c>
      <c r="B52" s="493">
        <f>IF(OR($A52&gt;=BL,$A52&gt;TL),1,MAX(1/(TL-$A52+1.5),DBR/TL)*IF($A52=1,0.5,1))*MAX(0,1-SUM(B$22:B51))*(1-ITCR)</f>
        <v>0</v>
      </c>
    </row>
    <row r="53" spans="1:2" x14ac:dyDescent="0.25">
      <c r="A53" s="217">
        <f t="shared" si="0"/>
        <v>31</v>
      </c>
      <c r="B53" s="493">
        <f>IF(OR($A53&gt;=BL,$A53&gt;TL),1,MAX(1/(TL-$A53+1.5),DBR/TL)*IF($A53=1,0.5,1))*MAX(0,1-SUM(B$22:B52))*(1-ITCR)</f>
        <v>0</v>
      </c>
    </row>
    <row r="54" spans="1:2" x14ac:dyDescent="0.25">
      <c r="A54" s="217">
        <f t="shared" si="0"/>
        <v>32</v>
      </c>
      <c r="B54" s="493">
        <f>IF(OR($A54&gt;=BL,$A54&gt;TL),1,MAX(1/(TL-$A54+1.5),DBR/TL)*IF($A54=1,0.5,1))*MAX(0,1-SUM(B$22:B53))*(1-ITCR)</f>
        <v>0</v>
      </c>
    </row>
    <row r="55" spans="1:2" x14ac:dyDescent="0.25">
      <c r="A55" s="217">
        <f t="shared" si="0"/>
        <v>33</v>
      </c>
      <c r="B55" s="493">
        <f>IF(OR($A55&gt;=BL,$A55&gt;TL),1,MAX(1/(TL-$A55+1.5),DBR/TL)*IF($A55=1,0.5,1))*MAX(0,1-SUM(B$22:B54))*(1-ITCR)</f>
        <v>0</v>
      </c>
    </row>
    <row r="56" spans="1:2" x14ac:dyDescent="0.25">
      <c r="A56" s="217">
        <f t="shared" si="0"/>
        <v>34</v>
      </c>
      <c r="B56" s="493">
        <f>IF(OR($A56&gt;=BL,$A56&gt;TL),1,MAX(1/(TL-$A56+1.5),DBR/TL)*IF($A56=1,0.5,1))*MAX(0,1-SUM(B$22:B55))*(1-ITCR)</f>
        <v>0</v>
      </c>
    </row>
    <row r="57" spans="1:2" x14ac:dyDescent="0.25">
      <c r="A57" s="217">
        <f t="shared" si="0"/>
        <v>35</v>
      </c>
      <c r="B57" s="493">
        <f>IF(OR($A57&gt;=BL,$A57&gt;TL),1,MAX(1/(TL-$A57+1.5),DBR/TL)*IF($A57=1,0.5,1))*MAX(0,1-SUM(B$22:B56))*(1-ITCR)</f>
        <v>0</v>
      </c>
    </row>
    <row r="58" spans="1:2" x14ac:dyDescent="0.25">
      <c r="A58" s="217">
        <f t="shared" si="0"/>
        <v>36</v>
      </c>
      <c r="B58" s="493">
        <f>IF(OR($A58&gt;=BL,$A58&gt;TL),1,MAX(1/(TL-$A58+1.5),DBR/TL)*IF($A58=1,0.5,1))*MAX(0,1-SUM(B$22:B57))*(1-ITCR)</f>
        <v>0</v>
      </c>
    </row>
    <row r="59" spans="1:2" x14ac:dyDescent="0.25">
      <c r="A59" s="217">
        <f t="shared" si="0"/>
        <v>37</v>
      </c>
      <c r="B59" s="493">
        <f>IF(OR($A59&gt;=BL,$A59&gt;TL),1,MAX(1/(TL-$A59+1.5),DBR/TL)*IF($A59=1,0.5,1))*MAX(0,1-SUM(B$22:B58))*(1-ITCR)</f>
        <v>0</v>
      </c>
    </row>
    <row r="60" spans="1:2" x14ac:dyDescent="0.25">
      <c r="A60" s="217">
        <f t="shared" si="0"/>
        <v>38</v>
      </c>
      <c r="B60" s="493">
        <f>IF(OR($A60&gt;=BL,$A60&gt;TL),1,MAX(1/(TL-$A60+1.5),DBR/TL)*IF($A60=1,0.5,1))*MAX(0,1-SUM(B$22:B59))*(1-ITCR)</f>
        <v>0</v>
      </c>
    </row>
    <row r="61" spans="1:2" x14ac:dyDescent="0.25">
      <c r="A61" s="217">
        <f t="shared" si="0"/>
        <v>39</v>
      </c>
      <c r="B61" s="493">
        <f>IF(OR($A61&gt;=BL,$A61&gt;TL),1,MAX(1/(TL-$A61+1.5),DBR/TL)*IF($A61=1,0.5,1))*MAX(0,1-SUM(B$22:B60))*(1-ITCR)</f>
        <v>0</v>
      </c>
    </row>
    <row r="62" spans="1:2" x14ac:dyDescent="0.25">
      <c r="A62" s="217">
        <f t="shared" si="0"/>
        <v>40</v>
      </c>
      <c r="B62" s="493">
        <f>IF(OR($A62&gt;=BL,$A62&gt;TL),1,MAX(1/(TL-$A62+1.5),DBR/TL)*IF($A62=1,0.5,1))*MAX(0,1-SUM(B$22:B61))*(1-ITCR)</f>
        <v>0</v>
      </c>
    </row>
    <row r="63" spans="1:2" x14ac:dyDescent="0.25">
      <c r="A63" s="202"/>
      <c r="B63" s="201"/>
    </row>
    <row r="64" spans="1:2" x14ac:dyDescent="0.25">
      <c r="A64" s="494" t="str">
        <f>D3</f>
        <v>Battery</v>
      </c>
      <c r="B64" s="495">
        <f>NPV(NWACC,B$22:B$62)</f>
        <v>0.84994124828664652</v>
      </c>
    </row>
    <row r="66" spans="2:2" x14ac:dyDescent="0.25">
      <c r="B66" s="33"/>
    </row>
  </sheetData>
  <printOptions horizontalCentered="1" verticalCentered="1"/>
  <pageMargins left="0.7" right="0.7" top="0.75" bottom="0.75" header="0.3" footer="0.3"/>
  <pageSetup scale="7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F755F-03EC-4042-8C4E-E86F74CAAB3C}">
  <sheetPr codeName="Sheet32">
    <tabColor theme="8" tint="0.79998168889431442"/>
    <pageSetUpPr fitToPage="1"/>
  </sheetPr>
  <dimension ref="A1:U66"/>
  <sheetViews>
    <sheetView zoomScale="85" zoomScaleNormal="85" workbookViewId="0">
      <pane xSplit="5" ySplit="21" topLeftCell="F22" activePane="bottomRight" state="frozen"/>
      <selection pane="topRight"/>
      <selection pane="bottomLeft"/>
      <selection pane="bottomRight" activeCell="D17" sqref="D17"/>
    </sheetView>
  </sheetViews>
  <sheetFormatPr defaultRowHeight="15" x14ac:dyDescent="0.25"/>
  <cols>
    <col min="1" max="1" width="18" style="3" customWidth="1"/>
    <col min="2" max="3" width="9.140625" style="3"/>
    <col min="4" max="4" width="12.28515625" style="3" bestFit="1" customWidth="1"/>
    <col min="5" max="14" width="9.140625" style="3"/>
    <col min="15" max="17" width="12" style="3" customWidth="1"/>
    <col min="18" max="16384" width="9.140625" style="3"/>
  </cols>
  <sheetData>
    <row r="1" spans="1:18" ht="18.75" x14ac:dyDescent="0.3">
      <c r="A1" s="36" t="s">
        <v>189</v>
      </c>
      <c r="O1" s="31"/>
    </row>
    <row r="2" spans="1:18" x14ac:dyDescent="0.25">
      <c r="H2" s="3" t="s">
        <v>191</v>
      </c>
    </row>
    <row r="3" spans="1:18" x14ac:dyDescent="0.25">
      <c r="A3" s="31" t="s">
        <v>15</v>
      </c>
      <c r="D3" s="476" t="s">
        <v>7</v>
      </c>
      <c r="O3" s="477"/>
      <c r="P3" s="477"/>
      <c r="Q3" s="477"/>
      <c r="R3" s="477"/>
    </row>
    <row r="4" spans="1:18" x14ac:dyDescent="0.25">
      <c r="A4" s="478" t="s">
        <v>187</v>
      </c>
      <c r="B4" s="478"/>
      <c r="C4" s="3" t="s">
        <v>186</v>
      </c>
      <c r="D4" s="247">
        <v>0.51500000000000001</v>
      </c>
      <c r="O4" s="42"/>
      <c r="P4" s="42"/>
      <c r="Q4" s="42"/>
      <c r="R4" s="42"/>
    </row>
    <row r="5" spans="1:18" x14ac:dyDescent="0.25">
      <c r="A5" s="478" t="s">
        <v>185</v>
      </c>
      <c r="B5" s="478"/>
      <c r="C5" s="3" t="s">
        <v>184</v>
      </c>
      <c r="D5" s="479">
        <v>5.1909999999999998E-2</v>
      </c>
      <c r="O5" s="41"/>
      <c r="P5" s="41"/>
      <c r="Q5" s="41"/>
      <c r="R5" s="41"/>
    </row>
    <row r="6" spans="1:18" x14ac:dyDescent="0.25">
      <c r="A6" s="478" t="s">
        <v>183</v>
      </c>
      <c r="B6" s="478"/>
      <c r="C6" s="3" t="s">
        <v>182</v>
      </c>
      <c r="D6" s="479">
        <v>8.6879999999999985E-2</v>
      </c>
      <c r="O6" s="41"/>
      <c r="P6" s="41"/>
      <c r="Q6" s="41"/>
      <c r="R6" s="41"/>
    </row>
    <row r="7" spans="1:18" x14ac:dyDescent="0.25">
      <c r="A7" s="478" t="s">
        <v>181</v>
      </c>
      <c r="B7" s="478"/>
      <c r="C7" s="3" t="s">
        <v>180</v>
      </c>
      <c r="D7" s="247">
        <v>0.21</v>
      </c>
    </row>
    <row r="8" spans="1:18" x14ac:dyDescent="0.25">
      <c r="A8" s="478" t="s">
        <v>179</v>
      </c>
      <c r="B8" s="478"/>
      <c r="C8" s="3" t="s">
        <v>178</v>
      </c>
      <c r="D8" s="479">
        <v>0.06</v>
      </c>
      <c r="I8" s="480"/>
    </row>
    <row r="9" spans="1:18" x14ac:dyDescent="0.25">
      <c r="A9" s="478" t="s">
        <v>177</v>
      </c>
      <c r="B9" s="478"/>
      <c r="C9" s="3" t="s">
        <v>176</v>
      </c>
      <c r="D9" s="3">
        <v>20</v>
      </c>
    </row>
    <row r="10" spans="1:18" x14ac:dyDescent="0.25">
      <c r="A10" s="478" t="s">
        <v>175</v>
      </c>
      <c r="B10" s="478"/>
      <c r="C10" s="3" t="s">
        <v>174</v>
      </c>
      <c r="D10" s="3">
        <v>5</v>
      </c>
    </row>
    <row r="11" spans="1:18" x14ac:dyDescent="0.25">
      <c r="A11" s="478" t="s">
        <v>173</v>
      </c>
      <c r="B11" s="478"/>
      <c r="C11" s="3" t="s">
        <v>172</v>
      </c>
      <c r="D11" s="247">
        <v>0.3</v>
      </c>
    </row>
    <row r="12" spans="1:18" x14ac:dyDescent="0.25">
      <c r="A12" s="478" t="s">
        <v>26</v>
      </c>
      <c r="B12" s="478"/>
      <c r="C12" s="3" t="s">
        <v>171</v>
      </c>
      <c r="D12" s="479">
        <v>2.5000000000000001E-2</v>
      </c>
    </row>
    <row r="13" spans="1:18" x14ac:dyDescent="0.25">
      <c r="A13" s="478" t="s">
        <v>170</v>
      </c>
      <c r="B13" s="478"/>
      <c r="C13" s="3" t="s">
        <v>169</v>
      </c>
      <c r="D13" s="481">
        <f>IF(TL&lt;=10,2,IF(TL&gt;20,1,1.5))</f>
        <v>2</v>
      </c>
    </row>
    <row r="14" spans="1:18" x14ac:dyDescent="0.25">
      <c r="A14" s="478" t="s">
        <v>168</v>
      </c>
      <c r="B14" s="478"/>
      <c r="C14" s="3" t="s">
        <v>167</v>
      </c>
      <c r="D14" s="33">
        <f>$B$64</f>
        <v>0.81554609800128108</v>
      </c>
    </row>
    <row r="15" spans="1:18" x14ac:dyDescent="0.25">
      <c r="A15" s="478" t="s">
        <v>166</v>
      </c>
      <c r="B15" s="478"/>
      <c r="C15" s="3" t="s">
        <v>165</v>
      </c>
      <c r="D15" s="479">
        <f>SITR+FITR*(1-SITR)</f>
        <v>0.25739999999999996</v>
      </c>
    </row>
    <row r="16" spans="1:18" x14ac:dyDescent="0.25">
      <c r="A16" s="478" t="s">
        <v>164</v>
      </c>
      <c r="B16" s="478"/>
      <c r="C16" s="3" t="s">
        <v>163</v>
      </c>
      <c r="D16" s="479">
        <f>DbtRt*Int*(1-EITR)+(1-DbtRt)*EqRet</f>
        <v>6.1989208489999989E-2</v>
      </c>
    </row>
    <row r="17" spans="1:21" ht="15.75" x14ac:dyDescent="0.25">
      <c r="A17" s="482" t="s">
        <v>162</v>
      </c>
      <c r="B17" s="483"/>
      <c r="C17" s="484" t="s">
        <v>161</v>
      </c>
      <c r="D17" s="485">
        <f>(-PMT(NWACC,BL,1)+PMT(NWACC,BL,PVDpr)*EITR)/(1-EITR)*(1-ITCR)</f>
        <v>6.5983568973233361E-2</v>
      </c>
    </row>
    <row r="18" spans="1:21" x14ac:dyDescent="0.25">
      <c r="A18" s="478" t="s">
        <v>160</v>
      </c>
      <c r="B18" s="478"/>
      <c r="C18" s="3" t="s">
        <v>159</v>
      </c>
      <c r="D18" s="479">
        <f>(1+NWACC)/(1+Inf)-1</f>
        <v>3.6087032673170816E-2</v>
      </c>
    </row>
    <row r="19" spans="1:21" ht="15.75" x14ac:dyDescent="0.25">
      <c r="A19" s="486" t="s">
        <v>158</v>
      </c>
      <c r="B19" s="487"/>
      <c r="C19" s="488" t="s">
        <v>157</v>
      </c>
      <c r="D19" s="489">
        <f>PMT(RWACC,BL,PV(NWACC,BL,NCCR))</f>
        <v>5.291849123258105E-2</v>
      </c>
      <c r="O19" s="479"/>
      <c r="P19" s="479"/>
      <c r="Q19" s="479"/>
      <c r="S19" s="490"/>
      <c r="T19" s="490"/>
      <c r="U19" s="490"/>
    </row>
    <row r="21" spans="1:21" x14ac:dyDescent="0.25">
      <c r="A21" s="491" t="s">
        <v>28</v>
      </c>
      <c r="B21" s="491" t="s">
        <v>156</v>
      </c>
    </row>
    <row r="22" spans="1:21" x14ac:dyDescent="0.25">
      <c r="A22" s="492">
        <v>0</v>
      </c>
      <c r="B22" s="493"/>
    </row>
    <row r="23" spans="1:21" x14ac:dyDescent="0.25">
      <c r="A23" s="217">
        <f t="shared" ref="A23:A62" si="0">A22+1</f>
        <v>1</v>
      </c>
      <c r="B23" s="493">
        <f>IF(OR($A23&gt;=BL,$A23&gt;TL),1,MAX(1/(TL-$A23+1.5),DBR/TL)*IF($A23=1,0.5,1))*MAX(0,1-SUM(B$22:B22))*(1-ITCR)</f>
        <v>0.13999999999999999</v>
      </c>
    </row>
    <row r="24" spans="1:21" x14ac:dyDescent="0.25">
      <c r="A24" s="217">
        <f t="shared" si="0"/>
        <v>2</v>
      </c>
      <c r="B24" s="493">
        <f>IF(OR($A24&gt;=BL,$A24&gt;TL),1,MAX(1/(TL-$A24+1.5),DBR/TL)*IF($A24=1,0.5,1))*MAX(0,1-SUM(B$22:B23))*(1-ITCR)</f>
        <v>0.24080000000000001</v>
      </c>
    </row>
    <row r="25" spans="1:21" x14ac:dyDescent="0.25">
      <c r="A25" s="217">
        <f t="shared" si="0"/>
        <v>3</v>
      </c>
      <c r="B25" s="493">
        <f>IF(OR($A25&gt;=BL,$A25&gt;TL),1,MAX(1/(TL-$A25+1.5),DBR/TL)*IF($A25=1,0.5,1))*MAX(0,1-SUM(B$22:B24))*(1-ITCR)</f>
        <v>0.173376</v>
      </c>
    </row>
    <row r="26" spans="1:21" x14ac:dyDescent="0.25">
      <c r="A26" s="217">
        <f t="shared" si="0"/>
        <v>4</v>
      </c>
      <c r="B26" s="493">
        <f>IF(OR($A26&gt;=BL,$A26&gt;TL),1,MAX(1/(TL-$A26+1.5),DBR/TL)*IF($A26=1,0.5,1))*MAX(0,1-SUM(B$22:B25))*(1-ITCR)</f>
        <v>0.12483071999999999</v>
      </c>
    </row>
    <row r="27" spans="1:21" x14ac:dyDescent="0.25">
      <c r="A27" s="217">
        <f t="shared" si="0"/>
        <v>5</v>
      </c>
      <c r="B27" s="493">
        <f>IF(OR($A27&gt;=BL,$A27&gt;TL),1,MAX(1/(TL-$A27+1.5),DBR/TL)*IF($A27=1,0.5,1))*MAX(0,1-SUM(B$22:B26))*(1-ITCR)</f>
        <v>0.149796864</v>
      </c>
    </row>
    <row r="28" spans="1:21" x14ac:dyDescent="0.25">
      <c r="A28" s="217">
        <f t="shared" si="0"/>
        <v>6</v>
      </c>
      <c r="B28" s="493">
        <f>IF(OR($A28&gt;=BL,$A28&gt;TL),1,MAX(1/(TL-$A28+1.5),DBR/TL)*IF($A28=1,0.5,1))*MAX(0,1-SUM(B$22:B27))*(1-ITCR)</f>
        <v>0.11983749120000001</v>
      </c>
    </row>
    <row r="29" spans="1:21" x14ac:dyDescent="0.25">
      <c r="A29" s="217">
        <f t="shared" si="0"/>
        <v>7</v>
      </c>
      <c r="B29" s="493">
        <f>IF(OR($A29&gt;=BL,$A29&gt;TL),1,MAX(1/(TL-$A29+1.5),DBR/TL)*IF($A29=1,0.5,1))*MAX(0,1-SUM(B$22:B28))*(1-ITCR)</f>
        <v>3.5951247360000022E-2</v>
      </c>
    </row>
    <row r="30" spans="1:21" x14ac:dyDescent="0.25">
      <c r="A30" s="217">
        <f t="shared" si="0"/>
        <v>8</v>
      </c>
      <c r="B30" s="493">
        <f>IF(OR($A30&gt;=BL,$A30&gt;TL),1,MAX(1/(TL-$A30+1.5),DBR/TL)*IF($A30=1,0.5,1))*MAX(0,1-SUM(B$22:B29))*(1-ITCR)</f>
        <v>1.0785374208000031E-2</v>
      </c>
    </row>
    <row r="31" spans="1:21" x14ac:dyDescent="0.25">
      <c r="A31" s="217">
        <f t="shared" si="0"/>
        <v>9</v>
      </c>
      <c r="B31" s="493">
        <f>IF(OR($A31&gt;=BL,$A31&gt;TL),1,MAX(1/(TL-$A31+1.5),DBR/TL)*IF($A31=1,0.5,1))*MAX(0,1-SUM(B$22:B30))*(1-ITCR)</f>
        <v>3.2356122623999782E-3</v>
      </c>
    </row>
    <row r="32" spans="1:21" x14ac:dyDescent="0.25">
      <c r="A32" s="217">
        <f t="shared" si="0"/>
        <v>10</v>
      </c>
      <c r="B32" s="493">
        <f>IF(OR($A32&gt;=BL,$A32&gt;TL),1,MAX(1/(TL-$A32+1.5),DBR/TL)*IF($A32=1,0.5,1))*MAX(0,1-SUM(B$22:B31))*(1-ITCR)</f>
        <v>9.7068367871998567E-4</v>
      </c>
    </row>
    <row r="33" spans="1:2" x14ac:dyDescent="0.25">
      <c r="A33" s="217">
        <f t="shared" si="0"/>
        <v>11</v>
      </c>
      <c r="B33" s="493">
        <f>IF(OR($A33&gt;=BL,$A33&gt;TL),1,MAX(1/(TL-$A33+1.5),DBR/TL)*IF($A33=1,0.5,1))*MAX(0,1-SUM(B$22:B32))*(1-ITCR)</f>
        <v>2.9120510361598792E-4</v>
      </c>
    </row>
    <row r="34" spans="1:2" x14ac:dyDescent="0.25">
      <c r="A34" s="217">
        <f t="shared" si="0"/>
        <v>12</v>
      </c>
      <c r="B34" s="493">
        <f>IF(OR($A34&gt;=BL,$A34&gt;TL),1,MAX(1/(TL-$A34+1.5),DBR/TL)*IF($A34=1,0.5,1))*MAX(0,1-SUM(B$22:B33))*(1-ITCR)</f>
        <v>8.7361531084773062E-5</v>
      </c>
    </row>
    <row r="35" spans="1:2" x14ac:dyDescent="0.25">
      <c r="A35" s="217">
        <f t="shared" si="0"/>
        <v>13</v>
      </c>
      <c r="B35" s="493">
        <f>IF(OR($A35&gt;=BL,$A35&gt;TL),1,MAX(1/(TL-$A35+1.5),DBR/TL)*IF($A35=1,0.5,1))*MAX(0,1-SUM(B$22:B34))*(1-ITCR)</f>
        <v>2.6208459325416376E-5</v>
      </c>
    </row>
    <row r="36" spans="1:2" x14ac:dyDescent="0.25">
      <c r="A36" s="217">
        <f t="shared" si="0"/>
        <v>14</v>
      </c>
      <c r="B36" s="493">
        <f>IF(OR($A36&gt;=BL,$A36&gt;TL),1,MAX(1/(TL-$A36+1.5),DBR/TL)*IF($A36=1,0.5,1))*MAX(0,1-SUM(B$22:B35))*(1-ITCR)</f>
        <v>7.8625377976093702E-6</v>
      </c>
    </row>
    <row r="37" spans="1:2" x14ac:dyDescent="0.25">
      <c r="A37" s="217">
        <f t="shared" si="0"/>
        <v>15</v>
      </c>
      <c r="B37" s="493">
        <f>IF(OR($A37&gt;=BL,$A37&gt;TL),1,MAX(1/(TL-$A37+1.5),DBR/TL)*IF($A37=1,0.5,1))*MAX(0,1-SUM(B$22:B36))*(1-ITCR)</f>
        <v>2.358761339282811E-6</v>
      </c>
    </row>
    <row r="38" spans="1:2" x14ac:dyDescent="0.25">
      <c r="A38" s="217">
        <f t="shared" si="0"/>
        <v>16</v>
      </c>
      <c r="B38" s="493">
        <f>IF(OR($A38&gt;=BL,$A38&gt;TL),1,MAX(1/(TL-$A38+1.5),DBR/TL)*IF($A38=1,0.5,1))*MAX(0,1-SUM(B$22:B37))*(1-ITCR)</f>
        <v>7.0762840180815796E-7</v>
      </c>
    </row>
    <row r="39" spans="1:2" x14ac:dyDescent="0.25">
      <c r="A39" s="217">
        <f t="shared" si="0"/>
        <v>17</v>
      </c>
      <c r="B39" s="493">
        <f>IF(OR($A39&gt;=BL,$A39&gt;TL),1,MAX(1/(TL-$A39+1.5),DBR/TL)*IF($A39=1,0.5,1))*MAX(0,1-SUM(B$22:B38))*(1-ITCR)</f>
        <v>2.1228852057353364E-7</v>
      </c>
    </row>
    <row r="40" spans="1:2" x14ac:dyDescent="0.25">
      <c r="A40" s="217">
        <f t="shared" si="0"/>
        <v>18</v>
      </c>
      <c r="B40" s="493">
        <f>IF(OR($A40&gt;=BL,$A40&gt;TL),1,MAX(1/(TL-$A40+1.5),DBR/TL)*IF($A40=1,0.5,1))*MAX(0,1-SUM(B$22:B39))*(1-ITCR)</f>
        <v>6.3686556195374777E-8</v>
      </c>
    </row>
    <row r="41" spans="1:2" x14ac:dyDescent="0.25">
      <c r="A41" s="217">
        <f t="shared" si="0"/>
        <v>19</v>
      </c>
      <c r="B41" s="493">
        <f>IF(OR($A41&gt;=BL,$A41&gt;TL),1,MAX(1/(TL-$A41+1.5),DBR/TL)*IF($A41=1,0.5,1))*MAX(0,1-SUM(B$22:B40))*(1-ITCR)</f>
        <v>1.9105966897470237E-8</v>
      </c>
    </row>
    <row r="42" spans="1:2" x14ac:dyDescent="0.25">
      <c r="A42" s="217">
        <f t="shared" si="0"/>
        <v>20</v>
      </c>
      <c r="B42" s="493">
        <f>IF(OR($A42&gt;=BL,$A42&gt;TL),1,MAX(1/(TL-$A42+1.5),DBR/TL)*IF($A42=1,0.5,1))*MAX(0,1-SUM(B$22:B41))*(1-ITCR)</f>
        <v>5.7317900536979487E-9</v>
      </c>
    </row>
    <row r="43" spans="1:2" x14ac:dyDescent="0.25">
      <c r="A43" s="217">
        <f t="shared" si="0"/>
        <v>21</v>
      </c>
      <c r="B43" s="493">
        <f>IF(OR($A43&gt;=BL,$A43&gt;TL),1,MAX(1/(TL-$A43+1.5),DBR/TL)*IF($A43=1,0.5,1))*MAX(0,1-SUM(B$22:B42))*(1-ITCR)</f>
        <v>1.7195370238809459E-9</v>
      </c>
    </row>
    <row r="44" spans="1:2" x14ac:dyDescent="0.25">
      <c r="A44" s="217">
        <f t="shared" si="0"/>
        <v>22</v>
      </c>
      <c r="B44" s="493">
        <f>IF(OR($A44&gt;=BL,$A44&gt;TL),1,MAX(1/(TL-$A44+1.5),DBR/TL)*IF($A44=1,0.5,1))*MAX(0,1-SUM(B$22:B43))*(1-ITCR)</f>
        <v>5.158610760780391E-10</v>
      </c>
    </row>
    <row r="45" spans="1:2" x14ac:dyDescent="0.25">
      <c r="A45" s="217">
        <f t="shared" si="0"/>
        <v>23</v>
      </c>
      <c r="B45" s="493">
        <f>IF(OR($A45&gt;=BL,$A45&gt;TL),1,MAX(1/(TL-$A45+1.5),DBR/TL)*IF($A45=1,0.5,1))*MAX(0,1-SUM(B$22:B44))*(1-ITCR)</f>
        <v>1.5475836168121758E-10</v>
      </c>
    </row>
    <row r="46" spans="1:2" x14ac:dyDescent="0.25">
      <c r="A46" s="217">
        <f t="shared" si="0"/>
        <v>24</v>
      </c>
      <c r="B46" s="493">
        <f>IF(OR($A46&gt;=BL,$A46&gt;TL),1,MAX(1/(TL-$A46+1.5),DBR/TL)*IF($A46=1,0.5,1))*MAX(0,1-SUM(B$22:B45))*(1-ITCR)</f>
        <v>4.6427539590609965E-11</v>
      </c>
    </row>
    <row r="47" spans="1:2" x14ac:dyDescent="0.25">
      <c r="A47" s="217">
        <f t="shared" si="0"/>
        <v>25</v>
      </c>
      <c r="B47" s="493">
        <f>IF(OR($A47&gt;=BL,$A47&gt;TL),1,MAX(1/(TL-$A47+1.5),DBR/TL)*IF($A47=1,0.5,1))*MAX(0,1-SUM(B$22:B46))*(1-ITCR)</f>
        <v>1.3928269648744162E-11</v>
      </c>
    </row>
    <row r="48" spans="1:2" x14ac:dyDescent="0.25">
      <c r="A48" s="217">
        <f t="shared" si="0"/>
        <v>26</v>
      </c>
      <c r="B48" s="493">
        <f>IF(OR($A48&gt;=BL,$A48&gt;TL),1,MAX(1/(TL-$A48+1.5),DBR/TL)*IF($A48=1,0.5,1))*MAX(0,1-SUM(B$22:B47))*(1-ITCR)</f>
        <v>4.1784575799397313E-12</v>
      </c>
    </row>
    <row r="49" spans="1:2" x14ac:dyDescent="0.25">
      <c r="A49" s="217">
        <f t="shared" si="0"/>
        <v>27</v>
      </c>
      <c r="B49" s="493">
        <f>IF(OR($A49&gt;=BL,$A49&gt;TL),1,MAX(1/(TL-$A49+1.5),DBR/TL)*IF($A49=1,0.5,1))*MAX(0,1-SUM(B$22:B48))*(1-ITCR)</f>
        <v>1.2535528171042642E-12</v>
      </c>
    </row>
    <row r="50" spans="1:2" x14ac:dyDescent="0.25">
      <c r="A50" s="217">
        <f t="shared" si="0"/>
        <v>28</v>
      </c>
      <c r="B50" s="493">
        <f>IF(OR($A50&gt;=BL,$A50&gt;TL),1,MAX(1/(TL-$A50+1.5),DBR/TL)*IF($A50=1,0.5,1))*MAX(0,1-SUM(B$22:B49))*(1-ITCR)</f>
        <v>3.7606584513127924E-13</v>
      </c>
    </row>
    <row r="51" spans="1:2" x14ac:dyDescent="0.25">
      <c r="A51" s="217">
        <f t="shared" si="0"/>
        <v>29</v>
      </c>
      <c r="B51" s="493">
        <f>IF(OR($A51&gt;=BL,$A51&gt;TL),1,MAX(1/(TL-$A51+1.5),DBR/TL)*IF($A51=1,0.5,1))*MAX(0,1-SUM(B$22:B50))*(1-ITCR)</f>
        <v>1.1284306822290091E-13</v>
      </c>
    </row>
    <row r="52" spans="1:2" x14ac:dyDescent="0.25">
      <c r="A52" s="217">
        <f t="shared" si="0"/>
        <v>30</v>
      </c>
      <c r="B52" s="493">
        <f>IF(OR($A52&gt;=BL,$A52&gt;TL),1,MAX(1/(TL-$A52+1.5),DBR/TL)*IF($A52=1,0.5,1))*MAX(0,1-SUM(B$22:B51))*(1-ITCR)</f>
        <v>3.3884006711559776E-14</v>
      </c>
    </row>
    <row r="53" spans="1:2" x14ac:dyDescent="0.25">
      <c r="A53" s="217">
        <f t="shared" si="0"/>
        <v>31</v>
      </c>
      <c r="B53" s="493">
        <f>IF(OR($A53&gt;=BL,$A53&gt;TL),1,MAX(1/(TL-$A53+1.5),DBR/TL)*IF($A53=1,0.5,1))*MAX(0,1-SUM(B$22:B52))*(1-ITCR)</f>
        <v>1.0180745135812684E-14</v>
      </c>
    </row>
    <row r="54" spans="1:2" x14ac:dyDescent="0.25">
      <c r="A54" s="217">
        <f t="shared" si="0"/>
        <v>32</v>
      </c>
      <c r="B54" s="493">
        <f>IF(OR($A54&gt;=BL,$A54&gt;TL),1,MAX(1/(TL-$A54+1.5),DBR/TL)*IF($A54=1,0.5,1))*MAX(0,1-SUM(B$22:B53))*(1-ITCR)</f>
        <v>3.030908857226677E-15</v>
      </c>
    </row>
    <row r="55" spans="1:2" x14ac:dyDescent="0.25">
      <c r="A55" s="217">
        <f t="shared" si="0"/>
        <v>33</v>
      </c>
      <c r="B55" s="493">
        <f>IF(OR($A55&gt;=BL,$A55&gt;TL),1,MAX(1/(TL-$A55+1.5),DBR/TL)*IF($A55=1,0.5,1))*MAX(0,1-SUM(B$22:B54))*(1-ITCR)</f>
        <v>9.3258734068513134E-16</v>
      </c>
    </row>
    <row r="56" spans="1:2" x14ac:dyDescent="0.25">
      <c r="A56" s="217">
        <f t="shared" si="0"/>
        <v>34</v>
      </c>
      <c r="B56" s="493">
        <f>IF(OR($A56&gt;=BL,$A56&gt;TL),1,MAX(1/(TL-$A56+1.5),DBR/TL)*IF($A56=1,0.5,1))*MAX(0,1-SUM(B$22:B55))*(1-ITCR)</f>
        <v>3.1086244689504381E-16</v>
      </c>
    </row>
    <row r="57" spans="1:2" x14ac:dyDescent="0.25">
      <c r="A57" s="217">
        <f t="shared" si="0"/>
        <v>35</v>
      </c>
      <c r="B57" s="493">
        <f>IF(OR($A57&gt;=BL,$A57&gt;TL),1,MAX(1/(TL-$A57+1.5),DBR/TL)*IF($A57=1,0.5,1))*MAX(0,1-SUM(B$22:B56))*(1-ITCR)</f>
        <v>7.7715611723760953E-17</v>
      </c>
    </row>
    <row r="58" spans="1:2" x14ac:dyDescent="0.25">
      <c r="A58" s="217">
        <f t="shared" si="0"/>
        <v>36</v>
      </c>
      <c r="B58" s="493">
        <f>IF(OR($A58&gt;=BL,$A58&gt;TL),1,MAX(1/(TL-$A58+1.5),DBR/TL)*IF($A58=1,0.5,1))*MAX(0,1-SUM(B$22:B57))*(1-ITCR)</f>
        <v>0</v>
      </c>
    </row>
    <row r="59" spans="1:2" x14ac:dyDescent="0.25">
      <c r="A59" s="217">
        <f t="shared" si="0"/>
        <v>37</v>
      </c>
      <c r="B59" s="493">
        <f>IF(OR($A59&gt;=BL,$A59&gt;TL),1,MAX(1/(TL-$A59+1.5),DBR/TL)*IF($A59=1,0.5,1))*MAX(0,1-SUM(B$22:B58))*(1-ITCR)</f>
        <v>0</v>
      </c>
    </row>
    <row r="60" spans="1:2" x14ac:dyDescent="0.25">
      <c r="A60" s="217">
        <f t="shared" si="0"/>
        <v>38</v>
      </c>
      <c r="B60" s="493">
        <f>IF(OR($A60&gt;=BL,$A60&gt;TL),1,MAX(1/(TL-$A60+1.5),DBR/TL)*IF($A60=1,0.5,1))*MAX(0,1-SUM(B$22:B59))*(1-ITCR)</f>
        <v>0</v>
      </c>
    </row>
    <row r="61" spans="1:2" x14ac:dyDescent="0.25">
      <c r="A61" s="217">
        <f t="shared" si="0"/>
        <v>39</v>
      </c>
      <c r="B61" s="493">
        <f>IF(OR($A61&gt;=BL,$A61&gt;TL),1,MAX(1/(TL-$A61+1.5),DBR/TL)*IF($A61=1,0.5,1))*MAX(0,1-SUM(B$22:B60))*(1-ITCR)</f>
        <v>0</v>
      </c>
    </row>
    <row r="62" spans="1:2" x14ac:dyDescent="0.25">
      <c r="A62" s="217">
        <f t="shared" si="0"/>
        <v>40</v>
      </c>
      <c r="B62" s="493">
        <f>IF(OR($A62&gt;=BL,$A62&gt;TL),1,MAX(1/(TL-$A62+1.5),DBR/TL)*IF($A62=1,0.5,1))*MAX(0,1-SUM(B$22:B61))*(1-ITCR)</f>
        <v>0</v>
      </c>
    </row>
    <row r="63" spans="1:2" x14ac:dyDescent="0.25">
      <c r="A63" s="202"/>
      <c r="B63" s="201"/>
    </row>
    <row r="64" spans="1:2" x14ac:dyDescent="0.25">
      <c r="A64" s="494" t="str">
        <f>D3</f>
        <v>OSW</v>
      </c>
      <c r="B64" s="495">
        <f>NPV(NWACC,B$22:B$62)</f>
        <v>0.81554609800128108</v>
      </c>
    </row>
    <row r="66" spans="2:2" x14ac:dyDescent="0.25">
      <c r="B66" s="33"/>
    </row>
  </sheetData>
  <printOptions horizontalCentered="1" verticalCentered="1"/>
  <pageMargins left="0.7" right="0.7" top="0.75" bottom="0.75" header="0.3" footer="0.3"/>
  <pageSetup scale="73"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365C9-127D-4589-82B1-B6A904FD7266}">
  <sheetPr codeName="Sheet33">
    <tabColor rgb="FFFFFF00"/>
  </sheetPr>
  <dimension ref="A1"/>
  <sheetViews>
    <sheetView workbookViewId="0"/>
  </sheetViews>
  <sheetFormatPr defaultRowHeight="15" x14ac:dyDescent="0.25"/>
  <cols>
    <col min="1" max="16384" width="9.140625" style="3"/>
  </cols>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E15D5-A962-4041-A8A0-B86325A02585}">
  <sheetPr codeName="Sheet34">
    <tabColor rgb="FFFFFF00"/>
  </sheetPr>
  <dimension ref="A1:S109"/>
  <sheetViews>
    <sheetView zoomScale="85" zoomScaleNormal="85" workbookViewId="0">
      <pane xSplit="1" ySplit="10" topLeftCell="B11" activePane="bottomRight" state="frozen"/>
      <selection pane="topRight"/>
      <selection pane="bottomLeft"/>
      <selection pane="bottomRight"/>
    </sheetView>
  </sheetViews>
  <sheetFormatPr defaultRowHeight="15" outlineLevelRow="1" x14ac:dyDescent="0.25"/>
  <cols>
    <col min="1" max="1" width="13.5703125" style="3" customWidth="1"/>
    <col min="2" max="2" width="10.28515625" style="3" bestFit="1" customWidth="1"/>
    <col min="3" max="4" width="16.7109375" style="3" customWidth="1"/>
    <col min="5" max="5" width="21.28515625" style="3" bestFit="1" customWidth="1"/>
    <col min="6" max="17" width="16.42578125" style="3" customWidth="1"/>
    <col min="18" max="19" width="16.42578125" style="7" customWidth="1"/>
    <col min="20" max="16384" width="9.140625" style="3"/>
  </cols>
  <sheetData>
    <row r="1" spans="1:19" ht="18.75" x14ac:dyDescent="0.3">
      <c r="A1" s="233" t="s">
        <v>494</v>
      </c>
      <c r="C1" s="31"/>
    </row>
    <row r="2" spans="1:19" ht="15.75" thickBot="1" x14ac:dyDescent="0.3">
      <c r="A2" s="232" t="s">
        <v>493</v>
      </c>
      <c r="B2" s="169"/>
      <c r="C2" s="231"/>
      <c r="D2" s="169"/>
      <c r="E2" s="169"/>
      <c r="F2" s="169"/>
      <c r="G2" s="169"/>
      <c r="H2" s="169"/>
      <c r="I2" s="169"/>
      <c r="J2" s="169"/>
      <c r="K2" s="169"/>
      <c r="L2" s="169"/>
      <c r="M2" s="169"/>
      <c r="N2" s="169"/>
      <c r="O2" s="169"/>
      <c r="P2" s="169"/>
      <c r="Q2" s="169"/>
      <c r="R2" s="186"/>
      <c r="S2" s="186"/>
    </row>
    <row r="3" spans="1:19" ht="9" customHeight="1" thickTop="1" x14ac:dyDescent="0.25">
      <c r="C3" s="230"/>
      <c r="D3" s="228"/>
      <c r="E3" s="228"/>
      <c r="F3" s="227"/>
      <c r="G3" s="229"/>
      <c r="H3" s="228"/>
      <c r="I3" s="228"/>
      <c r="J3" s="227"/>
      <c r="K3" s="228"/>
      <c r="L3" s="228"/>
      <c r="M3" s="229"/>
      <c r="N3" s="227"/>
      <c r="O3" s="228"/>
      <c r="P3" s="228"/>
      <c r="Q3" s="227"/>
    </row>
    <row r="4" spans="1:19" x14ac:dyDescent="0.25">
      <c r="C4" s="31"/>
      <c r="F4" s="201"/>
      <c r="G4" s="202"/>
      <c r="J4" s="201"/>
      <c r="M4" s="202"/>
      <c r="N4" s="201"/>
      <c r="Q4" s="201"/>
    </row>
    <row r="5" spans="1:19" x14ac:dyDescent="0.25">
      <c r="C5" s="603" t="s">
        <v>17</v>
      </c>
      <c r="D5" s="604"/>
      <c r="E5" s="604"/>
      <c r="F5" s="605"/>
      <c r="G5" s="606" t="s">
        <v>18</v>
      </c>
      <c r="H5" s="601"/>
      <c r="I5" s="601"/>
      <c r="J5" s="602"/>
      <c r="K5" s="606" t="s">
        <v>64</v>
      </c>
      <c r="L5" s="601"/>
      <c r="M5" s="606" t="s">
        <v>19</v>
      </c>
      <c r="N5" s="602"/>
      <c r="O5" s="601" t="s">
        <v>20</v>
      </c>
      <c r="P5" s="601"/>
      <c r="Q5" s="602"/>
      <c r="R5" s="226"/>
      <c r="S5" s="226"/>
    </row>
    <row r="6" spans="1:19" x14ac:dyDescent="0.25">
      <c r="B6" s="3" t="s">
        <v>42</v>
      </c>
      <c r="C6" s="219" t="s">
        <v>3</v>
      </c>
      <c r="D6" s="219" t="s">
        <v>4</v>
      </c>
      <c r="E6" s="222" t="s">
        <v>5</v>
      </c>
      <c r="F6" s="224" t="s">
        <v>6</v>
      </c>
      <c r="G6" s="221" t="s">
        <v>3</v>
      </c>
      <c r="H6" s="219" t="s">
        <v>4</v>
      </c>
      <c r="I6" s="222" t="s">
        <v>5</v>
      </c>
      <c r="J6" s="224" t="s">
        <v>6</v>
      </c>
      <c r="K6" s="223" t="s">
        <v>21</v>
      </c>
      <c r="L6" s="222" t="s">
        <v>22</v>
      </c>
      <c r="M6" s="223" t="s">
        <v>21</v>
      </c>
      <c r="N6" s="224" t="s">
        <v>22</v>
      </c>
      <c r="O6" s="222" t="s">
        <v>23</v>
      </c>
      <c r="P6" s="222" t="s">
        <v>24</v>
      </c>
      <c r="Q6" s="225" t="s">
        <v>25</v>
      </c>
      <c r="R6" s="7" t="s">
        <v>26</v>
      </c>
      <c r="S6" s="182" t="s">
        <v>27</v>
      </c>
    </row>
    <row r="7" spans="1:19" x14ac:dyDescent="0.25">
      <c r="B7" s="3" t="s">
        <v>28</v>
      </c>
      <c r="C7" s="219" t="s">
        <v>29</v>
      </c>
      <c r="D7" s="219" t="s">
        <v>29</v>
      </c>
      <c r="E7" s="219" t="s">
        <v>29</v>
      </c>
      <c r="F7" s="224" t="s">
        <v>6</v>
      </c>
      <c r="G7" s="221" t="s">
        <v>29</v>
      </c>
      <c r="H7" s="219" t="s">
        <v>29</v>
      </c>
      <c r="I7" s="219" t="s">
        <v>29</v>
      </c>
      <c r="J7" s="224" t="s">
        <v>6</v>
      </c>
      <c r="K7" s="223" t="s">
        <v>29</v>
      </c>
      <c r="L7" s="222" t="s">
        <v>29</v>
      </c>
      <c r="M7" s="221" t="s">
        <v>29</v>
      </c>
      <c r="N7" s="220" t="s">
        <v>29</v>
      </c>
      <c r="O7" s="219" t="s">
        <v>29</v>
      </c>
      <c r="P7" s="219" t="s">
        <v>29</v>
      </c>
      <c r="Q7" s="220" t="s">
        <v>29</v>
      </c>
      <c r="S7" s="182"/>
    </row>
    <row r="8" spans="1:19" hidden="1" outlineLevel="1" x14ac:dyDescent="0.25">
      <c r="B8" s="3">
        <v>1</v>
      </c>
      <c r="C8" s="219">
        <f t="shared" ref="C8:L8" si="0">1+B8</f>
        <v>2</v>
      </c>
      <c r="D8" s="219">
        <f t="shared" si="0"/>
        <v>3</v>
      </c>
      <c r="E8" s="219">
        <f t="shared" si="0"/>
        <v>4</v>
      </c>
      <c r="F8" s="220">
        <f t="shared" si="0"/>
        <v>5</v>
      </c>
      <c r="G8" s="221">
        <f t="shared" si="0"/>
        <v>6</v>
      </c>
      <c r="H8" s="219">
        <f t="shared" si="0"/>
        <v>7</v>
      </c>
      <c r="I8" s="219">
        <f t="shared" si="0"/>
        <v>8</v>
      </c>
      <c r="J8" s="220">
        <f t="shared" si="0"/>
        <v>9</v>
      </c>
      <c r="K8" s="221">
        <f t="shared" si="0"/>
        <v>10</v>
      </c>
      <c r="L8" s="219">
        <f t="shared" si="0"/>
        <v>11</v>
      </c>
      <c r="M8" s="221">
        <f>L8+1</f>
        <v>12</v>
      </c>
      <c r="N8" s="220">
        <f>1+M8</f>
        <v>13</v>
      </c>
      <c r="O8" s="219">
        <f>1+N8</f>
        <v>14</v>
      </c>
      <c r="P8" s="219">
        <f>1+O8</f>
        <v>15</v>
      </c>
      <c r="Q8" s="220">
        <f>1+P8</f>
        <v>16</v>
      </c>
      <c r="S8" s="182"/>
    </row>
    <row r="9" spans="1:19" collapsed="1" x14ac:dyDescent="0.25">
      <c r="B9" s="180" t="str">
        <f t="shared" ref="B9:Q9" si="1">"["&amp;B8&amp;"]"</f>
        <v>[1]</v>
      </c>
      <c r="C9" s="180" t="str">
        <f t="shared" si="1"/>
        <v>[2]</v>
      </c>
      <c r="D9" s="180" t="str">
        <f t="shared" si="1"/>
        <v>[3]</v>
      </c>
      <c r="E9" s="180" t="str">
        <f t="shared" si="1"/>
        <v>[4]</v>
      </c>
      <c r="F9" s="218" t="str">
        <f t="shared" si="1"/>
        <v>[5]</v>
      </c>
      <c r="G9" s="217" t="str">
        <f t="shared" si="1"/>
        <v>[6]</v>
      </c>
      <c r="H9" s="180" t="str">
        <f t="shared" si="1"/>
        <v>[7]</v>
      </c>
      <c r="I9" s="180" t="str">
        <f t="shared" si="1"/>
        <v>[8]</v>
      </c>
      <c r="J9" s="218" t="str">
        <f t="shared" si="1"/>
        <v>[9]</v>
      </c>
      <c r="K9" s="217" t="str">
        <f t="shared" si="1"/>
        <v>[10]</v>
      </c>
      <c r="L9" s="219" t="str">
        <f t="shared" si="1"/>
        <v>[11]</v>
      </c>
      <c r="M9" s="217" t="str">
        <f t="shared" si="1"/>
        <v>[12]</v>
      </c>
      <c r="N9" s="218" t="str">
        <f t="shared" si="1"/>
        <v>[13]</v>
      </c>
      <c r="O9" s="180" t="str">
        <f t="shared" si="1"/>
        <v>[14]</v>
      </c>
      <c r="P9" s="180" t="str">
        <f t="shared" si="1"/>
        <v>[15]</v>
      </c>
      <c r="Q9" s="218" t="str">
        <f t="shared" si="1"/>
        <v>[16]</v>
      </c>
      <c r="S9" s="182"/>
    </row>
    <row r="10" spans="1:19" ht="4.5" customHeight="1" x14ac:dyDescent="0.25">
      <c r="A10" s="175"/>
      <c r="B10" s="211"/>
      <c r="C10" s="211"/>
      <c r="D10" s="211"/>
      <c r="E10" s="211"/>
      <c r="F10" s="215"/>
      <c r="G10" s="216"/>
      <c r="H10" s="211"/>
      <c r="I10" s="211"/>
      <c r="J10" s="215"/>
      <c r="K10" s="217"/>
      <c r="L10" s="180"/>
      <c r="M10" s="216"/>
      <c r="N10" s="215"/>
      <c r="O10" s="211"/>
      <c r="P10" s="211"/>
      <c r="Q10" s="215"/>
      <c r="R10" s="207"/>
      <c r="S10" s="214"/>
    </row>
    <row r="11" spans="1:19" ht="4.5" customHeight="1" x14ac:dyDescent="0.25">
      <c r="C11" s="4"/>
      <c r="D11" s="4"/>
      <c r="E11" s="183"/>
      <c r="F11" s="212"/>
      <c r="G11" s="213"/>
      <c r="H11" s="183"/>
      <c r="I11" s="183"/>
      <c r="J11" s="212"/>
      <c r="K11" s="183"/>
      <c r="L11" s="183"/>
      <c r="M11" s="213"/>
      <c r="N11" s="212"/>
      <c r="O11" s="183"/>
      <c r="P11" s="183"/>
      <c r="Q11" s="212"/>
      <c r="R11" s="182"/>
      <c r="S11" s="182"/>
    </row>
    <row r="12" spans="1:19" hidden="1" outlineLevel="1" x14ac:dyDescent="0.25">
      <c r="A12" s="180">
        <v>2022</v>
      </c>
      <c r="B12" s="180"/>
      <c r="C12" s="4"/>
      <c r="D12" s="4"/>
      <c r="E12" s="183"/>
      <c r="F12" s="212"/>
      <c r="G12" s="213"/>
      <c r="H12" s="183"/>
      <c r="I12" s="183"/>
      <c r="J12" s="212"/>
      <c r="K12" s="183"/>
      <c r="L12" s="183"/>
      <c r="M12" s="213"/>
      <c r="N12" s="212"/>
      <c r="O12" s="183"/>
      <c r="P12" s="183"/>
      <c r="Q12" s="212"/>
      <c r="R12" s="7">
        <v>0</v>
      </c>
      <c r="S12" s="203">
        <v>1</v>
      </c>
    </row>
    <row r="13" spans="1:19" hidden="1" outlineLevel="1" x14ac:dyDescent="0.25">
      <c r="A13" s="180">
        <v>2023</v>
      </c>
      <c r="B13" s="180"/>
      <c r="C13" s="4"/>
      <c r="D13" s="4"/>
      <c r="E13" s="183"/>
      <c r="F13" s="212"/>
      <c r="G13" s="213"/>
      <c r="H13" s="183"/>
      <c r="I13" s="183"/>
      <c r="J13" s="212"/>
      <c r="K13" s="183"/>
      <c r="L13" s="183"/>
      <c r="M13" s="213"/>
      <c r="N13" s="212"/>
      <c r="O13" s="183"/>
      <c r="P13" s="183"/>
      <c r="Q13" s="212"/>
      <c r="R13" s="7">
        <v>3.7600000000000001E-2</v>
      </c>
      <c r="S13" s="203">
        <f t="shared" ref="S13:S39" si="2">S12*(1+R13)</f>
        <v>1.0376000000000001</v>
      </c>
    </row>
    <row r="14" spans="1:19" hidden="1" outlineLevel="1" x14ac:dyDescent="0.25">
      <c r="A14" s="180">
        <v>2024</v>
      </c>
      <c r="B14" s="180"/>
      <c r="C14" s="4"/>
      <c r="D14" s="4"/>
      <c r="E14" s="183"/>
      <c r="F14" s="212"/>
      <c r="G14" s="213"/>
      <c r="H14" s="183"/>
      <c r="I14" s="183"/>
      <c r="J14" s="212"/>
      <c r="K14" s="183"/>
      <c r="L14" s="183"/>
      <c r="M14" s="213"/>
      <c r="N14" s="212"/>
      <c r="O14" s="183"/>
      <c r="P14" s="183"/>
      <c r="Q14" s="212"/>
      <c r="R14" s="7">
        <v>2.5000000000000001E-2</v>
      </c>
      <c r="S14" s="203">
        <f t="shared" si="2"/>
        <v>1.0635399999999999</v>
      </c>
    </row>
    <row r="15" spans="1:19" hidden="1" outlineLevel="1" x14ac:dyDescent="0.25">
      <c r="A15" s="180">
        <v>2025</v>
      </c>
      <c r="B15" s="180"/>
      <c r="C15" s="4"/>
      <c r="D15" s="4"/>
      <c r="E15" s="183"/>
      <c r="F15" s="212"/>
      <c r="G15" s="213"/>
      <c r="H15" s="183"/>
      <c r="I15" s="183"/>
      <c r="J15" s="212"/>
      <c r="K15" s="183"/>
      <c r="L15" s="183"/>
      <c r="M15" s="213"/>
      <c r="N15" s="212"/>
      <c r="O15" s="183"/>
      <c r="P15" s="183"/>
      <c r="Q15" s="212"/>
      <c r="R15" s="7">
        <f t="shared" ref="R15:R39" si="3">$R$14</f>
        <v>2.5000000000000001E-2</v>
      </c>
      <c r="S15" s="203">
        <f t="shared" si="2"/>
        <v>1.0901284999999998</v>
      </c>
    </row>
    <row r="16" spans="1:19" hidden="1" outlineLevel="1" x14ac:dyDescent="0.25">
      <c r="A16" s="180">
        <v>2026</v>
      </c>
      <c r="B16" s="180"/>
      <c r="C16" s="4"/>
      <c r="D16" s="4"/>
      <c r="E16" s="183"/>
      <c r="F16" s="212"/>
      <c r="G16" s="213"/>
      <c r="H16" s="183"/>
      <c r="I16" s="183"/>
      <c r="J16" s="212"/>
      <c r="K16" s="183"/>
      <c r="L16" s="183"/>
      <c r="M16" s="213"/>
      <c r="N16" s="212"/>
      <c r="O16" s="183"/>
      <c r="P16" s="183"/>
      <c r="Q16" s="212"/>
      <c r="R16" s="7">
        <f t="shared" si="3"/>
        <v>2.5000000000000001E-2</v>
      </c>
      <c r="S16" s="203">
        <f t="shared" si="2"/>
        <v>1.1173817124999996</v>
      </c>
    </row>
    <row r="17" spans="1:19" hidden="1" outlineLevel="1" x14ac:dyDescent="0.25">
      <c r="A17" s="180">
        <v>2027</v>
      </c>
      <c r="B17" s="180"/>
      <c r="C17" s="4"/>
      <c r="D17" s="4"/>
      <c r="E17" s="183"/>
      <c r="F17" s="212"/>
      <c r="G17" s="213"/>
      <c r="H17" s="183"/>
      <c r="I17" s="183"/>
      <c r="J17" s="212"/>
      <c r="K17" s="183"/>
      <c r="L17" s="183"/>
      <c r="M17" s="213"/>
      <c r="N17" s="212"/>
      <c r="O17" s="183"/>
      <c r="P17" s="183"/>
      <c r="Q17" s="212"/>
      <c r="R17" s="7">
        <f t="shared" si="3"/>
        <v>2.5000000000000001E-2</v>
      </c>
      <c r="S17" s="203">
        <f t="shared" si="2"/>
        <v>1.1453162553124996</v>
      </c>
    </row>
    <row r="18" spans="1:19" hidden="1" outlineLevel="1" x14ac:dyDescent="0.25">
      <c r="A18" s="180">
        <v>2028</v>
      </c>
      <c r="B18" s="180"/>
      <c r="C18" s="4"/>
      <c r="D18" s="4"/>
      <c r="E18" s="183"/>
      <c r="F18" s="212"/>
      <c r="G18" s="213"/>
      <c r="H18" s="183"/>
      <c r="I18" s="183"/>
      <c r="J18" s="212"/>
      <c r="K18" s="183"/>
      <c r="L18" s="183"/>
      <c r="M18" s="213"/>
      <c r="N18" s="212"/>
      <c r="O18" s="183"/>
      <c r="P18" s="183"/>
      <c r="Q18" s="212"/>
      <c r="R18" s="7">
        <f t="shared" si="3"/>
        <v>2.5000000000000001E-2</v>
      </c>
      <c r="S18" s="203">
        <f t="shared" si="2"/>
        <v>1.1739491616953119</v>
      </c>
    </row>
    <row r="19" spans="1:19" hidden="1" outlineLevel="1" x14ac:dyDescent="0.25">
      <c r="A19" s="180">
        <v>2029</v>
      </c>
      <c r="B19" s="180"/>
      <c r="C19" s="4"/>
      <c r="D19" s="4"/>
      <c r="E19" s="183"/>
      <c r="F19" s="212"/>
      <c r="G19" s="213"/>
      <c r="H19" s="183"/>
      <c r="I19" s="183"/>
      <c r="J19" s="212"/>
      <c r="K19" s="183"/>
      <c r="L19" s="183"/>
      <c r="M19" s="202"/>
      <c r="N19" s="212"/>
      <c r="O19" s="183"/>
      <c r="P19" s="183"/>
      <c r="Q19" s="212"/>
      <c r="R19" s="7">
        <f t="shared" si="3"/>
        <v>2.5000000000000001E-2</v>
      </c>
      <c r="S19" s="203">
        <f t="shared" si="2"/>
        <v>1.2032978907376946</v>
      </c>
    </row>
    <row r="20" spans="1:19" collapsed="1" x14ac:dyDescent="0.25">
      <c r="A20" s="180">
        <v>2030</v>
      </c>
      <c r="B20" s="180">
        <v>1</v>
      </c>
      <c r="C20" s="185">
        <f>C48*VLOOKUP('Com_Res_MW Breakdown'!$A$16,'Com_Res_MW Breakdown'!$A$3:$U$16,MATCH($A20,'Com_Res_MW Breakdown'!$A$3:$U$3,0),0)</f>
        <v>28091668.666666672</v>
      </c>
      <c r="D20" s="185">
        <f>D48*VLOOKUP('Com_Res_MW Breakdown'!$A$16,'Com_Res_MW Breakdown'!$A$3:$U$16,MATCH($A20,'Com_Res_MW Breakdown'!$A$3:$U$3,0),0)</f>
        <v>34730151.986666664</v>
      </c>
      <c r="E20" s="185">
        <f>E48*VLOOKUP('Com_Res_MW Breakdown'!$A$16,'Com_Res_MW Breakdown'!$A$3:$U$16,MATCH($A20,'Com_Res_MW Breakdown'!$A$3:$U$3,0),0)</f>
        <v>16364423.308136621</v>
      </c>
      <c r="F20" s="204">
        <f>F48*VLOOKUP('Com_Res_MW Breakdown'!$A$16,'Com_Res_MW Breakdown'!$A$3:$U$16,MATCH($A20,'Com_Res_MW Breakdown'!$A$3:$U$3,0),0)</f>
        <v>1462220.5266666666</v>
      </c>
      <c r="G20" s="205">
        <f t="shared" ref="G20:G39" si="4">C20/$S20</f>
        <v>22776160.605964597</v>
      </c>
      <c r="H20" s="185">
        <f t="shared" ref="H20:H39" si="5">D20/$S20</f>
        <v>28158509.517681204</v>
      </c>
      <c r="I20" s="185">
        <f t="shared" ref="I20:I39" si="6">E20/$S20</f>
        <v>13267945.66434478</v>
      </c>
      <c r="J20" s="204">
        <f t="shared" ref="J20:J39" si="7">F20</f>
        <v>1462220.5266666666</v>
      </c>
      <c r="K20" s="185">
        <f t="shared" ref="K20:K39" si="8">M20*$S20</f>
        <v>78215694.461585164</v>
      </c>
      <c r="L20" s="185">
        <f t="shared" ref="L20:L39" si="9">N20*$S20</f>
        <v>165858566.1895957</v>
      </c>
      <c r="M20" s="205">
        <f>VLOOKUP(BTM_Storage_Backup!$A$4,BTM_Storage_Backup!$A$4:$W$5,MATCH($A20,BTM_Storage_Backup!$A$3:$W$3,0),0)</f>
        <v>63415713.751386225</v>
      </c>
      <c r="N20" s="204">
        <f>VLOOKUP(BTM_Storage_Backup!$A$5,BTM_Storage_Backup!$A$4:$W$5,MATCH($A20,BTM_Storage_Backup!$A$3:$W$3,0),0)</f>
        <v>134474793.44264564</v>
      </c>
      <c r="O20" s="185">
        <f t="shared" ref="O20:O39" si="10">SUM(M20:N20)</f>
        <v>197890507.19403186</v>
      </c>
      <c r="P20" s="185">
        <f t="shared" ref="P20:P39" si="11">SUM(G20:H20)</f>
        <v>50934670.123645797</v>
      </c>
      <c r="Q20" s="204">
        <f t="shared" ref="Q20:Q39" si="12">P20-O20</f>
        <v>-146955837.07038605</v>
      </c>
      <c r="R20" s="7">
        <f t="shared" si="3"/>
        <v>2.5000000000000001E-2</v>
      </c>
      <c r="S20" s="203">
        <f t="shared" si="2"/>
        <v>1.2333803380061368</v>
      </c>
    </row>
    <row r="21" spans="1:19" x14ac:dyDescent="0.25">
      <c r="A21" s="180">
        <v>2031</v>
      </c>
      <c r="B21" s="180">
        <f t="shared" ref="B21:B39" si="13">1+B20</f>
        <v>2</v>
      </c>
      <c r="C21" s="185">
        <f>C49*VLOOKUP('Com_Res_MW Breakdown'!$A$16,'Com_Res_MW Breakdown'!$A$3:$U$16,MATCH($A21,'Com_Res_MW Breakdown'!$A$3:$U$3,0),0)</f>
        <v>24499214.333333328</v>
      </c>
      <c r="D21" s="185">
        <f>D49*VLOOKUP('Com_Res_MW Breakdown'!$A$16,'Com_Res_MW Breakdown'!$A$3:$U$16,MATCH($A21,'Com_Res_MW Breakdown'!$A$3:$U$3,0),0)</f>
        <v>53663407.305046141</v>
      </c>
      <c r="E21" s="185">
        <f>E49*VLOOKUP('Com_Res_MW Breakdown'!$A$16,'Com_Res_MW Breakdown'!$A$3:$U$16,MATCH($A21,'Com_Res_MW Breakdown'!$A$3:$U$3,0),0)</f>
        <v>3516241.0664078393</v>
      </c>
      <c r="F21" s="204">
        <f>F49*VLOOKUP('Com_Res_MW Breakdown'!$A$16,'Com_Res_MW Breakdown'!$A$3:$U$16,MATCH($A21,'Com_Res_MW Breakdown'!$A$3:$U$3,0),0)</f>
        <v>1396477.0533333332</v>
      </c>
      <c r="G21" s="205">
        <f t="shared" si="4"/>
        <v>19378995.905645996</v>
      </c>
      <c r="H21" s="185">
        <f t="shared" si="5"/>
        <v>42448012.262685873</v>
      </c>
      <c r="I21" s="185">
        <f t="shared" si="6"/>
        <v>2781363.5287262956</v>
      </c>
      <c r="J21" s="204">
        <f t="shared" si="7"/>
        <v>1396477.0533333332</v>
      </c>
      <c r="K21" s="185">
        <f t="shared" si="8"/>
        <v>80171086.823124781</v>
      </c>
      <c r="L21" s="185">
        <f t="shared" si="9"/>
        <v>170005030.34433559</v>
      </c>
      <c r="M21" s="205">
        <f>VLOOKUP(BTM_Storage_Backup!$A$4,BTM_Storage_Backup!$A$4:$W$5,MATCH($A21,BTM_Storage_Backup!$A$3:$W$3,0),0)</f>
        <v>63415713.751386225</v>
      </c>
      <c r="N21" s="204">
        <f>VLOOKUP(BTM_Storage_Backup!$A$5,BTM_Storage_Backup!$A$4:$W$5,MATCH($A21,BTM_Storage_Backup!$A$3:$W$3,0),0)</f>
        <v>134474793.44264564</v>
      </c>
      <c r="O21" s="185">
        <f t="shared" si="10"/>
        <v>197890507.19403186</v>
      </c>
      <c r="P21" s="185">
        <f t="shared" si="11"/>
        <v>61827008.168331869</v>
      </c>
      <c r="Q21" s="204">
        <f t="shared" si="12"/>
        <v>-136063499.0257</v>
      </c>
      <c r="R21" s="7">
        <f t="shared" si="3"/>
        <v>2.5000000000000001E-2</v>
      </c>
      <c r="S21" s="203">
        <f t="shared" si="2"/>
        <v>1.2642148464562901</v>
      </c>
    </row>
    <row r="22" spans="1:19" x14ac:dyDescent="0.25">
      <c r="A22" s="180">
        <v>2032</v>
      </c>
      <c r="B22" s="180">
        <f t="shared" si="13"/>
        <v>3</v>
      </c>
      <c r="C22" s="185">
        <f>C50*VLOOKUP('Com_Res_MW Breakdown'!$A$16,'Com_Res_MW Breakdown'!$A$3:$U$16,MATCH($A22,'Com_Res_MW Breakdown'!$A$3:$U$3,0),0)</f>
        <v>22636120.75</v>
      </c>
      <c r="D22" s="185">
        <f>D50*VLOOKUP('Com_Res_MW Breakdown'!$A$16,'Com_Res_MW Breakdown'!$A$3:$U$16,MATCH($A22,'Com_Res_MW Breakdown'!$A$3:$U$3,0),0)</f>
        <v>66756123.679199427</v>
      </c>
      <c r="E22" s="185">
        <f>E50*VLOOKUP('Com_Res_MW Breakdown'!$A$16,'Com_Res_MW Breakdown'!$A$3:$U$16,MATCH($A22,'Com_Res_MW Breakdown'!$A$3:$U$3,0),0)</f>
        <v>16899351.103896141</v>
      </c>
      <c r="F22" s="204">
        <f>F50*VLOOKUP('Com_Res_MW Breakdown'!$A$16,'Com_Res_MW Breakdown'!$A$3:$U$16,MATCH($A22,'Com_Res_MW Breakdown'!$A$3:$U$3,0),0)</f>
        <v>1376600.4875</v>
      </c>
      <c r="G22" s="205">
        <f t="shared" si="4"/>
        <v>17468565.810475942</v>
      </c>
      <c r="H22" s="185">
        <f t="shared" si="5"/>
        <v>51516501.109951295</v>
      </c>
      <c r="I22" s="185">
        <f t="shared" si="6"/>
        <v>13041431.885485457</v>
      </c>
      <c r="J22" s="204">
        <f t="shared" si="7"/>
        <v>1376600.4875</v>
      </c>
      <c r="K22" s="185">
        <f t="shared" si="8"/>
        <v>82175363.993702888</v>
      </c>
      <c r="L22" s="185">
        <f t="shared" si="9"/>
        <v>174255156.10294396</v>
      </c>
      <c r="M22" s="205">
        <f>VLOOKUP(BTM_Storage_Backup!$A$4,BTM_Storage_Backup!$A$4:$W$5,MATCH($A22,BTM_Storage_Backup!$A$3:$W$3,0),0)</f>
        <v>63415713.751386225</v>
      </c>
      <c r="N22" s="204">
        <f>VLOOKUP(BTM_Storage_Backup!$A$5,BTM_Storage_Backup!$A$4:$W$5,MATCH($A22,BTM_Storage_Backup!$A$3:$W$3,0),0)</f>
        <v>134474793.44264564</v>
      </c>
      <c r="O22" s="185">
        <f t="shared" si="10"/>
        <v>197890507.19403186</v>
      </c>
      <c r="P22" s="185">
        <f t="shared" si="11"/>
        <v>68985066.920427233</v>
      </c>
      <c r="Q22" s="204">
        <f t="shared" si="12"/>
        <v>-128905440.27360463</v>
      </c>
      <c r="R22" s="7">
        <f t="shared" si="3"/>
        <v>2.5000000000000001E-2</v>
      </c>
      <c r="S22" s="203">
        <f t="shared" si="2"/>
        <v>1.2958202176176972</v>
      </c>
    </row>
    <row r="23" spans="1:19" x14ac:dyDescent="0.25">
      <c r="A23" s="180">
        <v>2033</v>
      </c>
      <c r="B23" s="180">
        <f t="shared" si="13"/>
        <v>4</v>
      </c>
      <c r="C23" s="185">
        <f>C51*VLOOKUP('Com_Res_MW Breakdown'!$A$16,'Com_Res_MW Breakdown'!$A$3:$U$16,MATCH($A23,'Com_Res_MW Breakdown'!$A$3:$U$3,0),0)</f>
        <v>22459634.200000014</v>
      </c>
      <c r="D23" s="185">
        <f>D51*VLOOKUP('Com_Res_MW Breakdown'!$A$16,'Com_Res_MW Breakdown'!$A$3:$U$16,MATCH($A23,'Com_Res_MW Breakdown'!$A$3:$U$3,0),0)</f>
        <v>88541959.513630331</v>
      </c>
      <c r="E23" s="185">
        <f>E51*VLOOKUP('Com_Res_MW Breakdown'!$A$16,'Com_Res_MW Breakdown'!$A$3:$U$16,MATCH($A23,'Com_Res_MW Breakdown'!$A$3:$U$3,0),0)</f>
        <v>6310931.8843683247</v>
      </c>
      <c r="F23" s="204">
        <f>F51*VLOOKUP('Com_Res_MW Breakdown'!$A$16,'Com_Res_MW Breakdown'!$A$3:$U$16,MATCH($A23,'Com_Res_MW Breakdown'!$A$3:$U$3,0),0)</f>
        <v>1313190.7439999999</v>
      </c>
      <c r="G23" s="205">
        <f t="shared" si="4"/>
        <v>16909628.315713663</v>
      </c>
      <c r="H23" s="185">
        <f t="shared" si="5"/>
        <v>66662333.517455742</v>
      </c>
      <c r="I23" s="185">
        <f t="shared" si="6"/>
        <v>4751435.9112070818</v>
      </c>
      <c r="J23" s="204">
        <f t="shared" si="7"/>
        <v>1313190.7439999999</v>
      </c>
      <c r="K23" s="185">
        <f t="shared" si="8"/>
        <v>84229748.093545452</v>
      </c>
      <c r="L23" s="185">
        <f t="shared" si="9"/>
        <v>178611535.00551754</v>
      </c>
      <c r="M23" s="205">
        <f>VLOOKUP(BTM_Storage_Backup!$A$4,BTM_Storage_Backup!$A$4:$W$5,MATCH($A23,BTM_Storage_Backup!$A$3:$W$3,0),0)</f>
        <v>63415713.751386225</v>
      </c>
      <c r="N23" s="204">
        <f>VLOOKUP(BTM_Storage_Backup!$A$5,BTM_Storage_Backup!$A$4:$W$5,MATCH($A23,BTM_Storage_Backup!$A$3:$W$3,0),0)</f>
        <v>134474793.44264564</v>
      </c>
      <c r="O23" s="185">
        <f t="shared" si="10"/>
        <v>197890507.19403186</v>
      </c>
      <c r="P23" s="185">
        <f t="shared" si="11"/>
        <v>83571961.833169401</v>
      </c>
      <c r="Q23" s="204">
        <f t="shared" si="12"/>
        <v>-114318545.36086246</v>
      </c>
      <c r="R23" s="7">
        <f t="shared" si="3"/>
        <v>2.5000000000000001E-2</v>
      </c>
      <c r="S23" s="203">
        <f t="shared" si="2"/>
        <v>1.3282157230581395</v>
      </c>
    </row>
    <row r="24" spans="1:19" x14ac:dyDescent="0.25">
      <c r="A24" s="180">
        <v>2034</v>
      </c>
      <c r="B24" s="180">
        <f t="shared" si="13"/>
        <v>5</v>
      </c>
      <c r="C24" s="185">
        <f>C52*VLOOKUP('Com_Res_MW Breakdown'!$A$16,'Com_Res_MW Breakdown'!$A$3:$U$16,MATCH($A24,'Com_Res_MW Breakdown'!$A$3:$U$3,0),0)</f>
        <v>20058946.719999995</v>
      </c>
      <c r="D24" s="185">
        <f>D52*VLOOKUP('Com_Res_MW Breakdown'!$A$16,'Com_Res_MW Breakdown'!$A$3:$U$16,MATCH($A24,'Com_Res_MW Breakdown'!$A$3:$U$3,0),0)</f>
        <v>90665339.691435352</v>
      </c>
      <c r="E24" s="185">
        <f>E52*VLOOKUP('Com_Res_MW Breakdown'!$A$16,'Com_Res_MW Breakdown'!$A$3:$U$16,MATCH($A24,'Com_Res_MW Breakdown'!$A$3:$U$3,0),0)</f>
        <v>7238476.304904175</v>
      </c>
      <c r="F24" s="204">
        <f>F52*VLOOKUP('Com_Res_MW Breakdown'!$A$16,'Com_Res_MW Breakdown'!$A$3:$U$16,MATCH($A24,'Com_Res_MW Breakdown'!$A$3:$U$3,0),0)</f>
        <v>1267410.8176</v>
      </c>
      <c r="G24" s="205">
        <f t="shared" si="4"/>
        <v>14733829.586066835</v>
      </c>
      <c r="H24" s="185">
        <f t="shared" si="5"/>
        <v>66596102.129557386</v>
      </c>
      <c r="I24" s="185">
        <f t="shared" si="6"/>
        <v>5316853.2639305443</v>
      </c>
      <c r="J24" s="204">
        <f t="shared" si="7"/>
        <v>1267410.8176</v>
      </c>
      <c r="K24" s="185">
        <f t="shared" si="8"/>
        <v>86335491.795884088</v>
      </c>
      <c r="L24" s="185">
        <f t="shared" si="9"/>
        <v>183076823.38065544</v>
      </c>
      <c r="M24" s="205">
        <f>VLOOKUP(BTM_Storage_Backup!$A$4,BTM_Storage_Backup!$A$4:$W$5,MATCH($A24,BTM_Storage_Backup!$A$3:$W$3,0),0)</f>
        <v>63415713.751386225</v>
      </c>
      <c r="N24" s="204">
        <f>VLOOKUP(BTM_Storage_Backup!$A$5,BTM_Storage_Backup!$A$4:$W$5,MATCH($A24,BTM_Storage_Backup!$A$3:$W$3,0),0)</f>
        <v>134474793.44264564</v>
      </c>
      <c r="O24" s="185">
        <f t="shared" si="10"/>
        <v>197890507.19403186</v>
      </c>
      <c r="P24" s="185">
        <f t="shared" si="11"/>
        <v>81329931.715624213</v>
      </c>
      <c r="Q24" s="204">
        <f t="shared" si="12"/>
        <v>-116560575.47840765</v>
      </c>
      <c r="R24" s="7">
        <f t="shared" si="3"/>
        <v>2.5000000000000001E-2</v>
      </c>
      <c r="S24" s="203">
        <f t="shared" si="2"/>
        <v>1.3614211161345928</v>
      </c>
    </row>
    <row r="25" spans="1:19" x14ac:dyDescent="0.25">
      <c r="A25" s="180">
        <v>2035</v>
      </c>
      <c r="B25" s="180">
        <f t="shared" si="13"/>
        <v>6</v>
      </c>
      <c r="C25" s="185">
        <f>C53*VLOOKUP('Com_Res_MW Breakdown'!$A$16,'Com_Res_MW Breakdown'!$A$3:$U$16,MATCH($A25,'Com_Res_MW Breakdown'!$A$3:$U$3,0),0)</f>
        <v>17852861.466666661</v>
      </c>
      <c r="D25" s="185">
        <f>D53*VLOOKUP('Com_Res_MW Breakdown'!$A$16,'Com_Res_MW Breakdown'!$A$3:$U$16,MATCH($A25,'Com_Res_MW Breakdown'!$A$3:$U$3,0),0)</f>
        <v>107138695.585363</v>
      </c>
      <c r="E25" s="185">
        <f>E53*VLOOKUP('Com_Res_MW Breakdown'!$A$16,'Com_Res_MW Breakdown'!$A$3:$U$16,MATCH($A25,'Com_Res_MW Breakdown'!$A$3:$U$3,0),0)</f>
        <v>5827732.9195751194</v>
      </c>
      <c r="F25" s="204">
        <f>F53*VLOOKUP('Com_Res_MW Breakdown'!$A$16,'Com_Res_MW Breakdown'!$A$3:$U$16,MATCH($A25,'Com_Res_MW Breakdown'!$A$3:$U$3,0),0)</f>
        <v>1215736.5773333334</v>
      </c>
      <c r="G25" s="205">
        <f t="shared" si="4"/>
        <v>12793562.267192194</v>
      </c>
      <c r="H25" s="185">
        <f t="shared" si="5"/>
        <v>76776799.940800413</v>
      </c>
      <c r="I25" s="185">
        <f t="shared" si="6"/>
        <v>4176219.2644779873</v>
      </c>
      <c r="J25" s="204">
        <f t="shared" si="7"/>
        <v>1215736.5773333334</v>
      </c>
      <c r="K25" s="185">
        <f t="shared" si="8"/>
        <v>88493879.090781167</v>
      </c>
      <c r="L25" s="185">
        <f t="shared" si="9"/>
        <v>187653743.96517181</v>
      </c>
      <c r="M25" s="205">
        <f>VLOOKUP(BTM_Storage_Backup!$A$4,BTM_Storage_Backup!$A$4:$W$5,MATCH($A25,BTM_Storage_Backup!$A$3:$W$3,0),0)</f>
        <v>63415713.751386225</v>
      </c>
      <c r="N25" s="204">
        <f>VLOOKUP(BTM_Storage_Backup!$A$5,BTM_Storage_Backup!$A$4:$W$5,MATCH($A25,BTM_Storage_Backup!$A$3:$W$3,0),0)</f>
        <v>134474793.44264564</v>
      </c>
      <c r="O25" s="185">
        <f t="shared" si="10"/>
        <v>197890507.19403186</v>
      </c>
      <c r="P25" s="185">
        <f t="shared" si="11"/>
        <v>89570362.207992613</v>
      </c>
      <c r="Q25" s="204">
        <f t="shared" si="12"/>
        <v>-108320144.98603925</v>
      </c>
      <c r="R25" s="7">
        <f t="shared" si="3"/>
        <v>2.5000000000000001E-2</v>
      </c>
      <c r="S25" s="203">
        <f t="shared" si="2"/>
        <v>1.3954566440379574</v>
      </c>
    </row>
    <row r="26" spans="1:19" x14ac:dyDescent="0.25">
      <c r="A26" s="180">
        <v>2036</v>
      </c>
      <c r="B26" s="180">
        <f t="shared" si="13"/>
        <v>7</v>
      </c>
      <c r="C26" s="185">
        <f>C54*VLOOKUP('Com_Res_MW Breakdown'!$A$16,'Com_Res_MW Breakdown'!$A$3:$U$16,MATCH($A26,'Com_Res_MW Breakdown'!$A$3:$U$3,0),0)</f>
        <v>19332387.86666666</v>
      </c>
      <c r="D26" s="185">
        <f>D54*VLOOKUP('Com_Res_MW Breakdown'!$A$16,'Com_Res_MW Breakdown'!$A$3:$U$16,MATCH($A26,'Com_Res_MW Breakdown'!$A$3:$U$3,0),0)</f>
        <v>126255965.49692565</v>
      </c>
      <c r="E26" s="185">
        <f>E54*VLOOKUP('Com_Res_MW Breakdown'!$A$16,'Com_Res_MW Breakdown'!$A$3:$U$16,MATCH($A26,'Com_Res_MW Breakdown'!$A$3:$U$3,0),0)</f>
        <v>5677897.0955090839</v>
      </c>
      <c r="F26" s="204">
        <f>F54*VLOOKUP('Com_Res_MW Breakdown'!$A$16,'Com_Res_MW Breakdown'!$A$3:$U$16,MATCH($A26,'Com_Res_MW Breakdown'!$A$3:$U$3,0),0)</f>
        <v>1234877.3986666666</v>
      </c>
      <c r="G26" s="205">
        <f t="shared" si="4"/>
        <v>13515909.857869493</v>
      </c>
      <c r="H26" s="185">
        <f t="shared" si="5"/>
        <v>88269708.865972638</v>
      </c>
      <c r="I26" s="185">
        <f t="shared" si="6"/>
        <v>3969605.0924717886</v>
      </c>
      <c r="J26" s="204">
        <f t="shared" si="7"/>
        <v>1234877.3986666666</v>
      </c>
      <c r="K26" s="185">
        <f t="shared" si="8"/>
        <v>90706226.068050683</v>
      </c>
      <c r="L26" s="185">
        <f t="shared" si="9"/>
        <v>192345087.56430107</v>
      </c>
      <c r="M26" s="205">
        <f>VLOOKUP(BTM_Storage_Backup!$A$4,BTM_Storage_Backup!$A$4:$W$5,MATCH($A26,BTM_Storage_Backup!$A$3:$W$3,0),0)</f>
        <v>63415713.751386225</v>
      </c>
      <c r="N26" s="204">
        <f>VLOOKUP(BTM_Storage_Backup!$A$5,BTM_Storage_Backup!$A$4:$W$5,MATCH($A26,BTM_Storage_Backup!$A$3:$W$3,0),0)</f>
        <v>134474793.44264564</v>
      </c>
      <c r="O26" s="185">
        <f t="shared" si="10"/>
        <v>197890507.19403186</v>
      </c>
      <c r="P26" s="185">
        <f t="shared" si="11"/>
        <v>101785618.72384213</v>
      </c>
      <c r="Q26" s="204">
        <f t="shared" si="12"/>
        <v>-96104888.470189735</v>
      </c>
      <c r="R26" s="7">
        <f t="shared" si="3"/>
        <v>2.5000000000000001E-2</v>
      </c>
      <c r="S26" s="203">
        <f t="shared" si="2"/>
        <v>1.4303430601389062</v>
      </c>
    </row>
    <row r="27" spans="1:19" x14ac:dyDescent="0.25">
      <c r="A27" s="180">
        <v>2037</v>
      </c>
      <c r="B27" s="180">
        <f t="shared" si="13"/>
        <v>8</v>
      </c>
      <c r="C27" s="185">
        <f>C55*VLOOKUP('Com_Res_MW Breakdown'!$A$16,'Com_Res_MW Breakdown'!$A$3:$U$16,MATCH($A27,'Com_Res_MW Breakdown'!$A$3:$U$3,0),0)</f>
        <v>21023720.000000004</v>
      </c>
      <c r="D27" s="185">
        <f>D55*VLOOKUP('Com_Res_MW Breakdown'!$A$16,'Com_Res_MW Breakdown'!$A$3:$U$16,MATCH($A27,'Com_Res_MW Breakdown'!$A$3:$U$3,0),0)</f>
        <v>166698164.48693389</v>
      </c>
      <c r="E27" s="185">
        <f>E55*VLOOKUP('Com_Res_MW Breakdown'!$A$16,'Com_Res_MW Breakdown'!$A$3:$U$16,MATCH($A27,'Com_Res_MW Breakdown'!$A$3:$U$3,0),0)</f>
        <v>1052391.3521366119</v>
      </c>
      <c r="F27" s="204">
        <f>F55*VLOOKUP('Com_Res_MW Breakdown'!$A$16,'Com_Res_MW Breakdown'!$A$3:$U$16,MATCH($A27,'Com_Res_MW Breakdown'!$A$3:$U$3,0),0)</f>
        <v>1238056.0466666666</v>
      </c>
      <c r="G27" s="205">
        <f t="shared" si="4"/>
        <v>14339878.951467436</v>
      </c>
      <c r="H27" s="185">
        <f t="shared" si="5"/>
        <v>113701642.72423905</v>
      </c>
      <c r="I27" s="185">
        <f t="shared" si="6"/>
        <v>717816.09530616621</v>
      </c>
      <c r="J27" s="204">
        <f t="shared" si="7"/>
        <v>1238056.0466666666</v>
      </c>
      <c r="K27" s="185">
        <f t="shared" si="8"/>
        <v>92973881.719751939</v>
      </c>
      <c r="L27" s="185">
        <f t="shared" si="9"/>
        <v>197153714.75340858</v>
      </c>
      <c r="M27" s="205">
        <f>VLOOKUP(BTM_Storage_Backup!$A$4,BTM_Storage_Backup!$A$4:$W$5,MATCH($A27,BTM_Storage_Backup!$A$3:$W$3,0),0)</f>
        <v>63415713.751386225</v>
      </c>
      <c r="N27" s="204">
        <f>VLOOKUP(BTM_Storage_Backup!$A$5,BTM_Storage_Backup!$A$4:$W$5,MATCH($A27,BTM_Storage_Backup!$A$3:$W$3,0),0)</f>
        <v>134474793.44264564</v>
      </c>
      <c r="O27" s="185">
        <f t="shared" si="10"/>
        <v>197890507.19403186</v>
      </c>
      <c r="P27" s="185">
        <f t="shared" si="11"/>
        <v>128041521.67570649</v>
      </c>
      <c r="Q27" s="204">
        <f t="shared" si="12"/>
        <v>-69848985.518325374</v>
      </c>
      <c r="R27" s="7">
        <f t="shared" si="3"/>
        <v>2.5000000000000001E-2</v>
      </c>
      <c r="S27" s="203">
        <f t="shared" si="2"/>
        <v>1.4661016366423787</v>
      </c>
    </row>
    <row r="28" spans="1:19" x14ac:dyDescent="0.25">
      <c r="A28" s="180">
        <v>2038</v>
      </c>
      <c r="B28" s="180">
        <f t="shared" si="13"/>
        <v>9</v>
      </c>
      <c r="C28" s="185">
        <f>C56*VLOOKUP('Com_Res_MW Breakdown'!$A$16,'Com_Res_MW Breakdown'!$A$3:$U$16,MATCH($A28,'Com_Res_MW Breakdown'!$A$3:$U$3,0),0)</f>
        <v>22424913.600000009</v>
      </c>
      <c r="D28" s="185">
        <f>D56*VLOOKUP('Com_Res_MW Breakdown'!$A$16,'Com_Res_MW Breakdown'!$A$3:$U$16,MATCH($A28,'Com_Res_MW Breakdown'!$A$3:$U$3,0),0)</f>
        <v>172215480.16326797</v>
      </c>
      <c r="E28" s="185">
        <f>E56*VLOOKUP('Com_Res_MW Breakdown'!$A$16,'Com_Res_MW Breakdown'!$A$3:$U$16,MATCH($A28,'Com_Res_MW Breakdown'!$A$3:$U$3,0),0)</f>
        <v>889052.63606529229</v>
      </c>
      <c r="F28" s="204">
        <f>F56*VLOOKUP('Com_Res_MW Breakdown'!$A$16,'Com_Res_MW Breakdown'!$A$3:$U$16,MATCH($A28,'Com_Res_MW Breakdown'!$A$3:$U$3,0),0)</f>
        <v>1229842.8666666667</v>
      </c>
      <c r="G28" s="205">
        <f t="shared" si="4"/>
        <v>14922542.844921131</v>
      </c>
      <c r="H28" s="185">
        <f t="shared" si="5"/>
        <v>114599901.12492698</v>
      </c>
      <c r="I28" s="185">
        <f t="shared" si="6"/>
        <v>591615.48132227326</v>
      </c>
      <c r="J28" s="204">
        <f t="shared" si="7"/>
        <v>1229842.8666666667</v>
      </c>
      <c r="K28" s="185">
        <f t="shared" si="8"/>
        <v>95298228.762745738</v>
      </c>
      <c r="L28" s="185">
        <f t="shared" si="9"/>
        <v>202082557.62224379</v>
      </c>
      <c r="M28" s="205">
        <f>VLOOKUP(BTM_Storage_Backup!$A$4,BTM_Storage_Backup!$A$4:$W$5,MATCH($A28,BTM_Storage_Backup!$A$3:$W$3,0),0)</f>
        <v>63415713.751386225</v>
      </c>
      <c r="N28" s="204">
        <f>VLOOKUP(BTM_Storage_Backup!$A$5,BTM_Storage_Backup!$A$4:$W$5,MATCH($A28,BTM_Storage_Backup!$A$3:$W$3,0),0)</f>
        <v>134474793.44264564</v>
      </c>
      <c r="O28" s="185">
        <f t="shared" si="10"/>
        <v>197890507.19403186</v>
      </c>
      <c r="P28" s="185">
        <f t="shared" si="11"/>
        <v>129522443.96984811</v>
      </c>
      <c r="Q28" s="204">
        <f t="shared" si="12"/>
        <v>-68368063.224183753</v>
      </c>
      <c r="R28" s="7">
        <f t="shared" si="3"/>
        <v>2.5000000000000001E-2</v>
      </c>
      <c r="S28" s="203">
        <f t="shared" si="2"/>
        <v>1.5027541775584381</v>
      </c>
    </row>
    <row r="29" spans="1:19" x14ac:dyDescent="0.25">
      <c r="A29" s="180">
        <v>2039</v>
      </c>
      <c r="B29" s="180">
        <f t="shared" si="13"/>
        <v>10</v>
      </c>
      <c r="C29" s="185">
        <f>C57*VLOOKUP('Com_Res_MW Breakdown'!$A$16,'Com_Res_MW Breakdown'!$A$3:$U$16,MATCH($A29,'Com_Res_MW Breakdown'!$A$3:$U$3,0),0)</f>
        <v>22422827.466666676</v>
      </c>
      <c r="D29" s="185">
        <f>D57*VLOOKUP('Com_Res_MW Breakdown'!$A$16,'Com_Res_MW Breakdown'!$A$3:$U$16,MATCH($A29,'Com_Res_MW Breakdown'!$A$3:$U$3,0),0)</f>
        <v>156889969.65188539</v>
      </c>
      <c r="E29" s="185">
        <f>E57*VLOOKUP('Com_Res_MW Breakdown'!$A$16,'Com_Res_MW Breakdown'!$A$3:$U$16,MATCH($A29,'Com_Res_MW Breakdown'!$A$3:$U$3,0),0)</f>
        <v>2177564.1928967792</v>
      </c>
      <c r="F29" s="204">
        <f>F57*VLOOKUP('Com_Res_MW Breakdown'!$A$16,'Com_Res_MW Breakdown'!$A$3:$U$16,MATCH($A29,'Com_Res_MW Breakdown'!$A$3:$U$3,0),0)</f>
        <v>1219574.6426666668</v>
      </c>
      <c r="G29" s="205">
        <f t="shared" si="4"/>
        <v>14557224.037343709</v>
      </c>
      <c r="H29" s="185">
        <f t="shared" si="5"/>
        <v>101855238.40959507</v>
      </c>
      <c r="I29" s="185">
        <f t="shared" si="6"/>
        <v>1413706.1821850732</v>
      </c>
      <c r="J29" s="204">
        <f t="shared" si="7"/>
        <v>1219574.6426666668</v>
      </c>
      <c r="K29" s="185">
        <f t="shared" si="8"/>
        <v>97680684.48181437</v>
      </c>
      <c r="L29" s="185">
        <f t="shared" si="9"/>
        <v>207134621.56279987</v>
      </c>
      <c r="M29" s="205">
        <f>VLOOKUP(BTM_Storage_Backup!$A$4,BTM_Storage_Backup!$A$4:$W$5,MATCH($A29,BTM_Storage_Backup!$A$3:$W$3,0),0)</f>
        <v>63415713.751386225</v>
      </c>
      <c r="N29" s="204">
        <f>VLOOKUP(BTM_Storage_Backup!$A$5,BTM_Storage_Backup!$A$4:$W$5,MATCH($A29,BTM_Storage_Backup!$A$3:$W$3,0),0)</f>
        <v>134474793.44264564</v>
      </c>
      <c r="O29" s="185">
        <f t="shared" si="10"/>
        <v>197890507.19403186</v>
      </c>
      <c r="P29" s="185">
        <f t="shared" si="11"/>
        <v>116412462.44693878</v>
      </c>
      <c r="Q29" s="204">
        <f t="shared" si="12"/>
        <v>-81478044.747093081</v>
      </c>
      <c r="R29" s="7">
        <f t="shared" si="3"/>
        <v>2.5000000000000001E-2</v>
      </c>
      <c r="S29" s="203">
        <f t="shared" si="2"/>
        <v>1.5403230319973988</v>
      </c>
    </row>
    <row r="30" spans="1:19" x14ac:dyDescent="0.25">
      <c r="A30" s="180">
        <v>2040</v>
      </c>
      <c r="B30" s="180">
        <f t="shared" si="13"/>
        <v>11</v>
      </c>
      <c r="C30" s="185">
        <f>C58*VLOOKUP('Com_Res_MW Breakdown'!$A$16,'Com_Res_MW Breakdown'!$A$3:$U$16,MATCH($A30,'Com_Res_MW Breakdown'!$A$3:$U$3,0),0)</f>
        <v>24124683.466666665</v>
      </c>
      <c r="D30" s="185">
        <f>D58*VLOOKUP('Com_Res_MW Breakdown'!$A$16,'Com_Res_MW Breakdown'!$A$3:$U$16,MATCH($A30,'Com_Res_MW Breakdown'!$A$3:$U$3,0),0)</f>
        <v>144977940.00709325</v>
      </c>
      <c r="E30" s="185">
        <f>E58*VLOOKUP('Com_Res_MW Breakdown'!$A$16,'Com_Res_MW Breakdown'!$A$3:$U$16,MATCH($A30,'Com_Res_MW Breakdown'!$A$3:$U$3,0),0)</f>
        <v>483146.48318837484</v>
      </c>
      <c r="F30" s="204">
        <f>F58*VLOOKUP('Com_Res_MW Breakdown'!$A$16,'Com_Res_MW Breakdown'!$A$3:$U$16,MATCH($A30,'Com_Res_MW Breakdown'!$A$3:$U$3,0),0)</f>
        <v>1228485.176</v>
      </c>
      <c r="G30" s="205">
        <f t="shared" si="4"/>
        <v>15280091.295087039</v>
      </c>
      <c r="H30" s="185">
        <f t="shared" si="5"/>
        <v>91826123.320660666</v>
      </c>
      <c r="I30" s="185">
        <f t="shared" si="6"/>
        <v>306015.30512179004</v>
      </c>
      <c r="J30" s="204">
        <f t="shared" si="7"/>
        <v>1228485.176</v>
      </c>
      <c r="K30" s="185">
        <f t="shared" si="8"/>
        <v>100122701.59385972</v>
      </c>
      <c r="L30" s="185">
        <f t="shared" si="9"/>
        <v>212312987.10186982</v>
      </c>
      <c r="M30" s="205">
        <f>VLOOKUP(BTM_Storage_Backup!$A$4,BTM_Storage_Backup!$A$4:$W$5,MATCH($A30,BTM_Storage_Backup!$A$3:$W$3,0),0)</f>
        <v>63415713.751386225</v>
      </c>
      <c r="N30" s="204">
        <f>VLOOKUP(BTM_Storage_Backup!$A$5,BTM_Storage_Backup!$A$4:$W$5,MATCH($A30,BTM_Storage_Backup!$A$3:$W$3,0),0)</f>
        <v>134474793.44264564</v>
      </c>
      <c r="O30" s="185">
        <f t="shared" si="10"/>
        <v>197890507.19403186</v>
      </c>
      <c r="P30" s="185">
        <f t="shared" si="11"/>
        <v>107106214.61574771</v>
      </c>
      <c r="Q30" s="204">
        <f t="shared" si="12"/>
        <v>-90784292.578284159</v>
      </c>
      <c r="R30" s="7">
        <f t="shared" si="3"/>
        <v>2.5000000000000001E-2</v>
      </c>
      <c r="S30" s="203">
        <f t="shared" si="2"/>
        <v>1.5788311077973336</v>
      </c>
    </row>
    <row r="31" spans="1:19" x14ac:dyDescent="0.25">
      <c r="A31" s="180">
        <v>2041</v>
      </c>
      <c r="B31" s="180">
        <f t="shared" si="13"/>
        <v>12</v>
      </c>
      <c r="C31" s="185">
        <f>C59*VLOOKUP('Com_Res_MW Breakdown'!$A$16,'Com_Res_MW Breakdown'!$A$3:$U$16,MATCH($A31,'Com_Res_MW Breakdown'!$A$3:$U$3,0),0)</f>
        <v>27012690.93333333</v>
      </c>
      <c r="D31" s="185">
        <f>D59*VLOOKUP('Com_Res_MW Breakdown'!$A$16,'Com_Res_MW Breakdown'!$A$3:$U$16,MATCH($A31,'Com_Res_MW Breakdown'!$A$3:$U$3,0),0)</f>
        <v>185355001.42549077</v>
      </c>
      <c r="E31" s="185">
        <f>E59*VLOOKUP('Com_Res_MW Breakdown'!$A$16,'Com_Res_MW Breakdown'!$A$3:$U$16,MATCH($A31,'Com_Res_MW Breakdown'!$A$3:$U$3,0),0)</f>
        <v>3524464.7706947327</v>
      </c>
      <c r="F31" s="204">
        <f>F59*VLOOKUP('Com_Res_MW Breakdown'!$A$16,'Com_Res_MW Breakdown'!$A$3:$U$16,MATCH($A31,'Com_Res_MW Breakdown'!$A$3:$U$3,0),0)</f>
        <v>1213579.3933333333</v>
      </c>
      <c r="G31" s="205">
        <f t="shared" si="4"/>
        <v>16691997.442193188</v>
      </c>
      <c r="H31" s="185">
        <f t="shared" si="5"/>
        <v>114536727.10089448</v>
      </c>
      <c r="I31" s="185">
        <f t="shared" si="6"/>
        <v>2177878.4306505551</v>
      </c>
      <c r="J31" s="204">
        <f t="shared" si="7"/>
        <v>1213579.3933333333</v>
      </c>
      <c r="K31" s="185">
        <f t="shared" si="8"/>
        <v>102625769.1337062</v>
      </c>
      <c r="L31" s="185">
        <f t="shared" si="9"/>
        <v>217620811.77941656</v>
      </c>
      <c r="M31" s="205">
        <f>VLOOKUP(BTM_Storage_Backup!$A$4,BTM_Storage_Backup!$A$4:$W$5,MATCH($A31,BTM_Storage_Backup!$A$3:$W$3,0),0)</f>
        <v>63415713.751386225</v>
      </c>
      <c r="N31" s="204">
        <f>VLOOKUP(BTM_Storage_Backup!$A$5,BTM_Storage_Backup!$A$4:$W$5,MATCH($A31,BTM_Storage_Backup!$A$3:$W$3,0),0)</f>
        <v>134474793.44264564</v>
      </c>
      <c r="O31" s="185">
        <f t="shared" si="10"/>
        <v>197890507.19403186</v>
      </c>
      <c r="P31" s="185">
        <f t="shared" si="11"/>
        <v>131228724.54308766</v>
      </c>
      <c r="Q31" s="204">
        <f t="shared" si="12"/>
        <v>-66661782.650944203</v>
      </c>
      <c r="R31" s="7">
        <f t="shared" si="3"/>
        <v>2.5000000000000001E-2</v>
      </c>
      <c r="S31" s="203">
        <f t="shared" si="2"/>
        <v>1.6183018854922668</v>
      </c>
    </row>
    <row r="32" spans="1:19" x14ac:dyDescent="0.25">
      <c r="A32" s="180">
        <v>2042</v>
      </c>
      <c r="B32" s="180">
        <f t="shared" si="13"/>
        <v>13</v>
      </c>
      <c r="C32" s="185">
        <f>C60*VLOOKUP('Com_Res_MW Breakdown'!$A$16,'Com_Res_MW Breakdown'!$A$3:$U$16,MATCH($A32,'Com_Res_MW Breakdown'!$A$3:$U$3,0),0)</f>
        <v>28213373.066666674</v>
      </c>
      <c r="D32" s="185">
        <f>D60*VLOOKUP('Com_Res_MW Breakdown'!$A$16,'Com_Res_MW Breakdown'!$A$3:$U$16,MATCH($A32,'Com_Res_MW Breakdown'!$A$3:$U$3,0),0)</f>
        <v>194058196.18218166</v>
      </c>
      <c r="E32" s="185">
        <f>E60*VLOOKUP('Com_Res_MW Breakdown'!$A$16,'Com_Res_MW Breakdown'!$A$3:$U$16,MATCH($A32,'Com_Res_MW Breakdown'!$A$3:$U$3,0),0)</f>
        <v>-2849552.1525536855</v>
      </c>
      <c r="F32" s="204">
        <f>F60*VLOOKUP('Com_Res_MW Breakdown'!$A$16,'Com_Res_MW Breakdown'!$A$3:$U$16,MATCH($A32,'Com_Res_MW Breakdown'!$A$3:$U$3,0),0)</f>
        <v>1244556.0573333332</v>
      </c>
      <c r="G32" s="205">
        <f t="shared" si="4"/>
        <v>17008718.993049521</v>
      </c>
      <c r="H32" s="185">
        <f t="shared" si="5"/>
        <v>116989957.89555088</v>
      </c>
      <c r="I32" s="185">
        <f t="shared" si="6"/>
        <v>-1717881.506202735</v>
      </c>
      <c r="J32" s="204">
        <f t="shared" si="7"/>
        <v>1244556.0573333332</v>
      </c>
      <c r="K32" s="185">
        <f t="shared" si="8"/>
        <v>105191413.36204885</v>
      </c>
      <c r="L32" s="185">
        <f t="shared" si="9"/>
        <v>223061332.07390195</v>
      </c>
      <c r="M32" s="205">
        <f>VLOOKUP(BTM_Storage_Backup!$A$4,BTM_Storage_Backup!$A$4:$W$5,MATCH($A32,BTM_Storage_Backup!$A$3:$W$3,0),0)</f>
        <v>63415713.751386225</v>
      </c>
      <c r="N32" s="204">
        <f>VLOOKUP(BTM_Storage_Backup!$A$5,BTM_Storage_Backup!$A$4:$W$5,MATCH($A32,BTM_Storage_Backup!$A$3:$W$3,0),0)</f>
        <v>134474793.44264564</v>
      </c>
      <c r="O32" s="185">
        <f t="shared" si="10"/>
        <v>197890507.19403186</v>
      </c>
      <c r="P32" s="185">
        <f t="shared" si="11"/>
        <v>133998676.88860039</v>
      </c>
      <c r="Q32" s="204">
        <f t="shared" si="12"/>
        <v>-63891830.30543147</v>
      </c>
      <c r="R32" s="7">
        <f t="shared" si="3"/>
        <v>2.5000000000000001E-2</v>
      </c>
      <c r="S32" s="203">
        <f t="shared" si="2"/>
        <v>1.6587594326295734</v>
      </c>
    </row>
    <row r="33" spans="1:19" x14ac:dyDescent="0.25">
      <c r="A33" s="180">
        <v>2043</v>
      </c>
      <c r="B33" s="180">
        <f t="shared" si="13"/>
        <v>14</v>
      </c>
      <c r="C33" s="185">
        <f>C61*VLOOKUP('Com_Res_MW Breakdown'!$A$16,'Com_Res_MW Breakdown'!$A$3:$U$16,MATCH($A33,'Com_Res_MW Breakdown'!$A$3:$U$3,0),0)</f>
        <v>23214637.733333327</v>
      </c>
      <c r="D33" s="185">
        <f>D61*VLOOKUP('Com_Res_MW Breakdown'!$A$16,'Com_Res_MW Breakdown'!$A$3:$U$16,MATCH($A33,'Com_Res_MW Breakdown'!$A$3:$U$3,0),0)</f>
        <v>200837328.24819446</v>
      </c>
      <c r="E33" s="185">
        <f>E61*VLOOKUP('Com_Res_MW Breakdown'!$A$16,'Com_Res_MW Breakdown'!$A$3:$U$16,MATCH($A33,'Com_Res_MW Breakdown'!$A$3:$U$3,0),0)</f>
        <v>-1897595.8058973949</v>
      </c>
      <c r="F33" s="204">
        <f>F61*VLOOKUP('Com_Res_MW Breakdown'!$A$16,'Com_Res_MW Breakdown'!$A$3:$U$16,MATCH($A33,'Com_Res_MW Breakdown'!$A$3:$U$3,0),0)</f>
        <v>1199338.6066666667</v>
      </c>
      <c r="G33" s="205">
        <f t="shared" si="4"/>
        <v>13653834.673908563</v>
      </c>
      <c r="H33" s="185">
        <f t="shared" si="5"/>
        <v>118123733.29922338</v>
      </c>
      <c r="I33" s="185">
        <f t="shared" si="6"/>
        <v>-1116082.8658731366</v>
      </c>
      <c r="J33" s="204">
        <f t="shared" si="7"/>
        <v>1199338.6066666667</v>
      </c>
      <c r="K33" s="185">
        <f t="shared" si="8"/>
        <v>107821198.69610006</v>
      </c>
      <c r="L33" s="185">
        <f t="shared" si="9"/>
        <v>228637865.37574947</v>
      </c>
      <c r="M33" s="205">
        <f>VLOOKUP(BTM_Storage_Backup!$A$4,BTM_Storage_Backup!$A$4:$W$5,MATCH($A33,BTM_Storage_Backup!$A$3:$W$3,0),0)</f>
        <v>63415713.751386225</v>
      </c>
      <c r="N33" s="204">
        <f>VLOOKUP(BTM_Storage_Backup!$A$5,BTM_Storage_Backup!$A$4:$W$5,MATCH($A33,BTM_Storage_Backup!$A$3:$W$3,0),0)</f>
        <v>134474793.44264564</v>
      </c>
      <c r="O33" s="185">
        <f t="shared" si="10"/>
        <v>197890507.19403186</v>
      </c>
      <c r="P33" s="185">
        <f t="shared" si="11"/>
        <v>131777567.97313194</v>
      </c>
      <c r="Q33" s="204">
        <f t="shared" si="12"/>
        <v>-66112939.220899925</v>
      </c>
      <c r="R33" s="7">
        <f t="shared" si="3"/>
        <v>2.5000000000000001E-2</v>
      </c>
      <c r="S33" s="203">
        <f t="shared" si="2"/>
        <v>1.7002284184453125</v>
      </c>
    </row>
    <row r="34" spans="1:19" x14ac:dyDescent="0.25">
      <c r="A34" s="180">
        <v>2044</v>
      </c>
      <c r="B34" s="180">
        <f t="shared" si="13"/>
        <v>15</v>
      </c>
      <c r="C34" s="185">
        <f>C62*VLOOKUP('Com_Res_MW Breakdown'!$A$16,'Com_Res_MW Breakdown'!$A$3:$U$16,MATCH($A34,'Com_Res_MW Breakdown'!$A$3:$U$3,0),0)</f>
        <v>21986088.799999997</v>
      </c>
      <c r="D34" s="185">
        <f>D62*VLOOKUP('Com_Res_MW Breakdown'!$A$16,'Com_Res_MW Breakdown'!$A$3:$U$16,MATCH($A34,'Com_Res_MW Breakdown'!$A$3:$U$3,0),0)</f>
        <v>166035607.19013152</v>
      </c>
      <c r="E34" s="185">
        <f>E62*VLOOKUP('Com_Res_MW Breakdown'!$A$16,'Com_Res_MW Breakdown'!$A$3:$U$16,MATCH($A34,'Com_Res_MW Breakdown'!$A$3:$U$3,0),0)</f>
        <v>-5376213.6444778442</v>
      </c>
      <c r="F34" s="204">
        <f>F62*VLOOKUP('Com_Res_MW Breakdown'!$A$16,'Com_Res_MW Breakdown'!$A$3:$U$16,MATCH($A34,'Com_Res_MW Breakdown'!$A$3:$U$3,0),0)</f>
        <v>1183407.6880000001</v>
      </c>
      <c r="G34" s="205">
        <f t="shared" si="4"/>
        <v>12615859.433358394</v>
      </c>
      <c r="H34" s="185">
        <f t="shared" si="5"/>
        <v>95273056.535776824</v>
      </c>
      <c r="I34" s="185">
        <f t="shared" si="6"/>
        <v>-3084930.4867010238</v>
      </c>
      <c r="J34" s="204">
        <f t="shared" si="7"/>
        <v>1183407.6880000001</v>
      </c>
      <c r="K34" s="185">
        <f t="shared" si="8"/>
        <v>110516728.66350254</v>
      </c>
      <c r="L34" s="185">
        <f t="shared" si="9"/>
        <v>234353812.01014319</v>
      </c>
      <c r="M34" s="205">
        <f>VLOOKUP(BTM_Storage_Backup!$A$4,BTM_Storage_Backup!$A$4:$W$5,MATCH($A34,BTM_Storage_Backup!$A$3:$W$3,0),0)</f>
        <v>63415713.751386225</v>
      </c>
      <c r="N34" s="204">
        <f>VLOOKUP(BTM_Storage_Backup!$A$5,BTM_Storage_Backup!$A$4:$W$5,MATCH($A34,BTM_Storage_Backup!$A$3:$W$3,0),0)</f>
        <v>134474793.44264564</v>
      </c>
      <c r="O34" s="185">
        <f t="shared" si="10"/>
        <v>197890507.19403186</v>
      </c>
      <c r="P34" s="185">
        <f t="shared" si="11"/>
        <v>107888915.96913522</v>
      </c>
      <c r="Q34" s="204">
        <f t="shared" si="12"/>
        <v>-90001591.22489664</v>
      </c>
      <c r="R34" s="7">
        <f t="shared" si="3"/>
        <v>2.5000000000000001E-2</v>
      </c>
      <c r="S34" s="203">
        <f t="shared" si="2"/>
        <v>1.7427341289064451</v>
      </c>
    </row>
    <row r="35" spans="1:19" x14ac:dyDescent="0.25">
      <c r="A35" s="180">
        <v>2045</v>
      </c>
      <c r="B35" s="180">
        <f t="shared" si="13"/>
        <v>16</v>
      </c>
      <c r="C35" s="185">
        <f>C63*VLOOKUP('Com_Res_MW Breakdown'!$A$16,'Com_Res_MW Breakdown'!$A$3:$U$16,MATCH($A35,'Com_Res_MW Breakdown'!$A$3:$U$3,0),0)</f>
        <v>24494452.666666664</v>
      </c>
      <c r="D35" s="185">
        <f>D63*VLOOKUP('Com_Res_MW Breakdown'!$A$16,'Com_Res_MW Breakdown'!$A$3:$U$16,MATCH($A35,'Com_Res_MW Breakdown'!$A$3:$U$3,0),0)</f>
        <v>209534975.08759308</v>
      </c>
      <c r="E35" s="185">
        <f>E63*VLOOKUP('Com_Res_MW Breakdown'!$A$16,'Com_Res_MW Breakdown'!$A$3:$U$16,MATCH($A35,'Com_Res_MW Breakdown'!$A$3:$U$3,0),0)</f>
        <v>10109110.479022471</v>
      </c>
      <c r="F35" s="204">
        <f>F63*VLOOKUP('Com_Res_MW Breakdown'!$A$16,'Com_Res_MW Breakdown'!$A$3:$U$16,MATCH($A35,'Com_Res_MW Breakdown'!$A$3:$U$3,0),0)</f>
        <v>1166665.1306666667</v>
      </c>
      <c r="G35" s="205">
        <f t="shared" si="4"/>
        <v>13712376.773653451</v>
      </c>
      <c r="H35" s="185">
        <f t="shared" si="5"/>
        <v>117300948.29059798</v>
      </c>
      <c r="I35" s="185">
        <f t="shared" si="6"/>
        <v>5659237.7719664555</v>
      </c>
      <c r="J35" s="204">
        <f t="shared" si="7"/>
        <v>1166665.1306666667</v>
      </c>
      <c r="K35" s="185">
        <f t="shared" si="8"/>
        <v>113279646.8800901</v>
      </c>
      <c r="L35" s="185">
        <f t="shared" si="9"/>
        <v>240212657.31039673</v>
      </c>
      <c r="M35" s="205">
        <f>VLOOKUP(BTM_Storage_Backup!$A$4,BTM_Storage_Backup!$A$4:$W$5,MATCH($A35,BTM_Storage_Backup!$A$3:$W$3,0),0)</f>
        <v>63415713.751386225</v>
      </c>
      <c r="N35" s="204">
        <f>VLOOKUP(BTM_Storage_Backup!$A$5,BTM_Storage_Backup!$A$4:$W$5,MATCH($A35,BTM_Storage_Backup!$A$3:$W$3,0),0)</f>
        <v>134474793.44264564</v>
      </c>
      <c r="O35" s="185">
        <f t="shared" si="10"/>
        <v>197890507.19403186</v>
      </c>
      <c r="P35" s="185">
        <f t="shared" si="11"/>
        <v>131013325.06425142</v>
      </c>
      <c r="Q35" s="204">
        <f t="shared" si="12"/>
        <v>-66877182.129780442</v>
      </c>
      <c r="R35" s="7">
        <f t="shared" si="3"/>
        <v>2.5000000000000001E-2</v>
      </c>
      <c r="S35" s="203">
        <f t="shared" si="2"/>
        <v>1.786302482129106</v>
      </c>
    </row>
    <row r="36" spans="1:19" x14ac:dyDescent="0.25">
      <c r="A36" s="180">
        <v>2046</v>
      </c>
      <c r="B36" s="180">
        <f t="shared" si="13"/>
        <v>17</v>
      </c>
      <c r="C36" s="185">
        <f>C64*VLOOKUP('Com_Res_MW Breakdown'!$A$16,'Com_Res_MW Breakdown'!$A$3:$U$16,MATCH($A36,'Com_Res_MW Breakdown'!$A$3:$U$3,0),0)</f>
        <v>23720194.133333325</v>
      </c>
      <c r="D36" s="185">
        <f>D64*VLOOKUP('Com_Res_MW Breakdown'!$A$16,'Com_Res_MW Breakdown'!$A$3:$U$16,MATCH($A36,'Com_Res_MW Breakdown'!$A$3:$U$3,0),0)</f>
        <v>218500787.91084248</v>
      </c>
      <c r="E36" s="185">
        <f>E64*VLOOKUP('Com_Res_MW Breakdown'!$A$16,'Com_Res_MW Breakdown'!$A$3:$U$16,MATCH($A36,'Com_Res_MW Breakdown'!$A$3:$U$3,0),0)</f>
        <v>17869775.319033306</v>
      </c>
      <c r="F36" s="204">
        <f>F64*VLOOKUP('Com_Res_MW Breakdown'!$A$16,'Com_Res_MW Breakdown'!$A$3:$U$16,MATCH($A36,'Com_Res_MW Breakdown'!$A$3:$U$3,0),0)</f>
        <v>1147438.78</v>
      </c>
      <c r="G36" s="205">
        <f t="shared" si="4"/>
        <v>12955058.308728</v>
      </c>
      <c r="H36" s="185">
        <f t="shared" si="5"/>
        <v>119336731.89925896</v>
      </c>
      <c r="I36" s="185">
        <f t="shared" si="6"/>
        <v>9759784.4233753085</v>
      </c>
      <c r="J36" s="204">
        <f t="shared" si="7"/>
        <v>1147438.78</v>
      </c>
      <c r="K36" s="185">
        <f t="shared" si="8"/>
        <v>116111638.05209234</v>
      </c>
      <c r="L36" s="185">
        <f t="shared" si="9"/>
        <v>246217973.74315664</v>
      </c>
      <c r="M36" s="205">
        <f>VLOOKUP(BTM_Storage_Backup!$A$4,BTM_Storage_Backup!$A$4:$W$5,MATCH($A36,BTM_Storage_Backup!$A$3:$W$3,0),0)</f>
        <v>63415713.751386225</v>
      </c>
      <c r="N36" s="204">
        <f>VLOOKUP(BTM_Storage_Backup!$A$5,BTM_Storage_Backup!$A$4:$W$5,MATCH($A36,BTM_Storage_Backup!$A$3:$W$3,0),0)</f>
        <v>134474793.44264564</v>
      </c>
      <c r="O36" s="185">
        <f t="shared" si="10"/>
        <v>197890507.19403186</v>
      </c>
      <c r="P36" s="185">
        <f t="shared" si="11"/>
        <v>132291790.20798695</v>
      </c>
      <c r="Q36" s="204">
        <f t="shared" si="12"/>
        <v>-65598716.986044914</v>
      </c>
      <c r="R36" s="7">
        <f t="shared" si="3"/>
        <v>2.5000000000000001E-2</v>
      </c>
      <c r="S36" s="203">
        <f t="shared" si="2"/>
        <v>1.8309600441823335</v>
      </c>
    </row>
    <row r="37" spans="1:19" x14ac:dyDescent="0.25">
      <c r="A37" s="180">
        <v>2047</v>
      </c>
      <c r="B37" s="180">
        <f t="shared" si="13"/>
        <v>18</v>
      </c>
      <c r="C37" s="185">
        <f>C65*VLOOKUP('Com_Res_MW Breakdown'!$A$16,'Com_Res_MW Breakdown'!$A$3:$U$16,MATCH($A37,'Com_Res_MW Breakdown'!$A$3:$U$3,0),0)</f>
        <v>24406542.800000001</v>
      </c>
      <c r="D37" s="185">
        <f>D65*VLOOKUP('Com_Res_MW Breakdown'!$A$16,'Com_Res_MW Breakdown'!$A$3:$U$16,MATCH($A37,'Com_Res_MW Breakdown'!$A$3:$U$3,0),0)</f>
        <v>226377361.40165517</v>
      </c>
      <c r="E37" s="185">
        <f>E65*VLOOKUP('Com_Res_MW Breakdown'!$A$16,'Com_Res_MW Breakdown'!$A$3:$U$16,MATCH($A37,'Com_Res_MW Breakdown'!$A$3:$U$3,0),0)</f>
        <v>12389225.298696391</v>
      </c>
      <c r="F37" s="204">
        <f>F65*VLOOKUP('Com_Res_MW Breakdown'!$A$16,'Com_Res_MW Breakdown'!$A$3:$U$16,MATCH($A37,'Com_Res_MW Breakdown'!$A$3:$U$3,0),0)</f>
        <v>1152947.22</v>
      </c>
      <c r="G37" s="205">
        <f t="shared" si="4"/>
        <v>13004795.677519152</v>
      </c>
      <c r="H37" s="185">
        <f t="shared" si="5"/>
        <v>120623037.6489224</v>
      </c>
      <c r="I37" s="185">
        <f t="shared" si="6"/>
        <v>6601481.6163269849</v>
      </c>
      <c r="J37" s="204">
        <f t="shared" si="7"/>
        <v>1152947.22</v>
      </c>
      <c r="K37" s="185">
        <f t="shared" si="8"/>
        <v>119014429.00339463</v>
      </c>
      <c r="L37" s="185">
        <f t="shared" si="9"/>
        <v>252373423.08673552</v>
      </c>
      <c r="M37" s="205">
        <f>VLOOKUP(BTM_Storage_Backup!$A$4,BTM_Storage_Backup!$A$4:$W$5,MATCH($A37,BTM_Storage_Backup!$A$3:$W$3,0),0)</f>
        <v>63415713.751386225</v>
      </c>
      <c r="N37" s="204">
        <f>VLOOKUP(BTM_Storage_Backup!$A$5,BTM_Storage_Backup!$A$4:$W$5,MATCH($A37,BTM_Storage_Backup!$A$3:$W$3,0),0)</f>
        <v>134474793.44264564</v>
      </c>
      <c r="O37" s="185">
        <f t="shared" si="10"/>
        <v>197890507.19403186</v>
      </c>
      <c r="P37" s="185">
        <f t="shared" si="11"/>
        <v>133627833.32644156</v>
      </c>
      <c r="Q37" s="204">
        <f t="shared" si="12"/>
        <v>-64262673.867590308</v>
      </c>
      <c r="R37" s="7">
        <f t="shared" si="3"/>
        <v>2.5000000000000001E-2</v>
      </c>
      <c r="S37" s="203">
        <f t="shared" si="2"/>
        <v>1.8767340452868917</v>
      </c>
    </row>
    <row r="38" spans="1:19" x14ac:dyDescent="0.25">
      <c r="A38" s="180">
        <v>2048</v>
      </c>
      <c r="B38" s="180">
        <f t="shared" si="13"/>
        <v>19</v>
      </c>
      <c r="C38" s="185">
        <f>C66*VLOOKUP('Com_Res_MW Breakdown'!$A$16,'Com_Res_MW Breakdown'!$A$3:$U$16,MATCH($A38,'Com_Res_MW Breakdown'!$A$3:$U$3,0),0)</f>
        <v>24992755.466666669</v>
      </c>
      <c r="D38" s="185">
        <f>D66*VLOOKUP('Com_Res_MW Breakdown'!$A$16,'Com_Res_MW Breakdown'!$A$3:$U$16,MATCH($A38,'Com_Res_MW Breakdown'!$A$3:$U$3,0),0)</f>
        <v>234320499.36602393</v>
      </c>
      <c r="E38" s="185">
        <f>E66*VLOOKUP('Com_Res_MW Breakdown'!$A$16,'Com_Res_MW Breakdown'!$A$3:$U$16,MATCH($A38,'Com_Res_MW Breakdown'!$A$3:$U$3,0),0)</f>
        <v>-852905.14110272727</v>
      </c>
      <c r="F38" s="204">
        <f>F66*VLOOKUP('Com_Res_MW Breakdown'!$A$16,'Com_Res_MW Breakdown'!$A$3:$U$16,MATCH($A38,'Com_Res_MW Breakdown'!$A$3:$U$3,0),0)</f>
        <v>1129109.7760000001</v>
      </c>
      <c r="G38" s="205">
        <f t="shared" si="4"/>
        <v>12992344.933622846</v>
      </c>
      <c r="H38" s="185">
        <f t="shared" si="5"/>
        <v>121810208.4358996</v>
      </c>
      <c r="I38" s="185">
        <f t="shared" si="6"/>
        <v>-443377.99422101188</v>
      </c>
      <c r="J38" s="204">
        <f t="shared" si="7"/>
        <v>1129109.7760000001</v>
      </c>
      <c r="K38" s="185">
        <f t="shared" si="8"/>
        <v>121989789.72847949</v>
      </c>
      <c r="L38" s="185">
        <f t="shared" si="9"/>
        <v>258682758.66390389</v>
      </c>
      <c r="M38" s="205">
        <f>VLOOKUP(BTM_Storage_Backup!$A$4,BTM_Storage_Backup!$A$4:$W$5,MATCH($A38,BTM_Storage_Backup!$A$3:$W$3,0),0)</f>
        <v>63415713.751386225</v>
      </c>
      <c r="N38" s="204">
        <f>VLOOKUP(BTM_Storage_Backup!$A$5,BTM_Storage_Backup!$A$4:$W$5,MATCH($A38,BTM_Storage_Backup!$A$3:$W$3,0),0)</f>
        <v>134474793.44264564</v>
      </c>
      <c r="O38" s="185">
        <f t="shared" si="10"/>
        <v>197890507.19403186</v>
      </c>
      <c r="P38" s="185">
        <f t="shared" si="11"/>
        <v>134802553.36952245</v>
      </c>
      <c r="Q38" s="204">
        <f t="shared" si="12"/>
        <v>-63087953.824509412</v>
      </c>
      <c r="R38" s="7">
        <f t="shared" si="3"/>
        <v>2.5000000000000001E-2</v>
      </c>
      <c r="S38" s="203">
        <f t="shared" si="2"/>
        <v>1.9236523964190637</v>
      </c>
    </row>
    <row r="39" spans="1:19" x14ac:dyDescent="0.25">
      <c r="A39" s="180">
        <v>2049</v>
      </c>
      <c r="B39" s="180">
        <f t="shared" si="13"/>
        <v>20</v>
      </c>
      <c r="C39" s="185">
        <f>C67*VLOOKUP('Com_Res_MW Breakdown'!$A$16,'Com_Res_MW Breakdown'!$A$3:$U$16,MATCH($A39,'Com_Res_MW Breakdown'!$A$3:$U$3,0),0)</f>
        <v>26651732.400000002</v>
      </c>
      <c r="D39" s="185">
        <f>D67*VLOOKUP('Com_Res_MW Breakdown'!$A$16,'Com_Res_MW Breakdown'!$A$3:$U$16,MATCH($A39,'Com_Res_MW Breakdown'!$A$3:$U$3,0),0)</f>
        <v>242559798.64334711</v>
      </c>
      <c r="E39" s="185">
        <f>E67*VLOOKUP('Com_Res_MW Breakdown'!$A$16,'Com_Res_MW Breakdown'!$A$3:$U$16,MATCH($A39,'Com_Res_MW Breakdown'!$A$3:$U$3,0),0)</f>
        <v>25592263.022943623</v>
      </c>
      <c r="F39" s="204">
        <f>F67*VLOOKUP('Com_Res_MW Breakdown'!$A$16,'Com_Res_MW Breakdown'!$A$3:$U$16,MATCH($A39,'Com_Res_MW Breakdown'!$A$3:$U$3,0),0)</f>
        <v>1126102.1706666665</v>
      </c>
      <c r="G39" s="205">
        <f t="shared" si="4"/>
        <v>13516834.015721545</v>
      </c>
      <c r="H39" s="185">
        <f t="shared" si="5"/>
        <v>123017914.48082237</v>
      </c>
      <c r="I39" s="185">
        <f t="shared" si="6"/>
        <v>12979507.905002717</v>
      </c>
      <c r="J39" s="204">
        <f t="shared" si="7"/>
        <v>1126102.1706666665</v>
      </c>
      <c r="K39" s="185">
        <f t="shared" si="8"/>
        <v>125039534.47169146</v>
      </c>
      <c r="L39" s="185">
        <f t="shared" si="9"/>
        <v>265149827.63050145</v>
      </c>
      <c r="M39" s="205">
        <f>VLOOKUP(BTM_Storage_Backup!$A$4,BTM_Storage_Backup!$A$4:$W$5,MATCH($A39,BTM_Storage_Backup!$A$3:$W$3,0),0)</f>
        <v>63415713.751386225</v>
      </c>
      <c r="N39" s="204">
        <f>VLOOKUP(BTM_Storage_Backup!$A$5,BTM_Storage_Backup!$A$4:$W$5,MATCH($A39,BTM_Storage_Backup!$A$3:$W$3,0),0)</f>
        <v>134474793.44264564</v>
      </c>
      <c r="O39" s="185">
        <f t="shared" si="10"/>
        <v>197890507.19403186</v>
      </c>
      <c r="P39" s="185">
        <f t="shared" si="11"/>
        <v>136534748.49654391</v>
      </c>
      <c r="Q39" s="204">
        <f t="shared" si="12"/>
        <v>-61355758.69748795</v>
      </c>
      <c r="R39" s="7">
        <f t="shared" si="3"/>
        <v>2.5000000000000001E-2</v>
      </c>
      <c r="S39" s="203">
        <f t="shared" si="2"/>
        <v>1.9717437063295402</v>
      </c>
    </row>
    <row r="40" spans="1:19" ht="4.5" customHeight="1" x14ac:dyDescent="0.25">
      <c r="A40" s="211"/>
      <c r="B40" s="211"/>
      <c r="C40" s="209"/>
      <c r="D40" s="209"/>
      <c r="E40" s="209"/>
      <c r="F40" s="208"/>
      <c r="G40" s="210"/>
      <c r="H40" s="209"/>
      <c r="I40" s="209"/>
      <c r="J40" s="208"/>
      <c r="K40" s="209"/>
      <c r="L40" s="209"/>
      <c r="M40" s="210"/>
      <c r="N40" s="208"/>
      <c r="O40" s="209"/>
      <c r="P40" s="209"/>
      <c r="Q40" s="208"/>
      <c r="R40" s="207"/>
      <c r="S40" s="206"/>
    </row>
    <row r="41" spans="1:19" ht="4.5" customHeight="1" x14ac:dyDescent="0.25">
      <c r="A41" s="180"/>
      <c r="B41" s="180"/>
      <c r="C41" s="185"/>
      <c r="D41" s="185"/>
      <c r="E41" s="185"/>
      <c r="F41" s="204"/>
      <c r="G41" s="205"/>
      <c r="H41" s="185"/>
      <c r="I41" s="185"/>
      <c r="J41" s="204"/>
      <c r="K41" s="185"/>
      <c r="L41" s="185"/>
      <c r="M41" s="205"/>
      <c r="N41" s="204"/>
      <c r="O41" s="185"/>
      <c r="P41" s="185"/>
      <c r="Q41" s="204"/>
      <c r="S41" s="203"/>
    </row>
    <row r="42" spans="1:19" x14ac:dyDescent="0.25">
      <c r="F42" s="201"/>
      <c r="G42" s="202"/>
      <c r="J42" s="201"/>
      <c r="M42" s="202"/>
      <c r="N42" s="201"/>
      <c r="Q42" s="201"/>
    </row>
    <row r="43" spans="1:19" s="189" customFormat="1" ht="30" x14ac:dyDescent="0.25">
      <c r="A43" s="198" t="s">
        <v>30</v>
      </c>
      <c r="C43" s="199">
        <f t="shared" ref="C43:Q43" si="14">SUM(C20:C39)</f>
        <v>469619446.53666675</v>
      </c>
      <c r="D43" s="199">
        <f t="shared" si="14"/>
        <v>3086112753.0229073</v>
      </c>
      <c r="E43" s="199">
        <f t="shared" si="14"/>
        <v>124945780.49344319</v>
      </c>
      <c r="F43" s="191">
        <f t="shared" si="14"/>
        <v>24745617.159766663</v>
      </c>
      <c r="G43" s="200">
        <f t="shared" si="14"/>
        <v>302828209.72950274</v>
      </c>
      <c r="H43" s="199">
        <f t="shared" si="14"/>
        <v>1889423188.510473</v>
      </c>
      <c r="I43" s="199">
        <f t="shared" si="14"/>
        <v>81149624.968903333</v>
      </c>
      <c r="J43" s="191">
        <f t="shared" si="14"/>
        <v>24745617.159766663</v>
      </c>
      <c r="K43" s="199">
        <f t="shared" si="14"/>
        <v>1997993134.8759511</v>
      </c>
      <c r="L43" s="199">
        <f t="shared" si="14"/>
        <v>4236800285.2667489</v>
      </c>
      <c r="M43" s="200">
        <f t="shared" si="14"/>
        <v>1268314275.0277238</v>
      </c>
      <c r="N43" s="191">
        <f t="shared" si="14"/>
        <v>2689495868.8529119</v>
      </c>
      <c r="O43" s="199">
        <f t="shared" si="14"/>
        <v>3957810143.8806362</v>
      </c>
      <c r="P43" s="199">
        <f t="shared" si="14"/>
        <v>2192251398.2399755</v>
      </c>
      <c r="Q43" s="191">
        <f t="shared" si="14"/>
        <v>-1765558745.6406612</v>
      </c>
      <c r="R43" s="190"/>
      <c r="S43" s="190"/>
    </row>
    <row r="44" spans="1:19" s="189" customFormat="1" ht="30" x14ac:dyDescent="0.25">
      <c r="A44" s="198" t="s">
        <v>31</v>
      </c>
      <c r="C44" s="192">
        <f t="shared" ref="C44:I44" si="15">C43/$F$43</f>
        <v>18.97788378057551</v>
      </c>
      <c r="D44" s="192">
        <f t="shared" si="15"/>
        <v>124.71350918822699</v>
      </c>
      <c r="E44" s="192">
        <f t="shared" si="15"/>
        <v>5.0492084997010984</v>
      </c>
      <c r="F44" s="195"/>
      <c r="G44" s="197">
        <f t="shared" si="15"/>
        <v>12.237650319017472</v>
      </c>
      <c r="H44" s="192">
        <f t="shared" si="15"/>
        <v>76.353851929077905</v>
      </c>
      <c r="I44" s="192">
        <f t="shared" si="15"/>
        <v>3.2793534485307831</v>
      </c>
      <c r="J44" s="195"/>
      <c r="K44" s="196" t="s">
        <v>65</v>
      </c>
      <c r="L44" s="195">
        <f>SUM(K43:L43)/F43</f>
        <v>251.95546265379508</v>
      </c>
      <c r="M44" s="194" t="s">
        <v>83</v>
      </c>
      <c r="N44" s="193">
        <f>SUM(M43:N43)/F43</f>
        <v>159.93984382477029</v>
      </c>
      <c r="O44" s="192">
        <f>O43/$F$43</f>
        <v>159.93984382477029</v>
      </c>
      <c r="P44" s="192">
        <f>P43/$F$43</f>
        <v>88.591502248095367</v>
      </c>
      <c r="Q44" s="191"/>
      <c r="R44" s="190"/>
      <c r="S44" s="190"/>
    </row>
    <row r="45" spans="1:19" ht="9.75" customHeight="1" thickBot="1" x14ac:dyDescent="0.3">
      <c r="A45" s="169"/>
      <c r="B45" s="169"/>
      <c r="C45" s="169"/>
      <c r="D45" s="169"/>
      <c r="E45" s="169"/>
      <c r="F45" s="187"/>
      <c r="G45" s="188"/>
      <c r="H45" s="169"/>
      <c r="I45" s="169"/>
      <c r="J45" s="187"/>
      <c r="K45" s="169"/>
      <c r="L45" s="169"/>
      <c r="M45" s="188"/>
      <c r="N45" s="187"/>
      <c r="O45" s="169"/>
      <c r="P45" s="169"/>
      <c r="Q45" s="187"/>
      <c r="R45" s="186"/>
      <c r="S45" s="186"/>
    </row>
    <row r="46" spans="1:19" ht="15.75" thickTop="1" x14ac:dyDescent="0.25"/>
    <row r="47" spans="1:19" x14ac:dyDescent="0.25">
      <c r="C47" s="184" t="s">
        <v>609</v>
      </c>
    </row>
    <row r="48" spans="1:19" x14ac:dyDescent="0.25">
      <c r="B48" s="180">
        <v>2030</v>
      </c>
      <c r="C48" s="185">
        <f>Storage_Annual!C20</f>
        <v>42137503.000000007</v>
      </c>
      <c r="D48" s="185">
        <f>Storage_Annual!D20</f>
        <v>52095227.980000004</v>
      </c>
      <c r="E48" s="185">
        <f>Storage_Annual!E20</f>
        <v>24546634.962204933</v>
      </c>
      <c r="F48" s="185">
        <f>Storage_Annual!F20</f>
        <v>2193330.79</v>
      </c>
    </row>
    <row r="49" spans="2:6" x14ac:dyDescent="0.25">
      <c r="B49" s="180">
        <v>2031</v>
      </c>
      <c r="C49" s="185">
        <f>Storage_Annual!C21</f>
        <v>73497642.999999985</v>
      </c>
      <c r="D49" s="185">
        <f>Storage_Annual!D21</f>
        <v>160990221.91513842</v>
      </c>
      <c r="E49" s="185">
        <f>Storage_Annual!E21</f>
        <v>10548723.199223518</v>
      </c>
      <c r="F49" s="185">
        <f>Storage_Annual!F21</f>
        <v>4189431.16</v>
      </c>
    </row>
    <row r="50" spans="2:6" x14ac:dyDescent="0.25">
      <c r="B50" s="180">
        <v>2032</v>
      </c>
      <c r="C50" s="185">
        <f>Storage_Annual!C22</f>
        <v>90544483</v>
      </c>
      <c r="D50" s="185">
        <f>Storage_Annual!D22</f>
        <v>267024494.71679771</v>
      </c>
      <c r="E50" s="185">
        <f>Storage_Annual!E22</f>
        <v>67597404.415584564</v>
      </c>
      <c r="F50" s="185">
        <f>Storage_Annual!F22</f>
        <v>5506401.9500000002</v>
      </c>
    </row>
    <row r="51" spans="2:6" x14ac:dyDescent="0.25">
      <c r="B51" s="180">
        <v>2033</v>
      </c>
      <c r="C51" s="185">
        <f>Storage_Annual!C23</f>
        <v>112298171.00000006</v>
      </c>
      <c r="D51" s="185">
        <f>Storage_Annual!D23</f>
        <v>442709797.56815159</v>
      </c>
      <c r="E51" s="185">
        <f>Storage_Annual!E23</f>
        <v>31554659.421841621</v>
      </c>
      <c r="F51" s="185">
        <f>Storage_Annual!F23</f>
        <v>6565953.7199999997</v>
      </c>
    </row>
    <row r="52" spans="2:6" x14ac:dyDescent="0.25">
      <c r="B52" s="180">
        <v>2034</v>
      </c>
      <c r="C52" s="185">
        <f>Storage_Annual!C24</f>
        <v>125368416.99999996</v>
      </c>
      <c r="D52" s="185">
        <f>Storage_Annual!D24</f>
        <v>566658373.07147098</v>
      </c>
      <c r="E52" s="185">
        <f>Storage_Annual!E24</f>
        <v>45240476.905651093</v>
      </c>
      <c r="F52" s="185">
        <f>Storage_Annual!F24</f>
        <v>7921317.6099999994</v>
      </c>
    </row>
    <row r="53" spans="2:6" x14ac:dyDescent="0.25">
      <c r="B53" s="180">
        <v>2035</v>
      </c>
      <c r="C53" s="185">
        <f>Storage_Annual!C25</f>
        <v>133896460.99999996</v>
      </c>
      <c r="D53" s="185">
        <f>Storage_Annual!D25</f>
        <v>803540216.89022255</v>
      </c>
      <c r="E53" s="185">
        <f>Storage_Annual!E25</f>
        <v>43707996.896813393</v>
      </c>
      <c r="F53" s="185">
        <f>Storage_Annual!F25</f>
        <v>9118024.3300000001</v>
      </c>
    </row>
    <row r="54" spans="2:6" x14ac:dyDescent="0.25">
      <c r="B54" s="180">
        <v>2036</v>
      </c>
      <c r="C54" s="185">
        <f>Storage_Annual!C26</f>
        <v>144992908.99999994</v>
      </c>
      <c r="D54" s="185">
        <f>Storage_Annual!D26</f>
        <v>946919741.22694242</v>
      </c>
      <c r="E54" s="185">
        <f>Storage_Annual!E26</f>
        <v>42584228.21631813</v>
      </c>
      <c r="F54" s="185">
        <f>Storage_Annual!F26</f>
        <v>9261580.4900000002</v>
      </c>
    </row>
    <row r="55" spans="2:6" x14ac:dyDescent="0.25">
      <c r="B55" s="180">
        <v>2037</v>
      </c>
      <c r="C55" s="185">
        <f>Storage_Annual!C27</f>
        <v>157677900.00000003</v>
      </c>
      <c r="D55" s="185">
        <f>Storage_Annual!D27</f>
        <v>1250236233.6520042</v>
      </c>
      <c r="E55" s="185">
        <f>Storage_Annual!E27</f>
        <v>7892935.1410245895</v>
      </c>
      <c r="F55" s="185">
        <f>Storage_Annual!F27</f>
        <v>9285420.3499999996</v>
      </c>
    </row>
    <row r="56" spans="2:6" x14ac:dyDescent="0.25">
      <c r="B56" s="180">
        <v>2038</v>
      </c>
      <c r="C56" s="185">
        <f>Storage_Annual!C28</f>
        <v>168186852.00000006</v>
      </c>
      <c r="D56" s="185">
        <f>Storage_Annual!D28</f>
        <v>1291616101.2245097</v>
      </c>
      <c r="E56" s="185">
        <f>Storage_Annual!E28</f>
        <v>6667894.7704896927</v>
      </c>
      <c r="F56" s="185">
        <f>Storage_Annual!F28</f>
        <v>9223821.5</v>
      </c>
    </row>
    <row r="57" spans="2:6" x14ac:dyDescent="0.25">
      <c r="B57" s="180">
        <v>2039</v>
      </c>
      <c r="C57" s="185">
        <f>Storage_Annual!C29</f>
        <v>168171206.00000006</v>
      </c>
      <c r="D57" s="185">
        <f>Storage_Annual!D29</f>
        <v>1176674772.3891404</v>
      </c>
      <c r="E57" s="185">
        <f>Storage_Annual!E29</f>
        <v>16331731.446725845</v>
      </c>
      <c r="F57" s="185">
        <f>Storage_Annual!F29</f>
        <v>9146809.8200000003</v>
      </c>
    </row>
    <row r="58" spans="2:6" x14ac:dyDescent="0.25">
      <c r="B58" s="180">
        <v>2040</v>
      </c>
      <c r="C58" s="185">
        <f>Storage_Annual!C30</f>
        <v>180935126</v>
      </c>
      <c r="D58" s="185">
        <f>Storage_Annual!D30</f>
        <v>1087334550.0531993</v>
      </c>
      <c r="E58" s="185">
        <f>Storage_Annual!E30</f>
        <v>3623598.6239128113</v>
      </c>
      <c r="F58" s="185">
        <f>Storage_Annual!F30</f>
        <v>9213638.8200000003</v>
      </c>
    </row>
    <row r="59" spans="2:6" x14ac:dyDescent="0.25">
      <c r="B59" s="180">
        <v>2041</v>
      </c>
      <c r="C59" s="185">
        <f>Storage_Annual!C31</f>
        <v>202595181.99999997</v>
      </c>
      <c r="D59" s="185">
        <f>Storage_Annual!D31</f>
        <v>1390162510.6911807</v>
      </c>
      <c r="E59" s="185">
        <f>Storage_Annual!E31</f>
        <v>26433485.780210495</v>
      </c>
      <c r="F59" s="185">
        <f>Storage_Annual!F31</f>
        <v>9101845.4499999993</v>
      </c>
    </row>
    <row r="60" spans="2:6" x14ac:dyDescent="0.25">
      <c r="B60" s="180">
        <v>2042</v>
      </c>
      <c r="C60" s="185">
        <f>Storage_Annual!C32</f>
        <v>211600298.00000006</v>
      </c>
      <c r="D60" s="185">
        <f>Storage_Annual!D32</f>
        <v>1455436471.3663623</v>
      </c>
      <c r="E60" s="185">
        <f>Storage_Annual!E32</f>
        <v>-21371641.144152641</v>
      </c>
      <c r="F60" s="185">
        <f>Storage_Annual!F32</f>
        <v>9334170.4299999997</v>
      </c>
    </row>
    <row r="61" spans="2:6" x14ac:dyDescent="0.25">
      <c r="B61" s="180">
        <v>2043</v>
      </c>
      <c r="C61" s="185">
        <f>Storage_Annual!C33</f>
        <v>174109782.99999994</v>
      </c>
      <c r="D61" s="185">
        <f>Storage_Annual!D33</f>
        <v>1506279961.8614585</v>
      </c>
      <c r="E61" s="185">
        <f>Storage_Annual!E33</f>
        <v>-14231968.544230461</v>
      </c>
      <c r="F61" s="185">
        <f>Storage_Annual!F33</f>
        <v>8995039.5500000007</v>
      </c>
    </row>
    <row r="62" spans="2:6" x14ac:dyDescent="0.25">
      <c r="B62" s="180">
        <v>2044</v>
      </c>
      <c r="C62" s="185">
        <f>Storage_Annual!C34</f>
        <v>164895665.99999997</v>
      </c>
      <c r="D62" s="185">
        <f>Storage_Annual!D34</f>
        <v>1245267053.9259863</v>
      </c>
      <c r="E62" s="185">
        <f>Storage_Annual!E34</f>
        <v>-40321602.333583832</v>
      </c>
      <c r="F62" s="185">
        <f>Storage_Annual!F34</f>
        <v>8875557.6600000001</v>
      </c>
    </row>
    <row r="63" spans="2:6" x14ac:dyDescent="0.25">
      <c r="B63" s="180">
        <v>2045</v>
      </c>
      <c r="C63" s="185">
        <f>Storage_Annual!C35</f>
        <v>183708394.99999997</v>
      </c>
      <c r="D63" s="185">
        <f>Storage_Annual!D35</f>
        <v>1571512313.1569481</v>
      </c>
      <c r="E63" s="185">
        <f>Storage_Annual!E35</f>
        <v>75818328.592668533</v>
      </c>
      <c r="F63" s="185">
        <f>Storage_Annual!F35</f>
        <v>8749988.4800000004</v>
      </c>
    </row>
    <row r="64" spans="2:6" x14ac:dyDescent="0.25">
      <c r="B64" s="180">
        <v>2046</v>
      </c>
      <c r="C64" s="185">
        <f>Storage_Annual!C36</f>
        <v>177901455.99999994</v>
      </c>
      <c r="D64" s="185">
        <f>Storage_Annual!D36</f>
        <v>1638755909.3313186</v>
      </c>
      <c r="E64" s="185">
        <f>Storage_Annual!E36</f>
        <v>134023314.89274979</v>
      </c>
      <c r="F64" s="185">
        <f>Storage_Annual!F36</f>
        <v>8605790.8499999996</v>
      </c>
    </row>
    <row r="65" spans="2:6" x14ac:dyDescent="0.25">
      <c r="B65" s="180">
        <v>2047</v>
      </c>
      <c r="C65" s="185">
        <f>Storage_Annual!C37</f>
        <v>183049071</v>
      </c>
      <c r="D65" s="185">
        <f>Storage_Annual!D37</f>
        <v>1697830210.5124137</v>
      </c>
      <c r="E65" s="185">
        <f>Storage_Annual!E37</f>
        <v>92919189.740222931</v>
      </c>
      <c r="F65" s="185">
        <f>Storage_Annual!F37</f>
        <v>8647104.1500000004</v>
      </c>
    </row>
    <row r="66" spans="2:6" x14ac:dyDescent="0.25">
      <c r="B66" s="180">
        <v>2048</v>
      </c>
      <c r="C66" s="185">
        <f>Storage_Annual!C38</f>
        <v>187445666.00000003</v>
      </c>
      <c r="D66" s="185">
        <f>Storage_Annual!D38</f>
        <v>1757403745.2451794</v>
      </c>
      <c r="E66" s="185">
        <f>Storage_Annual!E38</f>
        <v>-6396788.5582704544</v>
      </c>
      <c r="F66" s="185">
        <f>Storage_Annual!F38</f>
        <v>8468323.3200000003</v>
      </c>
    </row>
    <row r="67" spans="2:6" x14ac:dyDescent="0.25">
      <c r="B67" s="180">
        <v>2049</v>
      </c>
      <c r="C67" s="185">
        <f>Storage_Annual!C39</f>
        <v>199887993.00000003</v>
      </c>
      <c r="D67" s="185">
        <f>Storage_Annual!D39</f>
        <v>1819198489.8251033</v>
      </c>
      <c r="E67" s="185">
        <f>Storage_Annual!E39</f>
        <v>191941972.67207718</v>
      </c>
      <c r="F67" s="185">
        <f>Storage_Annual!F39</f>
        <v>8445766.2799999993</v>
      </c>
    </row>
    <row r="90" spans="4:6" x14ac:dyDescent="0.25">
      <c r="D90" s="185"/>
      <c r="E90" s="185"/>
      <c r="F90" s="185"/>
    </row>
    <row r="91" spans="4:6" x14ac:dyDescent="0.25">
      <c r="D91" s="185"/>
      <c r="E91" s="185"/>
      <c r="F91" s="185"/>
    </row>
    <row r="92" spans="4:6" x14ac:dyDescent="0.25">
      <c r="D92" s="185"/>
      <c r="E92" s="185"/>
      <c r="F92" s="185"/>
    </row>
    <row r="93" spans="4:6" x14ac:dyDescent="0.25">
      <c r="D93" s="185"/>
      <c r="E93" s="185"/>
      <c r="F93" s="185"/>
    </row>
    <row r="94" spans="4:6" x14ac:dyDescent="0.25">
      <c r="D94" s="185"/>
      <c r="E94" s="185"/>
      <c r="F94" s="185"/>
    </row>
    <row r="95" spans="4:6" x14ac:dyDescent="0.25">
      <c r="D95" s="185"/>
      <c r="E95" s="185"/>
      <c r="F95" s="185"/>
    </row>
    <row r="96" spans="4:6" x14ac:dyDescent="0.25">
      <c r="D96" s="185"/>
      <c r="E96" s="185"/>
      <c r="F96" s="185"/>
    </row>
    <row r="97" spans="4:6" x14ac:dyDescent="0.25">
      <c r="D97" s="185"/>
      <c r="E97" s="185"/>
      <c r="F97" s="185"/>
    </row>
    <row r="98" spans="4:6" x14ac:dyDescent="0.25">
      <c r="D98" s="185"/>
      <c r="E98" s="185"/>
      <c r="F98" s="185"/>
    </row>
    <row r="99" spans="4:6" x14ac:dyDescent="0.25">
      <c r="D99" s="185"/>
      <c r="E99" s="185"/>
      <c r="F99" s="185"/>
    </row>
    <row r="100" spans="4:6" x14ac:dyDescent="0.25">
      <c r="D100" s="185"/>
      <c r="E100" s="185"/>
      <c r="F100" s="185"/>
    </row>
    <row r="101" spans="4:6" x14ac:dyDescent="0.25">
      <c r="D101" s="185"/>
      <c r="E101" s="185"/>
      <c r="F101" s="185"/>
    </row>
    <row r="102" spans="4:6" x14ac:dyDescent="0.25">
      <c r="D102" s="185"/>
      <c r="E102" s="185"/>
      <c r="F102" s="185"/>
    </row>
    <row r="103" spans="4:6" x14ac:dyDescent="0.25">
      <c r="D103" s="185"/>
      <c r="E103" s="185"/>
      <c r="F103" s="185"/>
    </row>
    <row r="104" spans="4:6" x14ac:dyDescent="0.25">
      <c r="D104" s="185"/>
      <c r="E104" s="185"/>
      <c r="F104" s="185"/>
    </row>
    <row r="105" spans="4:6" x14ac:dyDescent="0.25">
      <c r="D105" s="185"/>
      <c r="E105" s="185"/>
      <c r="F105" s="185"/>
    </row>
    <row r="106" spans="4:6" x14ac:dyDescent="0.25">
      <c r="D106" s="185"/>
      <c r="E106" s="185"/>
      <c r="F106" s="185"/>
    </row>
    <row r="107" spans="4:6" x14ac:dyDescent="0.25">
      <c r="D107" s="185"/>
      <c r="E107" s="185"/>
      <c r="F107" s="185"/>
    </row>
    <row r="108" spans="4:6" x14ac:dyDescent="0.25">
      <c r="D108" s="185"/>
      <c r="E108" s="185"/>
      <c r="F108" s="185"/>
    </row>
    <row r="109" spans="4:6" x14ac:dyDescent="0.25">
      <c r="D109" s="185"/>
      <c r="E109" s="185"/>
      <c r="F109" s="185"/>
    </row>
  </sheetData>
  <mergeCells count="5">
    <mergeCell ref="C5:F5"/>
    <mergeCell ref="G5:J5"/>
    <mergeCell ref="K5:L5"/>
    <mergeCell ref="M5:N5"/>
    <mergeCell ref="O5:Q5"/>
  </mergeCells>
  <printOptions horizontalCentered="1" verticalCentered="1"/>
  <pageMargins left="0.2" right="0.2" top="0.75" bottom="0.75" header="0.3" footer="0.3"/>
  <pageSetup scale="7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F2B34-3AFA-46DA-85DE-39CB1214FF1B}">
  <sheetPr codeName="Sheet35">
    <tabColor rgb="FFFFFF00"/>
    <pageSetUpPr fitToPage="1"/>
  </sheetPr>
  <dimension ref="A1:U19"/>
  <sheetViews>
    <sheetView workbookViewId="0">
      <pane xSplit="1" ySplit="3" topLeftCell="B4" activePane="bottomRight" state="frozen"/>
      <selection pane="topRight"/>
      <selection pane="bottomLeft"/>
      <selection pane="bottomRight"/>
    </sheetView>
  </sheetViews>
  <sheetFormatPr defaultRowHeight="15" x14ac:dyDescent="0.25"/>
  <cols>
    <col min="1" max="1" width="32.85546875" style="3" bestFit="1" customWidth="1"/>
    <col min="2" max="16384" width="9.140625" style="3"/>
  </cols>
  <sheetData>
    <row r="1" spans="1:21" x14ac:dyDescent="0.25">
      <c r="A1" s="2" t="s">
        <v>497</v>
      </c>
    </row>
    <row r="3" spans="1:21" x14ac:dyDescent="0.25">
      <c r="B3" s="3">
        <v>2030</v>
      </c>
      <c r="C3" s="3">
        <f t="shared" ref="C3:U3" si="0">B3+1</f>
        <v>2031</v>
      </c>
      <c r="D3" s="3">
        <f t="shared" si="0"/>
        <v>2032</v>
      </c>
      <c r="E3" s="3">
        <f t="shared" si="0"/>
        <v>2033</v>
      </c>
      <c r="F3" s="3">
        <f t="shared" si="0"/>
        <v>2034</v>
      </c>
      <c r="G3" s="3">
        <f t="shared" si="0"/>
        <v>2035</v>
      </c>
      <c r="H3" s="3">
        <f t="shared" si="0"/>
        <v>2036</v>
      </c>
      <c r="I3" s="3">
        <f t="shared" si="0"/>
        <v>2037</v>
      </c>
      <c r="J3" s="3">
        <f t="shared" si="0"/>
        <v>2038</v>
      </c>
      <c r="K3" s="3">
        <f t="shared" si="0"/>
        <v>2039</v>
      </c>
      <c r="L3" s="3">
        <f t="shared" si="0"/>
        <v>2040</v>
      </c>
      <c r="M3" s="3">
        <f t="shared" si="0"/>
        <v>2041</v>
      </c>
      <c r="N3" s="3">
        <f t="shared" si="0"/>
        <v>2042</v>
      </c>
      <c r="O3" s="3">
        <f t="shared" si="0"/>
        <v>2043</v>
      </c>
      <c r="P3" s="3">
        <f t="shared" si="0"/>
        <v>2044</v>
      </c>
      <c r="Q3" s="3">
        <f t="shared" si="0"/>
        <v>2045</v>
      </c>
      <c r="R3" s="3">
        <f t="shared" si="0"/>
        <v>2046</v>
      </c>
      <c r="S3" s="3">
        <f t="shared" si="0"/>
        <v>2047</v>
      </c>
      <c r="T3" s="3">
        <f t="shared" si="0"/>
        <v>2048</v>
      </c>
      <c r="U3" s="3">
        <f t="shared" si="0"/>
        <v>2049</v>
      </c>
    </row>
    <row r="4" spans="1:21" ht="6" customHeight="1" x14ac:dyDescent="0.25"/>
    <row r="5" spans="1:21" x14ac:dyDescent="0.25">
      <c r="A5" s="3" t="s">
        <v>210</v>
      </c>
      <c r="B5" s="185">
        <v>557.86666666666667</v>
      </c>
      <c r="C5" s="185">
        <f t="shared" ref="C5:U5" si="1">B5</f>
        <v>557.86666666666667</v>
      </c>
      <c r="D5" s="185">
        <f t="shared" si="1"/>
        <v>557.86666666666667</v>
      </c>
      <c r="E5" s="185">
        <f t="shared" si="1"/>
        <v>557.86666666666667</v>
      </c>
      <c r="F5" s="185">
        <f t="shared" si="1"/>
        <v>557.86666666666667</v>
      </c>
      <c r="G5" s="185">
        <f t="shared" si="1"/>
        <v>557.86666666666667</v>
      </c>
      <c r="H5" s="185">
        <f t="shared" si="1"/>
        <v>557.86666666666667</v>
      </c>
      <c r="I5" s="185">
        <f t="shared" si="1"/>
        <v>557.86666666666667</v>
      </c>
      <c r="J5" s="185">
        <f t="shared" si="1"/>
        <v>557.86666666666667</v>
      </c>
      <c r="K5" s="185">
        <f t="shared" si="1"/>
        <v>557.86666666666667</v>
      </c>
      <c r="L5" s="185">
        <f t="shared" si="1"/>
        <v>557.86666666666667</v>
      </c>
      <c r="M5" s="185">
        <f t="shared" si="1"/>
        <v>557.86666666666667</v>
      </c>
      <c r="N5" s="185">
        <f t="shared" si="1"/>
        <v>557.86666666666667</v>
      </c>
      <c r="O5" s="185">
        <f t="shared" si="1"/>
        <v>557.86666666666667</v>
      </c>
      <c r="P5" s="185">
        <f t="shared" si="1"/>
        <v>557.86666666666667</v>
      </c>
      <c r="Q5" s="185">
        <f t="shared" si="1"/>
        <v>557.86666666666667</v>
      </c>
      <c r="R5" s="185">
        <f t="shared" si="1"/>
        <v>557.86666666666667</v>
      </c>
      <c r="S5" s="185">
        <f t="shared" si="1"/>
        <v>557.86666666666667</v>
      </c>
      <c r="T5" s="185">
        <f t="shared" si="1"/>
        <v>557.86666666666667</v>
      </c>
      <c r="U5" s="185">
        <f t="shared" si="1"/>
        <v>557.86666666666667</v>
      </c>
    </row>
    <row r="6" spans="1:21" x14ac:dyDescent="0.25">
      <c r="A6" s="3" t="s">
        <v>209</v>
      </c>
      <c r="B6" s="185">
        <v>242.13333333333333</v>
      </c>
      <c r="C6" s="185">
        <f t="shared" ref="C6:U6" si="2">B6</f>
        <v>242.13333333333333</v>
      </c>
      <c r="D6" s="185">
        <f t="shared" si="2"/>
        <v>242.13333333333333</v>
      </c>
      <c r="E6" s="185">
        <f t="shared" si="2"/>
        <v>242.13333333333333</v>
      </c>
      <c r="F6" s="185">
        <f t="shared" si="2"/>
        <v>242.13333333333333</v>
      </c>
      <c r="G6" s="185">
        <f t="shared" si="2"/>
        <v>242.13333333333333</v>
      </c>
      <c r="H6" s="185">
        <f t="shared" si="2"/>
        <v>242.13333333333333</v>
      </c>
      <c r="I6" s="185">
        <f t="shared" si="2"/>
        <v>242.13333333333333</v>
      </c>
      <c r="J6" s="185">
        <f t="shared" si="2"/>
        <v>242.13333333333333</v>
      </c>
      <c r="K6" s="185">
        <f t="shared" si="2"/>
        <v>242.13333333333333</v>
      </c>
      <c r="L6" s="185">
        <f t="shared" si="2"/>
        <v>242.13333333333333</v>
      </c>
      <c r="M6" s="185">
        <f t="shared" si="2"/>
        <v>242.13333333333333</v>
      </c>
      <c r="N6" s="185">
        <f t="shared" si="2"/>
        <v>242.13333333333333</v>
      </c>
      <c r="O6" s="185">
        <f t="shared" si="2"/>
        <v>242.13333333333333</v>
      </c>
      <c r="P6" s="185">
        <f t="shared" si="2"/>
        <v>242.13333333333333</v>
      </c>
      <c r="Q6" s="185">
        <f t="shared" si="2"/>
        <v>242.13333333333333</v>
      </c>
      <c r="R6" s="185">
        <f t="shared" si="2"/>
        <v>242.13333333333333</v>
      </c>
      <c r="S6" s="185">
        <f t="shared" si="2"/>
        <v>242.13333333333333</v>
      </c>
      <c r="T6" s="185">
        <f t="shared" si="2"/>
        <v>242.13333333333333</v>
      </c>
      <c r="U6" s="185">
        <f t="shared" si="2"/>
        <v>242.13333333333333</v>
      </c>
    </row>
    <row r="7" spans="1:21" x14ac:dyDescent="0.25">
      <c r="A7" s="3" t="s">
        <v>207</v>
      </c>
      <c r="B7" s="185">
        <v>139.46666666666667</v>
      </c>
      <c r="C7" s="185">
        <f t="shared" ref="C7:U7" si="3">B7</f>
        <v>139.46666666666667</v>
      </c>
      <c r="D7" s="185">
        <f t="shared" si="3"/>
        <v>139.46666666666667</v>
      </c>
      <c r="E7" s="185">
        <f t="shared" si="3"/>
        <v>139.46666666666667</v>
      </c>
      <c r="F7" s="185">
        <f t="shared" si="3"/>
        <v>139.46666666666667</v>
      </c>
      <c r="G7" s="185">
        <f t="shared" si="3"/>
        <v>139.46666666666667</v>
      </c>
      <c r="H7" s="185">
        <f t="shared" si="3"/>
        <v>139.46666666666667</v>
      </c>
      <c r="I7" s="185">
        <f t="shared" si="3"/>
        <v>139.46666666666667</v>
      </c>
      <c r="J7" s="185">
        <f t="shared" si="3"/>
        <v>139.46666666666667</v>
      </c>
      <c r="K7" s="185">
        <f t="shared" si="3"/>
        <v>139.46666666666667</v>
      </c>
      <c r="L7" s="185">
        <f t="shared" si="3"/>
        <v>139.46666666666667</v>
      </c>
      <c r="M7" s="185">
        <f t="shared" si="3"/>
        <v>139.46666666666667</v>
      </c>
      <c r="N7" s="185">
        <f t="shared" si="3"/>
        <v>139.46666666666667</v>
      </c>
      <c r="O7" s="185">
        <f t="shared" si="3"/>
        <v>139.46666666666667</v>
      </c>
      <c r="P7" s="185">
        <f t="shared" si="3"/>
        <v>139.46666666666667</v>
      </c>
      <c r="Q7" s="185">
        <f t="shared" si="3"/>
        <v>139.46666666666667</v>
      </c>
      <c r="R7" s="185">
        <f t="shared" si="3"/>
        <v>139.46666666666667</v>
      </c>
      <c r="S7" s="185">
        <f t="shared" si="3"/>
        <v>139.46666666666667</v>
      </c>
      <c r="T7" s="185">
        <f t="shared" si="3"/>
        <v>139.46666666666667</v>
      </c>
      <c r="U7" s="185">
        <f t="shared" si="3"/>
        <v>139.46666666666667</v>
      </c>
    </row>
    <row r="8" spans="1:21" x14ac:dyDescent="0.25">
      <c r="A8" s="175" t="s">
        <v>205</v>
      </c>
      <c r="B8" s="209">
        <v>60.533333333333331</v>
      </c>
      <c r="C8" s="209">
        <f t="shared" ref="C8:U8" si="4">B8</f>
        <v>60.533333333333331</v>
      </c>
      <c r="D8" s="209">
        <f t="shared" si="4"/>
        <v>60.533333333333331</v>
      </c>
      <c r="E8" s="209">
        <f t="shared" si="4"/>
        <v>60.533333333333331</v>
      </c>
      <c r="F8" s="209">
        <f t="shared" si="4"/>
        <v>60.533333333333331</v>
      </c>
      <c r="G8" s="209">
        <f t="shared" si="4"/>
        <v>60.533333333333331</v>
      </c>
      <c r="H8" s="209">
        <f t="shared" si="4"/>
        <v>60.533333333333331</v>
      </c>
      <c r="I8" s="209">
        <f t="shared" si="4"/>
        <v>60.533333333333331</v>
      </c>
      <c r="J8" s="209">
        <f t="shared" si="4"/>
        <v>60.533333333333331</v>
      </c>
      <c r="K8" s="209">
        <f t="shared" si="4"/>
        <v>60.533333333333331</v>
      </c>
      <c r="L8" s="209">
        <f t="shared" si="4"/>
        <v>60.533333333333331</v>
      </c>
      <c r="M8" s="209">
        <f t="shared" si="4"/>
        <v>60.533333333333331</v>
      </c>
      <c r="N8" s="209">
        <f t="shared" si="4"/>
        <v>60.533333333333331</v>
      </c>
      <c r="O8" s="209">
        <f t="shared" si="4"/>
        <v>60.533333333333331</v>
      </c>
      <c r="P8" s="209">
        <f t="shared" si="4"/>
        <v>60.533333333333331</v>
      </c>
      <c r="Q8" s="209">
        <f t="shared" si="4"/>
        <v>60.533333333333331</v>
      </c>
      <c r="R8" s="209">
        <f t="shared" si="4"/>
        <v>60.533333333333331</v>
      </c>
      <c r="S8" s="209">
        <f t="shared" si="4"/>
        <v>60.533333333333331</v>
      </c>
      <c r="T8" s="209">
        <f t="shared" si="4"/>
        <v>60.533333333333331</v>
      </c>
      <c r="U8" s="209">
        <f t="shared" si="4"/>
        <v>60.533333333333331</v>
      </c>
    </row>
    <row r="9" spans="1:21" x14ac:dyDescent="0.25">
      <c r="A9" s="3" t="s">
        <v>12</v>
      </c>
      <c r="B9" s="185">
        <f t="shared" ref="B9:U9" si="5">SUM(B5:B8)</f>
        <v>1000</v>
      </c>
      <c r="C9" s="185">
        <f t="shared" si="5"/>
        <v>1000</v>
      </c>
      <c r="D9" s="185">
        <f t="shared" si="5"/>
        <v>1000</v>
      </c>
      <c r="E9" s="185">
        <f t="shared" si="5"/>
        <v>1000</v>
      </c>
      <c r="F9" s="185">
        <f t="shared" si="5"/>
        <v>1000</v>
      </c>
      <c r="G9" s="185">
        <f t="shared" si="5"/>
        <v>1000</v>
      </c>
      <c r="H9" s="185">
        <f t="shared" si="5"/>
        <v>1000</v>
      </c>
      <c r="I9" s="185">
        <f t="shared" si="5"/>
        <v>1000</v>
      </c>
      <c r="J9" s="185">
        <f t="shared" si="5"/>
        <v>1000</v>
      </c>
      <c r="K9" s="185">
        <f t="shared" si="5"/>
        <v>1000</v>
      </c>
      <c r="L9" s="185">
        <f t="shared" si="5"/>
        <v>1000</v>
      </c>
      <c r="M9" s="185">
        <f t="shared" si="5"/>
        <v>1000</v>
      </c>
      <c r="N9" s="185">
        <f t="shared" si="5"/>
        <v>1000</v>
      </c>
      <c r="O9" s="185">
        <f t="shared" si="5"/>
        <v>1000</v>
      </c>
      <c r="P9" s="185">
        <f t="shared" si="5"/>
        <v>1000</v>
      </c>
      <c r="Q9" s="185">
        <f t="shared" si="5"/>
        <v>1000</v>
      </c>
      <c r="R9" s="185">
        <f t="shared" si="5"/>
        <v>1000</v>
      </c>
      <c r="S9" s="185">
        <f t="shared" si="5"/>
        <v>1000</v>
      </c>
      <c r="T9" s="185">
        <f t="shared" si="5"/>
        <v>1000</v>
      </c>
      <c r="U9" s="185">
        <f t="shared" si="5"/>
        <v>1000</v>
      </c>
    </row>
    <row r="10" spans="1:21" x14ac:dyDescent="0.25">
      <c r="H10" s="185"/>
      <c r="I10" s="185"/>
      <c r="J10" s="185"/>
      <c r="K10" s="185"/>
      <c r="L10" s="185"/>
      <c r="M10" s="185"/>
      <c r="N10" s="185"/>
      <c r="O10" s="185"/>
      <c r="P10" s="185"/>
      <c r="Q10" s="185"/>
      <c r="R10" s="185"/>
      <c r="S10" s="185"/>
      <c r="T10" s="185"/>
      <c r="U10" s="185"/>
    </row>
    <row r="11" spans="1:21" x14ac:dyDescent="0.25">
      <c r="A11" s="3" t="s">
        <v>56</v>
      </c>
      <c r="B11" s="3">
        <f>B18</f>
        <v>1030</v>
      </c>
      <c r="C11" s="3">
        <f t="shared" ref="C11:G12" si="6">B11+C18</f>
        <v>2080</v>
      </c>
      <c r="D11" s="3">
        <f t="shared" si="6"/>
        <v>2780</v>
      </c>
      <c r="E11" s="3">
        <f t="shared" si="6"/>
        <v>3480</v>
      </c>
      <c r="F11" s="3">
        <f t="shared" si="6"/>
        <v>4355</v>
      </c>
      <c r="G11" s="3">
        <f t="shared" si="6"/>
        <v>5230</v>
      </c>
      <c r="H11" s="185">
        <f t="shared" ref="H11:U11" si="7">G11</f>
        <v>5230</v>
      </c>
      <c r="I11" s="185">
        <f t="shared" si="7"/>
        <v>5230</v>
      </c>
      <c r="J11" s="185">
        <f t="shared" si="7"/>
        <v>5230</v>
      </c>
      <c r="K11" s="185">
        <f t="shared" si="7"/>
        <v>5230</v>
      </c>
      <c r="L11" s="185">
        <f t="shared" si="7"/>
        <v>5230</v>
      </c>
      <c r="M11" s="185">
        <f t="shared" si="7"/>
        <v>5230</v>
      </c>
      <c r="N11" s="185">
        <f t="shared" si="7"/>
        <v>5230</v>
      </c>
      <c r="O11" s="185">
        <f t="shared" si="7"/>
        <v>5230</v>
      </c>
      <c r="P11" s="185">
        <f t="shared" si="7"/>
        <v>5230</v>
      </c>
      <c r="Q11" s="185">
        <f t="shared" si="7"/>
        <v>5230</v>
      </c>
      <c r="R11" s="185">
        <f t="shared" si="7"/>
        <v>5230</v>
      </c>
      <c r="S11" s="185">
        <f t="shared" si="7"/>
        <v>5230</v>
      </c>
      <c r="T11" s="185">
        <f t="shared" si="7"/>
        <v>5230</v>
      </c>
      <c r="U11" s="185">
        <f t="shared" si="7"/>
        <v>5230</v>
      </c>
    </row>
    <row r="12" spans="1:21" x14ac:dyDescent="0.25">
      <c r="A12" s="3" t="s">
        <v>212</v>
      </c>
      <c r="B12" s="3">
        <f>B19</f>
        <v>430</v>
      </c>
      <c r="C12" s="3">
        <f t="shared" si="6"/>
        <v>880</v>
      </c>
      <c r="D12" s="3">
        <f t="shared" si="6"/>
        <v>1180</v>
      </c>
      <c r="E12" s="3">
        <f t="shared" si="6"/>
        <v>1480</v>
      </c>
      <c r="F12" s="3">
        <f t="shared" si="6"/>
        <v>1855</v>
      </c>
      <c r="G12" s="3">
        <f t="shared" si="6"/>
        <v>2230</v>
      </c>
      <c r="H12" s="185">
        <f t="shared" ref="H12:U12" si="8">G12</f>
        <v>2230</v>
      </c>
      <c r="I12" s="185">
        <f t="shared" si="8"/>
        <v>2230</v>
      </c>
      <c r="J12" s="185">
        <f t="shared" si="8"/>
        <v>2230</v>
      </c>
      <c r="K12" s="185">
        <f t="shared" si="8"/>
        <v>2230</v>
      </c>
      <c r="L12" s="185">
        <f t="shared" si="8"/>
        <v>2230</v>
      </c>
      <c r="M12" s="185">
        <f t="shared" si="8"/>
        <v>2230</v>
      </c>
      <c r="N12" s="185">
        <f t="shared" si="8"/>
        <v>2230</v>
      </c>
      <c r="O12" s="185">
        <f t="shared" si="8"/>
        <v>2230</v>
      </c>
      <c r="P12" s="185">
        <f t="shared" si="8"/>
        <v>2230</v>
      </c>
      <c r="Q12" s="185">
        <f t="shared" si="8"/>
        <v>2230</v>
      </c>
      <c r="R12" s="185">
        <f t="shared" si="8"/>
        <v>2230</v>
      </c>
      <c r="S12" s="185">
        <f t="shared" si="8"/>
        <v>2230</v>
      </c>
      <c r="T12" s="185">
        <f t="shared" si="8"/>
        <v>2230</v>
      </c>
      <c r="U12" s="185">
        <f t="shared" si="8"/>
        <v>2230</v>
      </c>
    </row>
    <row r="13" spans="1:21" x14ac:dyDescent="0.25">
      <c r="A13" s="175" t="s">
        <v>496</v>
      </c>
      <c r="B13" s="175">
        <v>40</v>
      </c>
      <c r="C13" s="175">
        <v>40</v>
      </c>
      <c r="D13" s="175">
        <v>40</v>
      </c>
      <c r="E13" s="175">
        <v>40</v>
      </c>
      <c r="F13" s="175">
        <v>40</v>
      </c>
      <c r="G13" s="175">
        <v>40</v>
      </c>
      <c r="H13" s="209">
        <f t="shared" ref="H13:U13" si="9">G13</f>
        <v>40</v>
      </c>
      <c r="I13" s="209">
        <f t="shared" si="9"/>
        <v>40</v>
      </c>
      <c r="J13" s="209">
        <f t="shared" si="9"/>
        <v>40</v>
      </c>
      <c r="K13" s="209">
        <f t="shared" si="9"/>
        <v>40</v>
      </c>
      <c r="L13" s="209">
        <f t="shared" si="9"/>
        <v>40</v>
      </c>
      <c r="M13" s="209">
        <f t="shared" si="9"/>
        <v>40</v>
      </c>
      <c r="N13" s="209">
        <f t="shared" si="9"/>
        <v>40</v>
      </c>
      <c r="O13" s="209">
        <f t="shared" si="9"/>
        <v>40</v>
      </c>
      <c r="P13" s="209">
        <f t="shared" si="9"/>
        <v>40</v>
      </c>
      <c r="Q13" s="209">
        <f t="shared" si="9"/>
        <v>40</v>
      </c>
      <c r="R13" s="209">
        <f t="shared" si="9"/>
        <v>40</v>
      </c>
      <c r="S13" s="209">
        <f t="shared" si="9"/>
        <v>40</v>
      </c>
      <c r="T13" s="209">
        <f t="shared" si="9"/>
        <v>40</v>
      </c>
      <c r="U13" s="209">
        <f t="shared" si="9"/>
        <v>40</v>
      </c>
    </row>
    <row r="14" spans="1:21" x14ac:dyDescent="0.25">
      <c r="A14" s="3" t="s">
        <v>12</v>
      </c>
      <c r="B14" s="185">
        <f t="shared" ref="B14:U14" si="10">SUM(B11:B13)</f>
        <v>1500</v>
      </c>
      <c r="C14" s="185">
        <f t="shared" si="10"/>
        <v>3000</v>
      </c>
      <c r="D14" s="185">
        <f t="shared" si="10"/>
        <v>4000</v>
      </c>
      <c r="E14" s="185">
        <f t="shared" si="10"/>
        <v>5000</v>
      </c>
      <c r="F14" s="185">
        <f t="shared" si="10"/>
        <v>6250</v>
      </c>
      <c r="G14" s="185">
        <f t="shared" si="10"/>
        <v>7500</v>
      </c>
      <c r="H14" s="185">
        <f t="shared" si="10"/>
        <v>7500</v>
      </c>
      <c r="I14" s="185">
        <f t="shared" si="10"/>
        <v>7500</v>
      </c>
      <c r="J14" s="185">
        <f t="shared" si="10"/>
        <v>7500</v>
      </c>
      <c r="K14" s="185">
        <f t="shared" si="10"/>
        <v>7500</v>
      </c>
      <c r="L14" s="185">
        <f t="shared" si="10"/>
        <v>7500</v>
      </c>
      <c r="M14" s="185">
        <f t="shared" si="10"/>
        <v>7500</v>
      </c>
      <c r="N14" s="185">
        <f t="shared" si="10"/>
        <v>7500</v>
      </c>
      <c r="O14" s="185">
        <f t="shared" si="10"/>
        <v>7500</v>
      </c>
      <c r="P14" s="185">
        <f t="shared" si="10"/>
        <v>7500</v>
      </c>
      <c r="Q14" s="185">
        <f t="shared" si="10"/>
        <v>7500</v>
      </c>
      <c r="R14" s="185">
        <f t="shared" si="10"/>
        <v>7500</v>
      </c>
      <c r="S14" s="185">
        <f t="shared" si="10"/>
        <v>7500</v>
      </c>
      <c r="T14" s="185">
        <f t="shared" si="10"/>
        <v>7500</v>
      </c>
      <c r="U14" s="185">
        <f t="shared" si="10"/>
        <v>7500</v>
      </c>
    </row>
    <row r="15" spans="1:21" x14ac:dyDescent="0.25">
      <c r="H15" s="185">
        <f t="shared" ref="H15:U15" si="11">G15</f>
        <v>0</v>
      </c>
      <c r="I15" s="185">
        <f t="shared" si="11"/>
        <v>0</v>
      </c>
      <c r="J15" s="185">
        <f t="shared" si="11"/>
        <v>0</v>
      </c>
      <c r="K15" s="185">
        <f t="shared" si="11"/>
        <v>0</v>
      </c>
      <c r="L15" s="185">
        <f t="shared" si="11"/>
        <v>0</v>
      </c>
      <c r="M15" s="185">
        <f t="shared" si="11"/>
        <v>0</v>
      </c>
      <c r="N15" s="185">
        <f t="shared" si="11"/>
        <v>0</v>
      </c>
      <c r="O15" s="185">
        <f t="shared" si="11"/>
        <v>0</v>
      </c>
      <c r="P15" s="185">
        <f t="shared" si="11"/>
        <v>0</v>
      </c>
      <c r="Q15" s="185">
        <f t="shared" si="11"/>
        <v>0</v>
      </c>
      <c r="R15" s="185">
        <f t="shared" si="11"/>
        <v>0</v>
      </c>
      <c r="S15" s="185">
        <f t="shared" si="11"/>
        <v>0</v>
      </c>
      <c r="T15" s="185">
        <f t="shared" si="11"/>
        <v>0</v>
      </c>
      <c r="U15" s="185">
        <f t="shared" si="11"/>
        <v>0</v>
      </c>
    </row>
    <row r="16" spans="1:21" x14ac:dyDescent="0.25">
      <c r="A16" s="4" t="s">
        <v>495</v>
      </c>
      <c r="B16" s="234">
        <f t="shared" ref="B16:U16" si="12">B9/B14</f>
        <v>0.66666666666666663</v>
      </c>
      <c r="C16" s="234">
        <f t="shared" si="12"/>
        <v>0.33333333333333331</v>
      </c>
      <c r="D16" s="234">
        <f t="shared" si="12"/>
        <v>0.25</v>
      </c>
      <c r="E16" s="234">
        <f t="shared" si="12"/>
        <v>0.2</v>
      </c>
      <c r="F16" s="234">
        <f t="shared" si="12"/>
        <v>0.16</v>
      </c>
      <c r="G16" s="234">
        <f t="shared" si="12"/>
        <v>0.13333333333333333</v>
      </c>
      <c r="H16" s="234">
        <f t="shared" si="12"/>
        <v>0.13333333333333333</v>
      </c>
      <c r="I16" s="234">
        <f t="shared" si="12"/>
        <v>0.13333333333333333</v>
      </c>
      <c r="J16" s="234">
        <f t="shared" si="12"/>
        <v>0.13333333333333333</v>
      </c>
      <c r="K16" s="234">
        <f t="shared" si="12"/>
        <v>0.13333333333333333</v>
      </c>
      <c r="L16" s="234">
        <f t="shared" si="12"/>
        <v>0.13333333333333333</v>
      </c>
      <c r="M16" s="234">
        <f t="shared" si="12"/>
        <v>0.13333333333333333</v>
      </c>
      <c r="N16" s="234">
        <f t="shared" si="12"/>
        <v>0.13333333333333333</v>
      </c>
      <c r="O16" s="234">
        <f t="shared" si="12"/>
        <v>0.13333333333333333</v>
      </c>
      <c r="P16" s="234">
        <f t="shared" si="12"/>
        <v>0.13333333333333333</v>
      </c>
      <c r="Q16" s="234">
        <f t="shared" si="12"/>
        <v>0.13333333333333333</v>
      </c>
      <c r="R16" s="234">
        <f t="shared" si="12"/>
        <v>0.13333333333333333</v>
      </c>
      <c r="S16" s="234">
        <f t="shared" si="12"/>
        <v>0.13333333333333333</v>
      </c>
      <c r="T16" s="234">
        <f t="shared" si="12"/>
        <v>0.13333333333333333</v>
      </c>
      <c r="U16" s="234">
        <f t="shared" si="12"/>
        <v>0.13333333333333333</v>
      </c>
    </row>
    <row r="17" spans="1:21" x14ac:dyDescent="0.25">
      <c r="H17" s="185"/>
      <c r="I17" s="185"/>
      <c r="J17" s="185"/>
      <c r="K17" s="185"/>
      <c r="L17" s="185"/>
      <c r="M17" s="185"/>
      <c r="N17" s="185"/>
      <c r="O17" s="185"/>
      <c r="P17" s="185"/>
      <c r="Q17" s="185"/>
      <c r="R17" s="185"/>
      <c r="S17" s="185"/>
      <c r="T17" s="185"/>
      <c r="U17" s="185"/>
    </row>
    <row r="18" spans="1:21" x14ac:dyDescent="0.25">
      <c r="A18" s="3" t="s">
        <v>56</v>
      </c>
      <c r="B18" s="3">
        <v>1030</v>
      </c>
      <c r="C18" s="3">
        <v>1050</v>
      </c>
      <c r="D18" s="3">
        <v>700</v>
      </c>
      <c r="E18" s="3">
        <v>700</v>
      </c>
      <c r="F18" s="3">
        <v>875</v>
      </c>
      <c r="G18" s="3">
        <v>875</v>
      </c>
      <c r="H18" s="185">
        <f t="shared" ref="H18:U18" si="13">G18</f>
        <v>875</v>
      </c>
      <c r="I18" s="185">
        <f t="shared" si="13"/>
        <v>875</v>
      </c>
      <c r="J18" s="185">
        <f t="shared" si="13"/>
        <v>875</v>
      </c>
      <c r="K18" s="185">
        <f t="shared" si="13"/>
        <v>875</v>
      </c>
      <c r="L18" s="185">
        <f t="shared" si="13"/>
        <v>875</v>
      </c>
      <c r="M18" s="185">
        <f t="shared" si="13"/>
        <v>875</v>
      </c>
      <c r="N18" s="185">
        <f t="shared" si="13"/>
        <v>875</v>
      </c>
      <c r="O18" s="185">
        <f t="shared" si="13"/>
        <v>875</v>
      </c>
      <c r="P18" s="185">
        <f t="shared" si="13"/>
        <v>875</v>
      </c>
      <c r="Q18" s="185">
        <f t="shared" si="13"/>
        <v>875</v>
      </c>
      <c r="R18" s="185">
        <f t="shared" si="13"/>
        <v>875</v>
      </c>
      <c r="S18" s="185">
        <f t="shared" si="13"/>
        <v>875</v>
      </c>
      <c r="T18" s="185">
        <f t="shared" si="13"/>
        <v>875</v>
      </c>
      <c r="U18" s="185">
        <f t="shared" si="13"/>
        <v>875</v>
      </c>
    </row>
    <row r="19" spans="1:21" x14ac:dyDescent="0.25">
      <c r="A19" s="3" t="s">
        <v>212</v>
      </c>
      <c r="B19" s="3">
        <v>430</v>
      </c>
      <c r="C19" s="3">
        <v>450</v>
      </c>
      <c r="D19" s="3">
        <v>300</v>
      </c>
      <c r="E19" s="3">
        <v>300</v>
      </c>
      <c r="F19" s="3">
        <v>375</v>
      </c>
      <c r="G19" s="3">
        <v>375</v>
      </c>
      <c r="H19" s="185">
        <f t="shared" ref="H19:U19" si="14">G19</f>
        <v>375</v>
      </c>
      <c r="I19" s="185">
        <f t="shared" si="14"/>
        <v>375</v>
      </c>
      <c r="J19" s="185">
        <f t="shared" si="14"/>
        <v>375</v>
      </c>
      <c r="K19" s="185">
        <f t="shared" si="14"/>
        <v>375</v>
      </c>
      <c r="L19" s="185">
        <f t="shared" si="14"/>
        <v>375</v>
      </c>
      <c r="M19" s="185">
        <f t="shared" si="14"/>
        <v>375</v>
      </c>
      <c r="N19" s="185">
        <f t="shared" si="14"/>
        <v>375</v>
      </c>
      <c r="O19" s="185">
        <f t="shared" si="14"/>
        <v>375</v>
      </c>
      <c r="P19" s="185">
        <f t="shared" si="14"/>
        <v>375</v>
      </c>
      <c r="Q19" s="185">
        <f t="shared" si="14"/>
        <v>375</v>
      </c>
      <c r="R19" s="185">
        <f t="shared" si="14"/>
        <v>375</v>
      </c>
      <c r="S19" s="185">
        <f t="shared" si="14"/>
        <v>375</v>
      </c>
      <c r="T19" s="185">
        <f t="shared" si="14"/>
        <v>375</v>
      </c>
      <c r="U19" s="185">
        <f t="shared" si="14"/>
        <v>375</v>
      </c>
    </row>
  </sheetData>
  <printOptions horizontalCentered="1" verticalCentered="1"/>
  <pageMargins left="0.7" right="0.7" top="0.75" bottom="0.75" header="0.3" footer="0.3"/>
  <pageSetup scale="56"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4EC57-22F2-48BA-9AE6-F501F0714613}">
  <sheetPr codeName="Sheet36">
    <tabColor rgb="FFFFFF00"/>
  </sheetPr>
  <dimension ref="A1:W5"/>
  <sheetViews>
    <sheetView zoomScaleNormal="100" workbookViewId="0">
      <selection activeCell="F4" sqref="F4"/>
    </sheetView>
  </sheetViews>
  <sheetFormatPr defaultRowHeight="15" x14ac:dyDescent="0.25"/>
  <cols>
    <col min="1" max="1" width="17.7109375" style="3" bestFit="1" customWidth="1"/>
    <col min="2" max="3" width="9.140625" style="3"/>
    <col min="4" max="23" width="16.140625" style="3" customWidth="1"/>
    <col min="24" max="16384" width="9.140625" style="3"/>
  </cols>
  <sheetData>
    <row r="1" spans="1:23" x14ac:dyDescent="0.25">
      <c r="A1" s="2" t="s">
        <v>499</v>
      </c>
    </row>
    <row r="3" spans="1:23" x14ac:dyDescent="0.25">
      <c r="A3" s="2" t="s">
        <v>498</v>
      </c>
      <c r="D3" s="235">
        <v>2030</v>
      </c>
      <c r="E3" s="235">
        <v>2031</v>
      </c>
      <c r="F3" s="235">
        <v>2032</v>
      </c>
      <c r="G3" s="235">
        <v>2033</v>
      </c>
      <c r="H3" s="235">
        <v>2034</v>
      </c>
      <c r="I3" s="235">
        <v>2035</v>
      </c>
      <c r="J3" s="235">
        <v>2036</v>
      </c>
      <c r="K3" s="235">
        <v>2037</v>
      </c>
      <c r="L3" s="235">
        <v>2038</v>
      </c>
      <c r="M3" s="235">
        <v>2039</v>
      </c>
      <c r="N3" s="235">
        <v>2040</v>
      </c>
      <c r="O3" s="235">
        <v>2041</v>
      </c>
      <c r="P3" s="235">
        <v>2042</v>
      </c>
      <c r="Q3" s="235">
        <v>2043</v>
      </c>
      <c r="R3" s="235">
        <v>2044</v>
      </c>
      <c r="S3" s="235">
        <v>2045</v>
      </c>
      <c r="T3" s="235">
        <v>2046</v>
      </c>
      <c r="U3" s="235">
        <v>2047</v>
      </c>
      <c r="V3" s="235">
        <v>2048</v>
      </c>
      <c r="W3" s="235">
        <v>2049</v>
      </c>
    </row>
    <row r="4" spans="1:23" x14ac:dyDescent="0.25">
      <c r="A4" s="4" t="s">
        <v>44</v>
      </c>
      <c r="D4" s="5">
        <f>Batteries_Comm_Resi!G130</f>
        <v>63415713.751386225</v>
      </c>
      <c r="E4" s="5">
        <f>Batteries_Comm_Resi!H130</f>
        <v>63415713.751386225</v>
      </c>
      <c r="F4" s="5">
        <f>Batteries_Comm_Resi!I130</f>
        <v>63415713.751386225</v>
      </c>
      <c r="G4" s="5">
        <f>Batteries_Comm_Resi!J130</f>
        <v>63415713.751386225</v>
      </c>
      <c r="H4" s="5">
        <f>Batteries_Comm_Resi!K130</f>
        <v>63415713.751386225</v>
      </c>
      <c r="I4" s="5">
        <f>Batteries_Comm_Resi!L130</f>
        <v>63415713.751386225</v>
      </c>
      <c r="J4" s="5">
        <f>Batteries_Comm_Resi!M130</f>
        <v>63415713.751386225</v>
      </c>
      <c r="K4" s="5">
        <f>Batteries_Comm_Resi!N130</f>
        <v>63415713.751386225</v>
      </c>
      <c r="L4" s="5">
        <f>Batteries_Comm_Resi!O130</f>
        <v>63415713.751386225</v>
      </c>
      <c r="M4" s="5">
        <f>Batteries_Comm_Resi!P130</f>
        <v>63415713.751386225</v>
      </c>
      <c r="N4" s="5">
        <f>Batteries_Comm_Resi!Q130</f>
        <v>63415713.751386225</v>
      </c>
      <c r="O4" s="5">
        <f>Batteries_Comm_Resi!R130</f>
        <v>63415713.751386225</v>
      </c>
      <c r="P4" s="5">
        <f>Batteries_Comm_Resi!S130</f>
        <v>63415713.751386225</v>
      </c>
      <c r="Q4" s="5">
        <f>Batteries_Comm_Resi!T130</f>
        <v>63415713.751386225</v>
      </c>
      <c r="R4" s="5">
        <f>Batteries_Comm_Resi!U130</f>
        <v>63415713.751386225</v>
      </c>
      <c r="S4" s="5">
        <f>Batteries_Comm_Resi!V130</f>
        <v>63415713.751386225</v>
      </c>
      <c r="T4" s="5">
        <f>Batteries_Comm_Resi!W130</f>
        <v>63415713.751386225</v>
      </c>
      <c r="U4" s="5">
        <f>Batteries_Comm_Resi!X130</f>
        <v>63415713.751386225</v>
      </c>
      <c r="V4" s="5">
        <f>Batteries_Comm_Resi!Y130</f>
        <v>63415713.751386225</v>
      </c>
      <c r="W4" s="5">
        <f>Batteries_Comm_Resi!Z130</f>
        <v>63415713.751386225</v>
      </c>
    </row>
    <row r="5" spans="1:23" x14ac:dyDescent="0.25">
      <c r="A5" s="4" t="s">
        <v>45</v>
      </c>
      <c r="D5" s="5">
        <f>Batteries_Comm_Resi!G131</f>
        <v>134474793.44264564</v>
      </c>
      <c r="E5" s="5">
        <f>Batteries_Comm_Resi!H131</f>
        <v>134474793.44264564</v>
      </c>
      <c r="F5" s="5">
        <f>Batteries_Comm_Resi!I131</f>
        <v>134474793.44264564</v>
      </c>
      <c r="G5" s="5">
        <f>Batteries_Comm_Resi!J131</f>
        <v>134474793.44264564</v>
      </c>
      <c r="H5" s="5">
        <f>Batteries_Comm_Resi!K131</f>
        <v>134474793.44264564</v>
      </c>
      <c r="I5" s="5">
        <f>Batteries_Comm_Resi!L131</f>
        <v>134474793.44264564</v>
      </c>
      <c r="J5" s="5">
        <f>Batteries_Comm_Resi!M131</f>
        <v>134474793.44264564</v>
      </c>
      <c r="K5" s="5">
        <f>Batteries_Comm_Resi!N131</f>
        <v>134474793.44264564</v>
      </c>
      <c r="L5" s="5">
        <f>Batteries_Comm_Resi!O131</f>
        <v>134474793.44264564</v>
      </c>
      <c r="M5" s="5">
        <f>Batteries_Comm_Resi!P131</f>
        <v>134474793.44264564</v>
      </c>
      <c r="N5" s="5">
        <f>Batteries_Comm_Resi!Q131</f>
        <v>134474793.44264564</v>
      </c>
      <c r="O5" s="5">
        <f>Batteries_Comm_Resi!R131</f>
        <v>134474793.44264564</v>
      </c>
      <c r="P5" s="5">
        <f>Batteries_Comm_Resi!S131</f>
        <v>134474793.44264564</v>
      </c>
      <c r="Q5" s="5">
        <f>Batteries_Comm_Resi!T131</f>
        <v>134474793.44264564</v>
      </c>
      <c r="R5" s="5">
        <f>Batteries_Comm_Resi!U131</f>
        <v>134474793.44264564</v>
      </c>
      <c r="S5" s="5">
        <f>Batteries_Comm_Resi!V131</f>
        <v>134474793.44264564</v>
      </c>
      <c r="T5" s="5">
        <f>Batteries_Comm_Resi!W131</f>
        <v>134474793.44264564</v>
      </c>
      <c r="U5" s="5">
        <f>Batteries_Comm_Resi!X131</f>
        <v>134474793.44264564</v>
      </c>
      <c r="V5" s="5">
        <f>Batteries_Comm_Resi!Y131</f>
        <v>134474793.44264564</v>
      </c>
      <c r="W5" s="5">
        <f>Batteries_Comm_Resi!Z131</f>
        <v>134474793.44264564</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7A639-721F-469B-A917-CB76266B3574}">
  <sheetPr codeName="Sheet37">
    <tabColor theme="5" tint="0.39997558519241921"/>
  </sheetPr>
  <dimension ref="A1"/>
  <sheetViews>
    <sheetView workbookViewId="0"/>
  </sheetViews>
  <sheetFormatPr defaultRowHeight="15" x14ac:dyDescent="0.25"/>
  <cols>
    <col min="1" max="16384" width="9.140625" style="3"/>
  </cols>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0A467-A052-45ED-B79C-29E658DF326A}">
  <sheetPr codeName="Sheet2">
    <tabColor theme="9" tint="0.59999389629810485"/>
  </sheetPr>
  <dimension ref="A3:W31"/>
  <sheetViews>
    <sheetView workbookViewId="0"/>
  </sheetViews>
  <sheetFormatPr defaultRowHeight="15" x14ac:dyDescent="0.25"/>
  <cols>
    <col min="1" max="1" width="13.140625" style="3" bestFit="1" customWidth="1"/>
    <col min="2" max="2" width="18.5703125" style="3" bestFit="1" customWidth="1"/>
    <col min="3" max="3" width="31.28515625" style="3" bestFit="1" customWidth="1"/>
    <col min="4" max="4" width="9.140625" style="3"/>
    <col min="5" max="5" width="13.140625" style="3" bestFit="1" customWidth="1"/>
    <col min="6" max="6" width="18.5703125" style="3" bestFit="1" customWidth="1"/>
    <col min="7" max="7" width="31.28515625" style="3" bestFit="1" customWidth="1"/>
    <col min="8" max="8" width="20.5703125" style="3" bestFit="1" customWidth="1"/>
    <col min="9" max="9" width="10.85546875" style="3" bestFit="1" customWidth="1"/>
    <col min="10" max="10" width="13.140625" style="3" bestFit="1" customWidth="1"/>
    <col min="11" max="11" width="18.5703125" style="3" bestFit="1" customWidth="1"/>
    <col min="12" max="12" width="31.28515625" style="3" bestFit="1" customWidth="1"/>
    <col min="13" max="13" width="20.5703125" style="3" bestFit="1" customWidth="1"/>
    <col min="14" max="14" width="9.140625" style="3"/>
    <col min="15" max="15" width="13.140625" style="3" bestFit="1" customWidth="1"/>
    <col min="16" max="16" width="18.5703125" style="3" bestFit="1" customWidth="1"/>
    <col min="17" max="17" width="31.28515625" style="3" bestFit="1" customWidth="1"/>
    <col min="18" max="18" width="20.5703125" style="3" bestFit="1" customWidth="1"/>
    <col min="19" max="19" width="9.140625" style="3"/>
    <col min="20" max="20" width="13.140625" style="3" bestFit="1" customWidth="1"/>
    <col min="21" max="21" width="18.5703125" style="3" bestFit="1" customWidth="1"/>
    <col min="22" max="22" width="31.28515625" style="3" bestFit="1" customWidth="1"/>
    <col min="23" max="23" width="20.5703125" style="3" bestFit="1" customWidth="1"/>
    <col min="24" max="16384" width="9.140625" style="3"/>
  </cols>
  <sheetData>
    <row r="3" spans="1:23" x14ac:dyDescent="0.25">
      <c r="A3" s="263" t="s">
        <v>255</v>
      </c>
      <c r="B3" s="263" t="s">
        <v>519</v>
      </c>
      <c r="C3" s="31" t="s">
        <v>751</v>
      </c>
      <c r="E3" s="263" t="s">
        <v>255</v>
      </c>
      <c r="F3" s="263" t="s">
        <v>519</v>
      </c>
      <c r="G3" s="31" t="s">
        <v>751</v>
      </c>
      <c r="J3" s="263" t="s">
        <v>255</v>
      </c>
      <c r="K3" s="263" t="s">
        <v>519</v>
      </c>
      <c r="L3" s="31" t="s">
        <v>751</v>
      </c>
      <c r="O3" s="263" t="s">
        <v>255</v>
      </c>
      <c r="P3" s="263" t="s">
        <v>519</v>
      </c>
      <c r="Q3" s="31" t="s">
        <v>751</v>
      </c>
      <c r="T3" s="263" t="s">
        <v>255</v>
      </c>
      <c r="U3" s="263" t="s">
        <v>519</v>
      </c>
      <c r="V3" s="31" t="s">
        <v>751</v>
      </c>
    </row>
    <row r="4" spans="1:23" x14ac:dyDescent="0.25">
      <c r="A4" s="31" t="s">
        <v>752</v>
      </c>
      <c r="E4" s="31" t="s">
        <v>7</v>
      </c>
      <c r="J4" s="31" t="s">
        <v>8</v>
      </c>
      <c r="O4" s="31" t="s">
        <v>9</v>
      </c>
      <c r="T4" s="31" t="s">
        <v>10</v>
      </c>
    </row>
    <row r="5" spans="1:23" x14ac:dyDescent="0.25">
      <c r="A5" s="264" t="s">
        <v>509</v>
      </c>
      <c r="B5" s="264" t="s">
        <v>520</v>
      </c>
      <c r="C5" s="264" t="s">
        <v>753</v>
      </c>
      <c r="E5" s="264" t="s">
        <v>509</v>
      </c>
      <c r="F5" s="264" t="s">
        <v>520</v>
      </c>
      <c r="G5" s="264" t="s">
        <v>753</v>
      </c>
      <c r="H5" s="31" t="s">
        <v>754</v>
      </c>
      <c r="J5" s="264" t="s">
        <v>509</v>
      </c>
      <c r="K5" s="264" t="s">
        <v>520</v>
      </c>
      <c r="L5" s="264" t="s">
        <v>753</v>
      </c>
      <c r="M5" s="31" t="s">
        <v>754</v>
      </c>
      <c r="O5" s="264" t="s">
        <v>509</v>
      </c>
      <c r="P5" s="264" t="s">
        <v>520</v>
      </c>
      <c r="Q5" s="264" t="s">
        <v>753</v>
      </c>
      <c r="R5" s="31" t="s">
        <v>754</v>
      </c>
      <c r="T5" s="264" t="s">
        <v>509</v>
      </c>
      <c r="U5" s="264" t="s">
        <v>520</v>
      </c>
      <c r="V5" s="264" t="s">
        <v>753</v>
      </c>
      <c r="W5" s="31" t="s">
        <v>754</v>
      </c>
    </row>
    <row r="6" spans="1:23" x14ac:dyDescent="0.25">
      <c r="A6" s="265">
        <v>2025</v>
      </c>
      <c r="B6" s="185">
        <v>142575377.7487793</v>
      </c>
      <c r="C6" s="185">
        <v>4720518708.1871643</v>
      </c>
      <c r="D6" s="236"/>
      <c r="E6" s="265">
        <v>2025</v>
      </c>
      <c r="F6" s="185">
        <v>142575377.7487793</v>
      </c>
      <c r="G6" s="185">
        <v>4720518708.1871643</v>
      </c>
      <c r="H6" s="185">
        <f>$C6-G6</f>
        <v>0</v>
      </c>
      <c r="J6" s="265">
        <v>2025</v>
      </c>
      <c r="K6" s="185">
        <v>142575377.7487793</v>
      </c>
      <c r="L6" s="185">
        <v>4720518708.1871643</v>
      </c>
      <c r="M6" s="185">
        <f>$C6-L6</f>
        <v>0</v>
      </c>
      <c r="O6" s="265">
        <v>2025</v>
      </c>
      <c r="P6" s="185">
        <v>142575377.7487793</v>
      </c>
      <c r="Q6" s="185">
        <v>4720518708.1871643</v>
      </c>
      <c r="R6" s="185">
        <f>$C6-Q6</f>
        <v>0</v>
      </c>
      <c r="T6" s="265">
        <v>2025</v>
      </c>
      <c r="U6" s="185">
        <v>142575377.7487793</v>
      </c>
      <c r="V6" s="185">
        <v>4720518708.1871643</v>
      </c>
      <c r="W6" s="185">
        <f>$C6-V6</f>
        <v>0</v>
      </c>
    </row>
    <row r="7" spans="1:23" x14ac:dyDescent="0.25">
      <c r="A7" s="265">
        <v>2026</v>
      </c>
      <c r="B7" s="185">
        <v>142874686.82250977</v>
      </c>
      <c r="C7" s="185">
        <v>4857967195.0858297</v>
      </c>
      <c r="D7" s="236"/>
      <c r="E7" s="265">
        <v>2026</v>
      </c>
      <c r="F7" s="185">
        <v>142874686.82250977</v>
      </c>
      <c r="G7" s="185">
        <v>4857967195.0858297</v>
      </c>
      <c r="H7" s="185">
        <f t="shared" ref="H7:H30" si="0">$C7-G7</f>
        <v>0</v>
      </c>
      <c r="J7" s="265">
        <v>2026</v>
      </c>
      <c r="K7" s="185">
        <v>142874686.82250977</v>
      </c>
      <c r="L7" s="185">
        <v>4857967195.0858297</v>
      </c>
      <c r="M7" s="185">
        <f t="shared" ref="M7:M31" si="1">$C7-L7</f>
        <v>0</v>
      </c>
      <c r="O7" s="265">
        <v>2026</v>
      </c>
      <c r="P7" s="185">
        <v>142874686.82250977</v>
      </c>
      <c r="Q7" s="185">
        <v>4857967195.0858297</v>
      </c>
      <c r="R7" s="185">
        <f t="shared" ref="R7:R31" si="2">$C7-Q7</f>
        <v>0</v>
      </c>
      <c r="T7" s="265">
        <v>2026</v>
      </c>
      <c r="U7" s="185">
        <v>142874686.82250977</v>
      </c>
      <c r="V7" s="185">
        <v>4857967195.0858297</v>
      </c>
      <c r="W7" s="185">
        <f t="shared" ref="W7:W31" si="3">$C7-V7</f>
        <v>0</v>
      </c>
    </row>
    <row r="8" spans="1:23" x14ac:dyDescent="0.25">
      <c r="A8" s="265">
        <v>2027</v>
      </c>
      <c r="B8" s="185">
        <v>143316431.55468753</v>
      </c>
      <c r="C8" s="185">
        <v>4608040269.4370785</v>
      </c>
      <c r="D8" s="236"/>
      <c r="E8" s="265">
        <v>2027</v>
      </c>
      <c r="F8" s="185">
        <v>143316431.55468753</v>
      </c>
      <c r="G8" s="185">
        <v>4608040269.4370785</v>
      </c>
      <c r="H8" s="185">
        <f t="shared" si="0"/>
        <v>0</v>
      </c>
      <c r="J8" s="265">
        <v>2027</v>
      </c>
      <c r="K8" s="185">
        <v>143316431.55468753</v>
      </c>
      <c r="L8" s="185">
        <v>4608040269.4370785</v>
      </c>
      <c r="M8" s="185">
        <f t="shared" si="1"/>
        <v>0</v>
      </c>
      <c r="O8" s="265">
        <v>2027</v>
      </c>
      <c r="P8" s="185">
        <v>143316431.55468753</v>
      </c>
      <c r="Q8" s="185">
        <v>4608040269.4370785</v>
      </c>
      <c r="R8" s="185">
        <f t="shared" si="2"/>
        <v>0</v>
      </c>
      <c r="T8" s="265">
        <v>2027</v>
      </c>
      <c r="U8" s="185">
        <v>143316431.55468753</v>
      </c>
      <c r="V8" s="185">
        <v>4608040269.4370785</v>
      </c>
      <c r="W8" s="185">
        <f t="shared" si="3"/>
        <v>0</v>
      </c>
    </row>
    <row r="9" spans="1:23" x14ac:dyDescent="0.25">
      <c r="A9" s="265">
        <v>2028</v>
      </c>
      <c r="B9" s="185">
        <v>144030323.86303714</v>
      </c>
      <c r="C9" s="185">
        <v>4655466411.6985703</v>
      </c>
      <c r="D9" s="236"/>
      <c r="E9" s="265">
        <v>2028</v>
      </c>
      <c r="F9" s="185">
        <v>144030323.86303714</v>
      </c>
      <c r="G9" s="185">
        <v>4655466411.6985703</v>
      </c>
      <c r="H9" s="185">
        <f t="shared" si="0"/>
        <v>0</v>
      </c>
      <c r="J9" s="265">
        <v>2028</v>
      </c>
      <c r="K9" s="185">
        <v>144030323.86303714</v>
      </c>
      <c r="L9" s="185">
        <v>4655466411.6985703</v>
      </c>
      <c r="M9" s="185">
        <f t="shared" si="1"/>
        <v>0</v>
      </c>
      <c r="O9" s="265">
        <v>2028</v>
      </c>
      <c r="P9" s="185">
        <v>144030323.86303714</v>
      </c>
      <c r="Q9" s="185">
        <v>4655466411.6985703</v>
      </c>
      <c r="R9" s="185">
        <f t="shared" si="2"/>
        <v>0</v>
      </c>
      <c r="T9" s="265">
        <v>2028</v>
      </c>
      <c r="U9" s="185">
        <v>144030323.86303714</v>
      </c>
      <c r="V9" s="185">
        <v>4655466411.6985703</v>
      </c>
      <c r="W9" s="185">
        <f t="shared" si="3"/>
        <v>0</v>
      </c>
    </row>
    <row r="10" spans="1:23" x14ac:dyDescent="0.25">
      <c r="A10" s="265">
        <v>2029</v>
      </c>
      <c r="B10" s="185">
        <v>144151298.89819336</v>
      </c>
      <c r="C10" s="185">
        <v>4768693401.7547617</v>
      </c>
      <c r="D10" s="236"/>
      <c r="E10" s="265">
        <v>2029</v>
      </c>
      <c r="F10" s="185">
        <v>144151298.89819336</v>
      </c>
      <c r="G10" s="185">
        <v>4768684724.5568075</v>
      </c>
      <c r="H10" s="185">
        <f t="shared" si="0"/>
        <v>8677.1979541778564</v>
      </c>
      <c r="J10" s="265">
        <v>2029</v>
      </c>
      <c r="K10" s="185">
        <v>144151298.89819336</v>
      </c>
      <c r="L10" s="185">
        <v>4768687368.973175</v>
      </c>
      <c r="M10" s="185">
        <f t="shared" si="1"/>
        <v>6032.7815866470337</v>
      </c>
      <c r="O10" s="265">
        <v>2029</v>
      </c>
      <c r="P10" s="185">
        <v>144151298.89819336</v>
      </c>
      <c r="Q10" s="185">
        <v>4768706686.7165871</v>
      </c>
      <c r="R10" s="185">
        <f t="shared" si="2"/>
        <v>-13284.961825370789</v>
      </c>
      <c r="T10" s="265">
        <v>2029</v>
      </c>
      <c r="U10" s="185">
        <v>144151298.89819336</v>
      </c>
      <c r="V10" s="185">
        <v>4768657728.3210125</v>
      </c>
      <c r="W10" s="185">
        <f t="shared" si="3"/>
        <v>35673.433749198914</v>
      </c>
    </row>
    <row r="11" spans="1:23" x14ac:dyDescent="0.25">
      <c r="A11" s="265">
        <v>2030</v>
      </c>
      <c r="B11" s="185">
        <v>144388481.76147464</v>
      </c>
      <c r="C11" s="185">
        <v>4788661862.690547</v>
      </c>
      <c r="D11" s="236"/>
      <c r="E11" s="265">
        <v>2030</v>
      </c>
      <c r="F11" s="185">
        <v>144388481.76147464</v>
      </c>
      <c r="G11" s="185">
        <v>4773885850.1059895</v>
      </c>
      <c r="H11" s="185">
        <f t="shared" si="0"/>
        <v>14776012.584557533</v>
      </c>
      <c r="J11" s="265">
        <v>2030</v>
      </c>
      <c r="K11" s="185">
        <v>144388481.76147464</v>
      </c>
      <c r="L11" s="185">
        <v>4764115227.7283421</v>
      </c>
      <c r="M11" s="185">
        <f t="shared" si="1"/>
        <v>24546634.962204933</v>
      </c>
      <c r="O11" s="265">
        <v>2030</v>
      </c>
      <c r="P11" s="185">
        <v>144388481.76147464</v>
      </c>
      <c r="Q11" s="185">
        <v>4627910903.4423647</v>
      </c>
      <c r="R11" s="185">
        <f t="shared" si="2"/>
        <v>160750959.2481823</v>
      </c>
      <c r="T11" s="265">
        <v>2030</v>
      </c>
      <c r="U11" s="185">
        <v>144388481.76147464</v>
      </c>
      <c r="V11" s="185">
        <v>4603063079.9905005</v>
      </c>
      <c r="W11" s="185">
        <f t="shared" si="3"/>
        <v>185598782.70004654</v>
      </c>
    </row>
    <row r="12" spans="1:23" x14ac:dyDescent="0.25">
      <c r="A12" s="265">
        <v>2031</v>
      </c>
      <c r="B12" s="185">
        <v>144346943.70068362</v>
      </c>
      <c r="C12" s="185">
        <v>4798778133.8724852</v>
      </c>
      <c r="D12" s="236"/>
      <c r="E12" s="265">
        <v>2031</v>
      </c>
      <c r="F12" s="185">
        <v>144346943.70068362</v>
      </c>
      <c r="G12" s="185">
        <v>4810350933.4189711</v>
      </c>
      <c r="H12" s="185">
        <f t="shared" si="0"/>
        <v>-11572799.546485901</v>
      </c>
      <c r="J12" s="265">
        <v>2031</v>
      </c>
      <c r="K12" s="185">
        <v>144346943.70068362</v>
      </c>
      <c r="L12" s="185">
        <v>4788229410.6732616</v>
      </c>
      <c r="M12" s="185">
        <f t="shared" si="1"/>
        <v>10548723.199223518</v>
      </c>
      <c r="O12" s="265">
        <v>2031</v>
      </c>
      <c r="P12" s="185">
        <v>144346943.70068362</v>
      </c>
      <c r="Q12" s="185">
        <v>4659930719.0724611</v>
      </c>
      <c r="R12" s="185">
        <f t="shared" si="2"/>
        <v>138847414.80002403</v>
      </c>
      <c r="T12" s="265">
        <v>2031</v>
      </c>
      <c r="U12" s="185">
        <v>144346943.70068362</v>
      </c>
      <c r="V12" s="185">
        <v>4650553061.6569138</v>
      </c>
      <c r="W12" s="185">
        <f t="shared" si="3"/>
        <v>148225072.2155714</v>
      </c>
    </row>
    <row r="13" spans="1:23" x14ac:dyDescent="0.25">
      <c r="A13" s="265">
        <v>2032</v>
      </c>
      <c r="B13" s="185">
        <v>144564041.41137695</v>
      </c>
      <c r="C13" s="185">
        <v>4847447322.8490458</v>
      </c>
      <c r="D13" s="236"/>
      <c r="E13" s="265">
        <v>2032</v>
      </c>
      <c r="F13" s="185">
        <v>144564041.41137695</v>
      </c>
      <c r="G13" s="185">
        <v>4816770576.1782751</v>
      </c>
      <c r="H13" s="185">
        <f t="shared" si="0"/>
        <v>30676746.670770645</v>
      </c>
      <c r="J13" s="265">
        <v>2032</v>
      </c>
      <c r="K13" s="185">
        <v>144564041.41137695</v>
      </c>
      <c r="L13" s="185">
        <v>4779849918.4334612</v>
      </c>
      <c r="M13" s="185">
        <f t="shared" si="1"/>
        <v>67597404.415584564</v>
      </c>
      <c r="O13" s="265">
        <v>2032</v>
      </c>
      <c r="P13" s="185">
        <v>144564041.41137695</v>
      </c>
      <c r="Q13" s="185">
        <v>4672356519.7606764</v>
      </c>
      <c r="R13" s="185">
        <f t="shared" si="2"/>
        <v>175090803.08836937</v>
      </c>
      <c r="T13" s="265">
        <v>2032</v>
      </c>
      <c r="U13" s="185">
        <v>144564041.41137695</v>
      </c>
      <c r="V13" s="185">
        <v>4640221757.9638348</v>
      </c>
      <c r="W13" s="185">
        <f t="shared" si="3"/>
        <v>207225564.88521099</v>
      </c>
    </row>
    <row r="14" spans="1:23" x14ac:dyDescent="0.25">
      <c r="A14" s="265">
        <v>2033</v>
      </c>
      <c r="B14" s="185">
        <v>144234393.96582034</v>
      </c>
      <c r="C14" s="185">
        <v>4977522944.0379362</v>
      </c>
      <c r="D14" s="236"/>
      <c r="E14" s="265">
        <v>2033</v>
      </c>
      <c r="F14" s="185">
        <v>144234393.96582034</v>
      </c>
      <c r="G14" s="185">
        <v>4971981343.196475</v>
      </c>
      <c r="H14" s="185">
        <f t="shared" si="0"/>
        <v>5541600.8414611816</v>
      </c>
      <c r="J14" s="265">
        <v>2033</v>
      </c>
      <c r="K14" s="185">
        <v>144234393.96582034</v>
      </c>
      <c r="L14" s="185">
        <v>4945968284.6160946</v>
      </c>
      <c r="M14" s="185">
        <f t="shared" si="1"/>
        <v>31554659.421841621</v>
      </c>
      <c r="O14" s="265">
        <v>2033</v>
      </c>
      <c r="P14" s="185">
        <v>144234393.96582034</v>
      </c>
      <c r="Q14" s="185">
        <v>4822969355.2901716</v>
      </c>
      <c r="R14" s="185">
        <f t="shared" si="2"/>
        <v>154553588.74776459</v>
      </c>
      <c r="T14" s="265">
        <v>2033</v>
      </c>
      <c r="U14" s="185">
        <v>144234393.96582034</v>
      </c>
      <c r="V14" s="185">
        <v>4811102771.3538208</v>
      </c>
      <c r="W14" s="185">
        <f t="shared" si="3"/>
        <v>166420172.68411541</v>
      </c>
    </row>
    <row r="15" spans="1:23" x14ac:dyDescent="0.25">
      <c r="A15" s="265">
        <v>2034</v>
      </c>
      <c r="B15" s="185">
        <v>144411538.11816409</v>
      </c>
      <c r="C15" s="185">
        <v>5093175740.3152008</v>
      </c>
      <c r="D15" s="236"/>
      <c r="E15" s="265">
        <v>2034</v>
      </c>
      <c r="F15" s="185">
        <v>144411538.11816409</v>
      </c>
      <c r="G15" s="185">
        <v>5103674806.4491301</v>
      </c>
      <c r="H15" s="185">
        <f t="shared" si="0"/>
        <v>-10499066.133929253</v>
      </c>
      <c r="J15" s="265">
        <v>2034</v>
      </c>
      <c r="K15" s="185">
        <v>144411538.11816409</v>
      </c>
      <c r="L15" s="185">
        <v>5047935263.4095497</v>
      </c>
      <c r="M15" s="185">
        <f t="shared" si="1"/>
        <v>45240476.905651093</v>
      </c>
      <c r="O15" s="265">
        <v>2034</v>
      </c>
      <c r="P15" s="185">
        <v>144411538.11816409</v>
      </c>
      <c r="Q15" s="185">
        <v>4917554163.0899496</v>
      </c>
      <c r="R15" s="185">
        <f t="shared" si="2"/>
        <v>175621577.2252512</v>
      </c>
      <c r="T15" s="265">
        <v>2034</v>
      </c>
      <c r="U15" s="185">
        <v>144411538.11816409</v>
      </c>
      <c r="V15" s="185">
        <v>4899114807.4992971</v>
      </c>
      <c r="W15" s="185">
        <f t="shared" si="3"/>
        <v>194060932.81590366</v>
      </c>
    </row>
    <row r="16" spans="1:23" x14ac:dyDescent="0.25">
      <c r="A16" s="265">
        <v>2035</v>
      </c>
      <c r="B16" s="185">
        <v>144778102.8269043</v>
      </c>
      <c r="C16" s="185">
        <v>5230031673.8673201</v>
      </c>
      <c r="D16" s="236"/>
      <c r="E16" s="265">
        <v>2035</v>
      </c>
      <c r="F16" s="185">
        <v>144778102.8269043</v>
      </c>
      <c r="G16" s="185">
        <v>5216553374.9126797</v>
      </c>
      <c r="H16" s="185">
        <f t="shared" si="0"/>
        <v>13478298.954640388</v>
      </c>
      <c r="J16" s="265">
        <v>2035</v>
      </c>
      <c r="K16" s="185">
        <v>144778102.8269043</v>
      </c>
      <c r="L16" s="185">
        <v>5186323676.9705067</v>
      </c>
      <c r="M16" s="185">
        <f t="shared" si="1"/>
        <v>43707996.896813393</v>
      </c>
      <c r="O16" s="265">
        <v>2035</v>
      </c>
      <c r="P16" s="185">
        <v>144778102.8269043</v>
      </c>
      <c r="Q16" s="185">
        <v>5042583477.1745749</v>
      </c>
      <c r="R16" s="185">
        <f t="shared" si="2"/>
        <v>187448196.69274521</v>
      </c>
      <c r="T16" s="265">
        <v>2035</v>
      </c>
      <c r="U16" s="185">
        <v>144778102.8269043</v>
      </c>
      <c r="V16" s="185">
        <v>5023730021.1371908</v>
      </c>
      <c r="W16" s="185">
        <f t="shared" si="3"/>
        <v>206301652.73012924</v>
      </c>
    </row>
    <row r="17" spans="1:23" x14ac:dyDescent="0.25">
      <c r="A17" s="265">
        <v>2036</v>
      </c>
      <c r="B17" s="185">
        <v>145513035.58959961</v>
      </c>
      <c r="C17" s="185">
        <v>5397398886.4157906</v>
      </c>
      <c r="D17" s="236"/>
      <c r="E17" s="265">
        <v>2036</v>
      </c>
      <c r="F17" s="185">
        <v>145513035.58959961</v>
      </c>
      <c r="G17" s="185">
        <v>5385997548.3057432</v>
      </c>
      <c r="H17" s="185">
        <f t="shared" si="0"/>
        <v>11401338.11004734</v>
      </c>
      <c r="J17" s="265">
        <v>2036</v>
      </c>
      <c r="K17" s="185">
        <v>145513035.58959961</v>
      </c>
      <c r="L17" s="185">
        <v>5354814658.1994724</v>
      </c>
      <c r="M17" s="185">
        <f t="shared" si="1"/>
        <v>42584228.21631813</v>
      </c>
      <c r="O17" s="265">
        <v>2036</v>
      </c>
      <c r="P17" s="185">
        <v>145513035.58959961</v>
      </c>
      <c r="Q17" s="185">
        <v>5201982337.2914762</v>
      </c>
      <c r="R17" s="185">
        <f t="shared" si="2"/>
        <v>195416549.12431431</v>
      </c>
      <c r="T17" s="265">
        <v>2036</v>
      </c>
      <c r="U17" s="185">
        <v>145513035.58959961</v>
      </c>
      <c r="V17" s="185">
        <v>5186503458.3273983</v>
      </c>
      <c r="W17" s="185">
        <f t="shared" si="3"/>
        <v>210895428.08839226</v>
      </c>
    </row>
    <row r="18" spans="1:23" x14ac:dyDescent="0.25">
      <c r="A18" s="265">
        <v>2037</v>
      </c>
      <c r="B18" s="185">
        <v>145602756.42968753</v>
      </c>
      <c r="C18" s="185">
        <v>5457835719.6887865</v>
      </c>
      <c r="D18" s="236"/>
      <c r="E18" s="265">
        <v>2037</v>
      </c>
      <c r="F18" s="185">
        <v>145602756.42968753</v>
      </c>
      <c r="G18" s="185">
        <v>5468700298.6378107</v>
      </c>
      <c r="H18" s="185">
        <f t="shared" si="0"/>
        <v>-10864578.9490242</v>
      </c>
      <c r="J18" s="265">
        <v>2037</v>
      </c>
      <c r="K18" s="185">
        <v>145602756.42968753</v>
      </c>
      <c r="L18" s="185">
        <v>5449942784.5477619</v>
      </c>
      <c r="M18" s="185">
        <f t="shared" si="1"/>
        <v>7892935.1410245895</v>
      </c>
      <c r="O18" s="265">
        <v>2037</v>
      </c>
      <c r="P18" s="185">
        <v>145602756.42968753</v>
      </c>
      <c r="Q18" s="185">
        <v>5250411675.6355658</v>
      </c>
      <c r="R18" s="185">
        <f t="shared" si="2"/>
        <v>207424044.05322075</v>
      </c>
      <c r="T18" s="265">
        <v>2037</v>
      </c>
      <c r="U18" s="185">
        <v>145602756.42968753</v>
      </c>
      <c r="V18" s="185">
        <v>5251580331.9075041</v>
      </c>
      <c r="W18" s="185">
        <f t="shared" si="3"/>
        <v>206255387.78128242</v>
      </c>
    </row>
    <row r="19" spans="1:23" x14ac:dyDescent="0.25">
      <c r="A19" s="265">
        <v>2038</v>
      </c>
      <c r="B19" s="185">
        <v>146065497.0749512</v>
      </c>
      <c r="C19" s="185">
        <v>5717505083.4862938</v>
      </c>
      <c r="D19" s="236"/>
      <c r="E19" s="265">
        <v>2038</v>
      </c>
      <c r="F19" s="185">
        <v>146065497.0749512</v>
      </c>
      <c r="G19" s="185">
        <v>5713516487.1900949</v>
      </c>
      <c r="H19" s="185">
        <f t="shared" si="0"/>
        <v>3988596.2961988449</v>
      </c>
      <c r="J19" s="265">
        <v>2038</v>
      </c>
      <c r="K19" s="185">
        <v>146065497.0749512</v>
      </c>
      <c r="L19" s="185">
        <v>5710837188.7158041</v>
      </c>
      <c r="M19" s="185">
        <f t="shared" si="1"/>
        <v>6667894.7704896927</v>
      </c>
      <c r="O19" s="265">
        <v>2038</v>
      </c>
      <c r="P19" s="185">
        <v>146065497.0749512</v>
      </c>
      <c r="Q19" s="185">
        <v>5506287924.9328384</v>
      </c>
      <c r="R19" s="185">
        <f t="shared" si="2"/>
        <v>211217158.55345535</v>
      </c>
      <c r="T19" s="265">
        <v>2038</v>
      </c>
      <c r="U19" s="185">
        <v>146065497.0749512</v>
      </c>
      <c r="V19" s="185">
        <v>5508819519.15236</v>
      </c>
      <c r="W19" s="185">
        <f t="shared" si="3"/>
        <v>208685564.33393383</v>
      </c>
    </row>
    <row r="20" spans="1:23" x14ac:dyDescent="0.25">
      <c r="A20" s="265">
        <v>2039</v>
      </c>
      <c r="B20" s="185">
        <v>146171310.56640625</v>
      </c>
      <c r="C20" s="185">
        <v>5773561509.7968607</v>
      </c>
      <c r="D20" s="236"/>
      <c r="E20" s="265">
        <v>2039</v>
      </c>
      <c r="F20" s="185">
        <v>146171310.56640625</v>
      </c>
      <c r="G20" s="185">
        <v>5748290211.352334</v>
      </c>
      <c r="H20" s="185">
        <f t="shared" si="0"/>
        <v>25271298.444526672</v>
      </c>
      <c r="J20" s="265">
        <v>2039</v>
      </c>
      <c r="K20" s="185">
        <v>146171310.56640625</v>
      </c>
      <c r="L20" s="185">
        <v>5757229778.3501348</v>
      </c>
      <c r="M20" s="185">
        <f t="shared" si="1"/>
        <v>16331731.446725845</v>
      </c>
      <c r="O20" s="265">
        <v>2039</v>
      </c>
      <c r="P20" s="185">
        <v>146171310.56640625</v>
      </c>
      <c r="Q20" s="185">
        <v>5528089505.6882839</v>
      </c>
      <c r="R20" s="185">
        <f t="shared" si="2"/>
        <v>245472004.10857677</v>
      </c>
      <c r="T20" s="265">
        <v>2039</v>
      </c>
      <c r="U20" s="185">
        <v>146171310.56640625</v>
      </c>
      <c r="V20" s="185">
        <v>5559612584.6887817</v>
      </c>
      <c r="W20" s="185">
        <f t="shared" si="3"/>
        <v>213948925.10807896</v>
      </c>
    </row>
    <row r="21" spans="1:23" x14ac:dyDescent="0.25">
      <c r="A21" s="265">
        <v>2040</v>
      </c>
      <c r="B21" s="185">
        <v>146285295.50097656</v>
      </c>
      <c r="C21" s="185">
        <v>6067681037.7501774</v>
      </c>
      <c r="D21" s="236"/>
      <c r="E21" s="265">
        <v>2040</v>
      </c>
      <c r="F21" s="185">
        <v>146285295.50097656</v>
      </c>
      <c r="G21" s="185">
        <v>6071889077.9652643</v>
      </c>
      <c r="H21" s="185">
        <f t="shared" si="0"/>
        <v>-4208040.215086937</v>
      </c>
      <c r="J21" s="265">
        <v>2040</v>
      </c>
      <c r="K21" s="185">
        <v>146285295.50097656</v>
      </c>
      <c r="L21" s="185">
        <v>6064057439.1262646</v>
      </c>
      <c r="M21" s="185">
        <f t="shared" si="1"/>
        <v>3623598.6239128113</v>
      </c>
      <c r="O21" s="265">
        <v>2040</v>
      </c>
      <c r="P21" s="185">
        <v>146285295.50097656</v>
      </c>
      <c r="Q21" s="185">
        <v>5795288448.8470888</v>
      </c>
      <c r="R21" s="185">
        <f t="shared" si="2"/>
        <v>272392588.90308857</v>
      </c>
      <c r="T21" s="265">
        <v>2040</v>
      </c>
      <c r="U21" s="185">
        <v>146285295.50097656</v>
      </c>
      <c r="V21" s="185">
        <v>5812935205.2676916</v>
      </c>
      <c r="W21" s="185">
        <f t="shared" si="3"/>
        <v>254745832.48248577</v>
      </c>
    </row>
    <row r="22" spans="1:23" x14ac:dyDescent="0.25">
      <c r="A22" s="265">
        <v>2041</v>
      </c>
      <c r="B22" s="185">
        <v>146443661.28417969</v>
      </c>
      <c r="C22" s="185">
        <v>6423015552.1220207</v>
      </c>
      <c r="D22" s="236"/>
      <c r="E22" s="265">
        <v>2041</v>
      </c>
      <c r="F22" s="185">
        <v>146443642.40234375</v>
      </c>
      <c r="G22" s="185">
        <v>6396538922.0645781</v>
      </c>
      <c r="H22" s="185">
        <f t="shared" si="0"/>
        <v>26476630.057442665</v>
      </c>
      <c r="J22" s="265">
        <v>2041</v>
      </c>
      <c r="K22" s="185">
        <v>146443661.28417969</v>
      </c>
      <c r="L22" s="185">
        <v>6396582066.3418102</v>
      </c>
      <c r="M22" s="185">
        <f t="shared" si="1"/>
        <v>26433485.780210495</v>
      </c>
      <c r="O22" s="265">
        <v>2041</v>
      </c>
      <c r="P22" s="185">
        <v>146443661.28417969</v>
      </c>
      <c r="Q22" s="185">
        <v>6115070985.6496143</v>
      </c>
      <c r="R22" s="185">
        <f t="shared" si="2"/>
        <v>307944566.47240639</v>
      </c>
      <c r="T22" s="265">
        <v>2041</v>
      </c>
      <c r="U22" s="185">
        <v>146443661.28417969</v>
      </c>
      <c r="V22" s="185">
        <v>6154238450.2162561</v>
      </c>
      <c r="W22" s="185">
        <f t="shared" si="3"/>
        <v>268777101.90576458</v>
      </c>
    </row>
    <row r="23" spans="1:23" x14ac:dyDescent="0.25">
      <c r="A23" s="265">
        <v>2042</v>
      </c>
      <c r="B23" s="185">
        <v>146615165.25048828</v>
      </c>
      <c r="C23" s="185">
        <v>6475271596.7588968</v>
      </c>
      <c r="D23" s="236"/>
      <c r="E23" s="265">
        <v>2042</v>
      </c>
      <c r="F23" s="185">
        <v>146615165.25048828</v>
      </c>
      <c r="G23" s="185">
        <v>6459676109.0426435</v>
      </c>
      <c r="H23" s="185">
        <f t="shared" si="0"/>
        <v>15595487.716253281</v>
      </c>
      <c r="J23" s="265">
        <v>2042</v>
      </c>
      <c r="K23" s="185">
        <v>146615165.25048828</v>
      </c>
      <c r="L23" s="185">
        <v>6496643237.9030495</v>
      </c>
      <c r="M23" s="185">
        <f t="shared" si="1"/>
        <v>-21371641.144152641</v>
      </c>
      <c r="O23" s="265">
        <v>2042</v>
      </c>
      <c r="P23" s="185">
        <v>146615165.25048828</v>
      </c>
      <c r="Q23" s="185">
        <v>6174148756.1103334</v>
      </c>
      <c r="R23" s="185">
        <f t="shared" si="2"/>
        <v>301122840.64856339</v>
      </c>
      <c r="T23" s="265">
        <v>2042</v>
      </c>
      <c r="U23" s="185">
        <v>146615165.25048828</v>
      </c>
      <c r="V23" s="185">
        <v>6217114986.5112553</v>
      </c>
      <c r="W23" s="185">
        <f t="shared" si="3"/>
        <v>258156610.24764156</v>
      </c>
    </row>
    <row r="24" spans="1:23" x14ac:dyDescent="0.25">
      <c r="A24" s="265">
        <v>2043</v>
      </c>
      <c r="B24" s="185">
        <v>146666337.19018555</v>
      </c>
      <c r="C24" s="185">
        <v>6697595572.1464214</v>
      </c>
      <c r="D24" s="236"/>
      <c r="E24" s="265">
        <v>2043</v>
      </c>
      <c r="F24" s="185">
        <v>146666337.19018555</v>
      </c>
      <c r="G24" s="185">
        <v>6659380127.0249233</v>
      </c>
      <c r="H24" s="185">
        <f t="shared" si="0"/>
        <v>38215445.121498108</v>
      </c>
      <c r="J24" s="265">
        <v>2043</v>
      </c>
      <c r="K24" s="185">
        <v>146666337.19018555</v>
      </c>
      <c r="L24" s="185">
        <v>6711827540.6906519</v>
      </c>
      <c r="M24" s="185">
        <f t="shared" si="1"/>
        <v>-14231968.544230461</v>
      </c>
      <c r="O24" s="265">
        <v>2043</v>
      </c>
      <c r="P24" s="185">
        <v>146666337.19018555</v>
      </c>
      <c r="Q24" s="185">
        <v>6378448749.0507307</v>
      </c>
      <c r="R24" s="185">
        <f t="shared" si="2"/>
        <v>319146823.09569073</v>
      </c>
      <c r="T24" s="265">
        <v>2043</v>
      </c>
      <c r="U24" s="185">
        <v>146666337.19018555</v>
      </c>
      <c r="V24" s="185">
        <v>6461952109.0408974</v>
      </c>
      <c r="W24" s="185">
        <f t="shared" si="3"/>
        <v>235643463.10552406</v>
      </c>
    </row>
    <row r="25" spans="1:23" x14ac:dyDescent="0.25">
      <c r="A25" s="265">
        <v>2044</v>
      </c>
      <c r="B25" s="185">
        <v>146719904.00195313</v>
      </c>
      <c r="C25" s="185">
        <v>6811781668.4249315</v>
      </c>
      <c r="D25" s="236"/>
      <c r="E25" s="265">
        <v>2044</v>
      </c>
      <c r="F25" s="185">
        <v>146719904.00195313</v>
      </c>
      <c r="G25" s="185">
        <v>6829458141.139019</v>
      </c>
      <c r="H25" s="185">
        <f t="shared" si="0"/>
        <v>-17676472.714087486</v>
      </c>
      <c r="J25" s="265">
        <v>2044</v>
      </c>
      <c r="K25" s="185">
        <v>146719904.00195313</v>
      </c>
      <c r="L25" s="185">
        <v>6852103270.7585154</v>
      </c>
      <c r="M25" s="185">
        <f t="shared" si="1"/>
        <v>-40321602.333583832</v>
      </c>
      <c r="O25" s="265">
        <v>2044</v>
      </c>
      <c r="P25" s="185">
        <v>146719904.00195313</v>
      </c>
      <c r="Q25" s="185">
        <v>6562378668.9657402</v>
      </c>
      <c r="R25" s="185">
        <f t="shared" si="2"/>
        <v>249402999.45919132</v>
      </c>
      <c r="T25" s="265">
        <v>2044</v>
      </c>
      <c r="U25" s="185">
        <v>146719904.00195313</v>
      </c>
      <c r="V25" s="185">
        <v>6568166928.3515091</v>
      </c>
      <c r="W25" s="185">
        <f t="shared" si="3"/>
        <v>243614740.07342243</v>
      </c>
    </row>
    <row r="26" spans="1:23" x14ac:dyDescent="0.25">
      <c r="A26" s="265">
        <v>2045</v>
      </c>
      <c r="B26" s="185">
        <v>146844973.31616214</v>
      </c>
      <c r="C26" s="185">
        <v>7637684478.8240566</v>
      </c>
      <c r="D26" s="236"/>
      <c r="E26" s="265">
        <v>2045</v>
      </c>
      <c r="F26" s="185">
        <v>146844958.77709964</v>
      </c>
      <c r="G26" s="185">
        <v>7614671471.283186</v>
      </c>
      <c r="H26" s="185">
        <f t="shared" si="0"/>
        <v>23013007.540870667</v>
      </c>
      <c r="J26" s="265">
        <v>2045</v>
      </c>
      <c r="K26" s="185">
        <v>146845004.65014651</v>
      </c>
      <c r="L26" s="185">
        <v>7561866150.2313881</v>
      </c>
      <c r="M26" s="185">
        <f t="shared" si="1"/>
        <v>75818328.592668533</v>
      </c>
      <c r="O26" s="265">
        <v>2045</v>
      </c>
      <c r="P26" s="185">
        <v>146845004.65014651</v>
      </c>
      <c r="Q26" s="185">
        <v>7203708065.2854118</v>
      </c>
      <c r="R26" s="185">
        <f t="shared" si="2"/>
        <v>433976413.53864479</v>
      </c>
      <c r="T26" s="265">
        <v>2045</v>
      </c>
      <c r="U26" s="185">
        <v>146845004.65014651</v>
      </c>
      <c r="V26" s="185">
        <v>7149293037.8351488</v>
      </c>
      <c r="W26" s="185">
        <f t="shared" si="3"/>
        <v>488391440.98890781</v>
      </c>
    </row>
    <row r="27" spans="1:23" x14ac:dyDescent="0.25">
      <c r="A27" s="265">
        <v>2046</v>
      </c>
      <c r="B27" s="185">
        <v>146952757.44067386</v>
      </c>
      <c r="C27" s="185">
        <v>7952293748.6357317</v>
      </c>
      <c r="D27" s="236"/>
      <c r="E27" s="265">
        <v>2046</v>
      </c>
      <c r="F27" s="185">
        <v>146952948.04858401</v>
      </c>
      <c r="G27" s="185">
        <v>7924029373.0739803</v>
      </c>
      <c r="H27" s="185">
        <f t="shared" si="0"/>
        <v>28264375.561751366</v>
      </c>
      <c r="J27" s="265">
        <v>2046</v>
      </c>
      <c r="K27" s="185">
        <v>146953156.7937012</v>
      </c>
      <c r="L27" s="185">
        <v>7818270433.7429819</v>
      </c>
      <c r="M27" s="185">
        <f t="shared" si="1"/>
        <v>134023314.89274979</v>
      </c>
      <c r="O27" s="265">
        <v>2046</v>
      </c>
      <c r="P27" s="185">
        <v>146953156.7937012</v>
      </c>
      <c r="Q27" s="185">
        <v>7443495713.0809002</v>
      </c>
      <c r="R27" s="185">
        <f t="shared" si="2"/>
        <v>508798035.5548315</v>
      </c>
      <c r="T27" s="265">
        <v>2046</v>
      </c>
      <c r="U27" s="185">
        <v>146953156.7937012</v>
      </c>
      <c r="V27" s="185">
        <v>7394630166.7095346</v>
      </c>
      <c r="W27" s="185">
        <f t="shared" si="3"/>
        <v>557663581.92619705</v>
      </c>
    </row>
    <row r="28" spans="1:23" x14ac:dyDescent="0.25">
      <c r="A28" s="265">
        <v>2047</v>
      </c>
      <c r="B28" s="185">
        <v>147049023.59375</v>
      </c>
      <c r="C28" s="185">
        <v>8132662979.152566</v>
      </c>
      <c r="D28" s="236"/>
      <c r="E28" s="265">
        <v>2047</v>
      </c>
      <c r="F28" s="185">
        <v>147049003.21435547</v>
      </c>
      <c r="G28" s="185">
        <v>8104982802.96556</v>
      </c>
      <c r="H28" s="185">
        <f t="shared" si="0"/>
        <v>27680176.187005997</v>
      </c>
      <c r="J28" s="265">
        <v>2047</v>
      </c>
      <c r="K28" s="185">
        <v>147049143.15332031</v>
      </c>
      <c r="L28" s="185">
        <v>8039743789.412343</v>
      </c>
      <c r="M28" s="185">
        <f t="shared" si="1"/>
        <v>92919189.740222931</v>
      </c>
      <c r="O28" s="265">
        <v>2047</v>
      </c>
      <c r="P28" s="185">
        <v>147049143.15332031</v>
      </c>
      <c r="Q28" s="185">
        <v>7656073647.6778746</v>
      </c>
      <c r="R28" s="185">
        <f t="shared" si="2"/>
        <v>476589331.47469139</v>
      </c>
      <c r="T28" s="265">
        <v>2047</v>
      </c>
      <c r="U28" s="185">
        <v>147049143.15332031</v>
      </c>
      <c r="V28" s="185">
        <v>7566597587.9246206</v>
      </c>
      <c r="W28" s="185">
        <f t="shared" si="3"/>
        <v>566065391.22794533</v>
      </c>
    </row>
    <row r="29" spans="1:23" x14ac:dyDescent="0.25">
      <c r="A29" s="265">
        <v>2048</v>
      </c>
      <c r="B29" s="185">
        <v>147150746.97583008</v>
      </c>
      <c r="C29" s="185">
        <v>8368795157.8717957</v>
      </c>
      <c r="D29" s="236"/>
      <c r="E29" s="265">
        <v>2048</v>
      </c>
      <c r="F29" s="185">
        <v>147150795.08081055</v>
      </c>
      <c r="G29" s="185">
        <v>8363330248.6953239</v>
      </c>
      <c r="H29" s="185">
        <f t="shared" si="0"/>
        <v>5464909.1764717102</v>
      </c>
      <c r="J29" s="265">
        <v>2048</v>
      </c>
      <c r="K29" s="185">
        <v>147150940.97729492</v>
      </c>
      <c r="L29" s="185">
        <v>8375191946.4300661</v>
      </c>
      <c r="M29" s="185">
        <f t="shared" si="1"/>
        <v>-6396788.5582704544</v>
      </c>
      <c r="O29" s="265">
        <v>2048</v>
      </c>
      <c r="P29" s="185">
        <v>147150940.97729492</v>
      </c>
      <c r="Q29" s="185">
        <v>7847265214.2082844</v>
      </c>
      <c r="R29" s="185">
        <f t="shared" si="2"/>
        <v>521529943.66351128</v>
      </c>
      <c r="T29" s="265">
        <v>2048</v>
      </c>
      <c r="U29" s="185">
        <v>147150940.97729492</v>
      </c>
      <c r="V29" s="185">
        <v>7781182278.590354</v>
      </c>
      <c r="W29" s="185">
        <f t="shared" si="3"/>
        <v>587612879.28144169</v>
      </c>
    </row>
    <row r="30" spans="1:23" x14ac:dyDescent="0.25">
      <c r="A30" s="265">
        <v>2049</v>
      </c>
      <c r="B30" s="185">
        <v>147261440.75244144</v>
      </c>
      <c r="C30" s="185">
        <v>8833152778.6586628</v>
      </c>
      <c r="D30" s="236"/>
      <c r="E30" s="265">
        <v>2049</v>
      </c>
      <c r="F30" s="185">
        <v>147261587.99072266</v>
      </c>
      <c r="G30" s="185">
        <v>8746546395.2009258</v>
      </c>
      <c r="H30" s="185">
        <f t="shared" si="0"/>
        <v>86606383.457736969</v>
      </c>
      <c r="J30" s="265">
        <v>2049</v>
      </c>
      <c r="K30" s="185">
        <v>147261623.67333987</v>
      </c>
      <c r="L30" s="185">
        <v>8641210805.9865856</v>
      </c>
      <c r="M30" s="185">
        <f t="shared" si="1"/>
        <v>191941972.67207718</v>
      </c>
      <c r="O30" s="265">
        <v>2049</v>
      </c>
      <c r="P30" s="185">
        <v>147261623.67333987</v>
      </c>
      <c r="Q30" s="185">
        <v>8217856644.8456059</v>
      </c>
      <c r="R30" s="185">
        <f t="shared" si="2"/>
        <v>615296133.81305695</v>
      </c>
      <c r="T30" s="265">
        <v>2049</v>
      </c>
      <c r="U30" s="185">
        <v>147261623.67333987</v>
      </c>
      <c r="V30" s="185">
        <v>8016722284.8407364</v>
      </c>
      <c r="W30" s="185">
        <f t="shared" si="3"/>
        <v>816430493.81792641</v>
      </c>
    </row>
    <row r="31" spans="1:23" x14ac:dyDescent="0.25">
      <c r="A31" s="266" t="s">
        <v>512</v>
      </c>
      <c r="B31" s="267">
        <f>SUM(B6:B30)</f>
        <v>3635013525.638916</v>
      </c>
      <c r="C31" s="267">
        <f t="shared" ref="C31" si="4">SUM(C6:C30)</f>
        <v>149092539433.52893</v>
      </c>
      <c r="D31" s="236"/>
      <c r="E31" s="266" t="s">
        <v>512</v>
      </c>
      <c r="F31" s="267">
        <f t="shared" ref="F31:G31" si="5">SUM(F6:F30)</f>
        <v>3635013857.7897949</v>
      </c>
      <c r="G31" s="267">
        <f t="shared" si="5"/>
        <v>148790901407.16837</v>
      </c>
      <c r="H31" s="185">
        <f>$C31-G31</f>
        <v>301638026.36056519</v>
      </c>
      <c r="J31" s="266" t="s">
        <v>512</v>
      </c>
      <c r="K31" s="267">
        <f t="shared" ref="K31:L31" si="6">SUM(K6:K30)</f>
        <v>3635014452.8078613</v>
      </c>
      <c r="L31" s="267">
        <f t="shared" si="6"/>
        <v>148353422825.64984</v>
      </c>
      <c r="M31" s="185">
        <f t="shared" si="1"/>
        <v>739116607.87908936</v>
      </c>
      <c r="O31" s="266" t="s">
        <v>512</v>
      </c>
      <c r="P31" s="267">
        <f t="shared" ref="P31:Q31" si="7">SUM(P6:P30)</f>
        <v>3635014452.8078613</v>
      </c>
      <c r="Q31" s="267">
        <f t="shared" si="7"/>
        <v>143234510746.22519</v>
      </c>
      <c r="R31" s="185">
        <f t="shared" si="2"/>
        <v>5858028687.3037415</v>
      </c>
      <c r="T31" s="266" t="s">
        <v>512</v>
      </c>
      <c r="U31" s="267">
        <f t="shared" ref="U31:V31" si="8">SUM(U6:U30)</f>
        <v>3635014452.8078613</v>
      </c>
      <c r="V31" s="267">
        <f t="shared" si="8"/>
        <v>142867784741.69525</v>
      </c>
      <c r="W31" s="185">
        <f t="shared" si="3"/>
        <v>6224754691.8336792</v>
      </c>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607FB-9875-4B30-99FE-13AFEC1F6729}">
  <sheetPr codeName="Sheet38">
    <tabColor theme="5" tint="0.39997558519241921"/>
  </sheetPr>
  <dimension ref="A2:AF140"/>
  <sheetViews>
    <sheetView zoomScale="85" zoomScaleNormal="85" workbookViewId="0">
      <pane xSplit="4" ySplit="2" topLeftCell="E3" activePane="bottomRight" state="frozen"/>
      <selection pane="topRight"/>
      <selection pane="bottomLeft"/>
      <selection pane="bottomRight"/>
    </sheetView>
  </sheetViews>
  <sheetFormatPr defaultRowHeight="15" x14ac:dyDescent="0.25"/>
  <cols>
    <col min="1" max="1" width="3.5703125" style="9" customWidth="1"/>
    <col min="2" max="2" width="46" style="9" customWidth="1"/>
    <col min="3" max="3" width="32.28515625" style="9" customWidth="1"/>
    <col min="4" max="4" width="18.5703125" style="9" bestFit="1" customWidth="1"/>
    <col min="5" max="6" width="18.5703125" style="9" customWidth="1"/>
    <col min="7" max="27" width="22.42578125" style="9" customWidth="1"/>
    <col min="28" max="31" width="12.85546875" style="9" customWidth="1"/>
    <col min="32" max="16384" width="9.140625" style="9"/>
  </cols>
  <sheetData>
    <row r="2" spans="2:31" x14ac:dyDescent="0.25">
      <c r="B2" s="451" t="s">
        <v>144</v>
      </c>
      <c r="C2" s="452"/>
      <c r="D2" s="452"/>
      <c r="E2" s="452"/>
      <c r="F2" s="452"/>
      <c r="G2" s="453">
        <f t="shared" ref="G2:AE2" si="0">YEAR(Date_of_Operation)-1+G3</f>
        <v>2030</v>
      </c>
      <c r="H2" s="454">
        <f t="shared" si="0"/>
        <v>2031</v>
      </c>
      <c r="I2" s="454">
        <f t="shared" si="0"/>
        <v>2032</v>
      </c>
      <c r="J2" s="454">
        <f t="shared" si="0"/>
        <v>2033</v>
      </c>
      <c r="K2" s="454">
        <f t="shared" si="0"/>
        <v>2034</v>
      </c>
      <c r="L2" s="454">
        <f t="shared" si="0"/>
        <v>2035</v>
      </c>
      <c r="M2" s="454">
        <f t="shared" si="0"/>
        <v>2036</v>
      </c>
      <c r="N2" s="454">
        <f t="shared" si="0"/>
        <v>2037</v>
      </c>
      <c r="O2" s="454">
        <f t="shared" si="0"/>
        <v>2038</v>
      </c>
      <c r="P2" s="454">
        <f t="shared" si="0"/>
        <v>2039</v>
      </c>
      <c r="Q2" s="454">
        <f t="shared" si="0"/>
        <v>2040</v>
      </c>
      <c r="R2" s="454">
        <f t="shared" si="0"/>
        <v>2041</v>
      </c>
      <c r="S2" s="454">
        <f t="shared" si="0"/>
        <v>2042</v>
      </c>
      <c r="T2" s="454">
        <f t="shared" si="0"/>
        <v>2043</v>
      </c>
      <c r="U2" s="454">
        <f t="shared" si="0"/>
        <v>2044</v>
      </c>
      <c r="V2" s="454">
        <f t="shared" si="0"/>
        <v>2045</v>
      </c>
      <c r="W2" s="454">
        <f t="shared" si="0"/>
        <v>2046</v>
      </c>
      <c r="X2" s="454">
        <f t="shared" si="0"/>
        <v>2047</v>
      </c>
      <c r="Y2" s="454">
        <f t="shared" si="0"/>
        <v>2048</v>
      </c>
      <c r="Z2" s="454">
        <f t="shared" si="0"/>
        <v>2049</v>
      </c>
      <c r="AA2" s="454">
        <f t="shared" si="0"/>
        <v>2050</v>
      </c>
      <c r="AB2" s="454">
        <f t="shared" si="0"/>
        <v>2051</v>
      </c>
      <c r="AC2" s="454">
        <f t="shared" si="0"/>
        <v>2052</v>
      </c>
      <c r="AD2" s="454">
        <f t="shared" si="0"/>
        <v>2053</v>
      </c>
      <c r="AE2" s="455">
        <f t="shared" si="0"/>
        <v>2054</v>
      </c>
    </row>
    <row r="3" spans="2:31" s="456" customFormat="1" x14ac:dyDescent="0.25">
      <c r="B3" s="457" t="s">
        <v>143</v>
      </c>
      <c r="C3" s="458"/>
      <c r="D3" s="458"/>
      <c r="E3" s="458"/>
      <c r="F3" s="458"/>
      <c r="G3" s="459">
        <v>1</v>
      </c>
      <c r="H3" s="460">
        <v>2</v>
      </c>
      <c r="I3" s="460">
        <v>3</v>
      </c>
      <c r="J3" s="460">
        <v>4</v>
      </c>
      <c r="K3" s="460">
        <v>5</v>
      </c>
      <c r="L3" s="460">
        <v>6</v>
      </c>
      <c r="M3" s="460">
        <v>7</v>
      </c>
      <c r="N3" s="460">
        <v>8</v>
      </c>
      <c r="O3" s="460">
        <v>9</v>
      </c>
      <c r="P3" s="460">
        <v>10</v>
      </c>
      <c r="Q3" s="460">
        <v>11</v>
      </c>
      <c r="R3" s="460">
        <v>12</v>
      </c>
      <c r="S3" s="460">
        <v>13</v>
      </c>
      <c r="T3" s="460">
        <v>14</v>
      </c>
      <c r="U3" s="460">
        <v>15</v>
      </c>
      <c r="V3" s="460">
        <v>16</v>
      </c>
      <c r="W3" s="460">
        <v>17</v>
      </c>
      <c r="X3" s="460">
        <v>18</v>
      </c>
      <c r="Y3" s="460">
        <v>19</v>
      </c>
      <c r="Z3" s="460">
        <v>20</v>
      </c>
      <c r="AA3" s="460">
        <v>21</v>
      </c>
      <c r="AB3" s="460">
        <v>22</v>
      </c>
      <c r="AC3" s="460">
        <v>23</v>
      </c>
      <c r="AD3" s="460">
        <v>24</v>
      </c>
      <c r="AE3" s="461">
        <v>25</v>
      </c>
    </row>
    <row r="4" spans="2:31" ht="18.75" x14ac:dyDescent="0.3">
      <c r="B4" s="26" t="s">
        <v>142</v>
      </c>
      <c r="C4" s="10"/>
      <c r="D4" s="10"/>
      <c r="E4" s="10"/>
      <c r="F4" s="10"/>
    </row>
    <row r="5" spans="2:31" ht="15.75" x14ac:dyDescent="0.25">
      <c r="B5" s="25" t="s">
        <v>141</v>
      </c>
      <c r="C5" s="10"/>
      <c r="D5" s="10"/>
      <c r="E5" s="10"/>
      <c r="F5" s="10"/>
    </row>
    <row r="6" spans="2:31" x14ac:dyDescent="0.25">
      <c r="B6" s="23" t="s">
        <v>140</v>
      </c>
      <c r="C6" s="23"/>
      <c r="D6" s="23"/>
      <c r="E6" s="23"/>
      <c r="F6" s="23"/>
      <c r="G6" s="19">
        <f>Storage_Ann_Development!B2</f>
        <v>1030</v>
      </c>
      <c r="H6" s="19">
        <f>Storage_Ann_Development!C2</f>
        <v>2080</v>
      </c>
      <c r="I6" s="19">
        <f>Storage_Ann_Development!D2</f>
        <v>2780</v>
      </c>
      <c r="J6" s="19">
        <f>Storage_Ann_Development!E2</f>
        <v>3480</v>
      </c>
      <c r="K6" s="19">
        <f>Storage_Ann_Development!F2</f>
        <v>4355</v>
      </c>
      <c r="L6" s="19">
        <f>Storage_Ann_Development!G2</f>
        <v>5230</v>
      </c>
      <c r="M6" s="19">
        <f>Storage_Ann_Development!H2</f>
        <v>5230</v>
      </c>
      <c r="N6" s="19">
        <f>Storage_Ann_Development!I2</f>
        <v>5230</v>
      </c>
      <c r="O6" s="19">
        <f>Storage_Ann_Development!J2</f>
        <v>5230</v>
      </c>
      <c r="P6" s="19">
        <f>Storage_Ann_Development!K2</f>
        <v>5230</v>
      </c>
      <c r="Q6" s="19">
        <f>Storage_Ann_Development!L2</f>
        <v>5230</v>
      </c>
      <c r="R6" s="19">
        <f>Storage_Ann_Development!M2</f>
        <v>5230</v>
      </c>
      <c r="S6" s="19">
        <f>Storage_Ann_Development!N2</f>
        <v>5230</v>
      </c>
      <c r="T6" s="19">
        <f>Storage_Ann_Development!O2</f>
        <v>5230</v>
      </c>
      <c r="U6" s="19">
        <f>Storage_Ann_Development!P2</f>
        <v>5230</v>
      </c>
      <c r="V6" s="19">
        <f>Storage_Ann_Development!Q2</f>
        <v>5230</v>
      </c>
      <c r="W6" s="19">
        <f>Storage_Ann_Development!R2</f>
        <v>5230</v>
      </c>
      <c r="X6" s="19">
        <f>Storage_Ann_Development!S2</f>
        <v>5230</v>
      </c>
      <c r="Y6" s="19">
        <f>Storage_Ann_Development!T2</f>
        <v>5230</v>
      </c>
      <c r="Z6" s="19">
        <f>Storage_Ann_Development!U2</f>
        <v>5230</v>
      </c>
      <c r="AA6" s="19">
        <f>Storage_Ann_Development!V2</f>
        <v>5230</v>
      </c>
      <c r="AB6" s="19">
        <f>Storage_Ann_Development!W2</f>
        <v>5230</v>
      </c>
      <c r="AC6" s="19">
        <f>Storage_Ann_Development!X2</f>
        <v>5230</v>
      </c>
      <c r="AD6" s="19">
        <f>Storage_Ann_Development!Y2</f>
        <v>5230</v>
      </c>
      <c r="AE6" s="19">
        <f>Storage_Ann_Development!Z2</f>
        <v>5230</v>
      </c>
    </row>
    <row r="7" spans="2:31" x14ac:dyDescent="0.25">
      <c r="B7" s="23" t="s">
        <v>139</v>
      </c>
      <c r="C7" s="23"/>
      <c r="D7" s="23"/>
      <c r="E7" s="23"/>
      <c r="F7" s="23"/>
      <c r="G7" s="19">
        <f>Storage_Ann_Development!B3</f>
        <v>430</v>
      </c>
      <c r="H7" s="19">
        <f>Storage_Ann_Development!C3</f>
        <v>880</v>
      </c>
      <c r="I7" s="19">
        <f>Storage_Ann_Development!D3</f>
        <v>1180</v>
      </c>
      <c r="J7" s="19">
        <f>Storage_Ann_Development!E3</f>
        <v>1480</v>
      </c>
      <c r="K7" s="19">
        <f>Storage_Ann_Development!F3</f>
        <v>1855</v>
      </c>
      <c r="L7" s="19">
        <f>Storage_Ann_Development!G3</f>
        <v>2230</v>
      </c>
      <c r="M7" s="19">
        <f>Storage_Ann_Development!H3</f>
        <v>2230</v>
      </c>
      <c r="N7" s="19">
        <f>Storage_Ann_Development!I3</f>
        <v>2230</v>
      </c>
      <c r="O7" s="19">
        <f>Storage_Ann_Development!J3</f>
        <v>2230</v>
      </c>
      <c r="P7" s="19">
        <f>Storage_Ann_Development!K3</f>
        <v>2230</v>
      </c>
      <c r="Q7" s="19">
        <f>Storage_Ann_Development!L3</f>
        <v>2230</v>
      </c>
      <c r="R7" s="19">
        <f>Storage_Ann_Development!M3</f>
        <v>2230</v>
      </c>
      <c r="S7" s="19">
        <f>Storage_Ann_Development!N3</f>
        <v>2230</v>
      </c>
      <c r="T7" s="19">
        <f>Storage_Ann_Development!O3</f>
        <v>2230</v>
      </c>
      <c r="U7" s="19">
        <f>Storage_Ann_Development!P3</f>
        <v>2230</v>
      </c>
      <c r="V7" s="19">
        <f>Storage_Ann_Development!Q3</f>
        <v>2230</v>
      </c>
      <c r="W7" s="19">
        <f>Storage_Ann_Development!R3</f>
        <v>2230</v>
      </c>
      <c r="X7" s="19">
        <f>Storage_Ann_Development!S3</f>
        <v>2230</v>
      </c>
      <c r="Y7" s="19">
        <f>Storage_Ann_Development!T3</f>
        <v>2230</v>
      </c>
      <c r="Z7" s="19">
        <f>Storage_Ann_Development!U3</f>
        <v>2230</v>
      </c>
      <c r="AA7" s="19">
        <f>Storage_Ann_Development!V3</f>
        <v>2230</v>
      </c>
      <c r="AB7" s="19">
        <f>Storage_Ann_Development!W3</f>
        <v>2230</v>
      </c>
      <c r="AC7" s="19">
        <f>Storage_Ann_Development!X3</f>
        <v>2230</v>
      </c>
      <c r="AD7" s="19">
        <f>Storage_Ann_Development!Y3</f>
        <v>2230</v>
      </c>
      <c r="AE7" s="19">
        <f>Storage_Ann_Development!Z3</f>
        <v>2230</v>
      </c>
    </row>
    <row r="8" spans="2:31" x14ac:dyDescent="0.25">
      <c r="B8" s="23" t="s">
        <v>138</v>
      </c>
      <c r="C8" s="23"/>
      <c r="D8" s="23"/>
      <c r="E8" s="23"/>
      <c r="F8" s="23"/>
      <c r="G8" s="19">
        <v>20</v>
      </c>
      <c r="H8" s="19">
        <v>20</v>
      </c>
      <c r="I8" s="19">
        <v>20</v>
      </c>
      <c r="J8" s="19">
        <v>20</v>
      </c>
      <c r="K8" s="19">
        <v>20</v>
      </c>
      <c r="L8" s="19">
        <v>20</v>
      </c>
      <c r="M8" s="19">
        <v>20</v>
      </c>
      <c r="N8" s="19">
        <v>20</v>
      </c>
      <c r="O8" s="19">
        <v>20</v>
      </c>
      <c r="P8" s="19">
        <v>20</v>
      </c>
      <c r="Q8" s="19">
        <v>20</v>
      </c>
      <c r="R8" s="19">
        <v>20</v>
      </c>
      <c r="S8" s="19">
        <v>20</v>
      </c>
      <c r="T8" s="19">
        <v>20</v>
      </c>
      <c r="U8" s="19">
        <v>20</v>
      </c>
      <c r="V8" s="19">
        <v>20</v>
      </c>
      <c r="W8" s="19">
        <v>20</v>
      </c>
      <c r="X8" s="19">
        <v>20</v>
      </c>
      <c r="Y8" s="19">
        <v>20</v>
      </c>
      <c r="Z8" s="19">
        <v>20</v>
      </c>
      <c r="AA8" s="19">
        <v>20</v>
      </c>
      <c r="AB8" s="19">
        <v>20</v>
      </c>
      <c r="AC8" s="19">
        <v>20</v>
      </c>
      <c r="AD8" s="19">
        <v>20</v>
      </c>
      <c r="AE8" s="19">
        <v>20</v>
      </c>
    </row>
    <row r="9" spans="2:31" x14ac:dyDescent="0.25">
      <c r="B9" s="23" t="s">
        <v>137</v>
      </c>
      <c r="C9" s="23"/>
      <c r="D9" s="23"/>
      <c r="E9" s="23"/>
      <c r="F9" s="23"/>
      <c r="G9" s="19">
        <v>20</v>
      </c>
      <c r="H9" s="19">
        <v>20</v>
      </c>
      <c r="I9" s="19">
        <v>20</v>
      </c>
      <c r="J9" s="19">
        <v>20</v>
      </c>
      <c r="K9" s="19">
        <v>20</v>
      </c>
      <c r="L9" s="19">
        <v>20</v>
      </c>
      <c r="M9" s="19">
        <v>20</v>
      </c>
      <c r="N9" s="19">
        <v>20</v>
      </c>
      <c r="O9" s="19">
        <v>20</v>
      </c>
      <c r="P9" s="19">
        <v>20</v>
      </c>
      <c r="Q9" s="19">
        <v>20</v>
      </c>
      <c r="R9" s="19">
        <v>20</v>
      </c>
      <c r="S9" s="19">
        <v>20</v>
      </c>
      <c r="T9" s="19">
        <v>20</v>
      </c>
      <c r="U9" s="19">
        <v>20</v>
      </c>
      <c r="V9" s="19">
        <v>20</v>
      </c>
      <c r="W9" s="19">
        <v>20</v>
      </c>
      <c r="X9" s="19">
        <v>20</v>
      </c>
      <c r="Y9" s="19">
        <v>20</v>
      </c>
      <c r="Z9" s="19">
        <v>20</v>
      </c>
      <c r="AA9" s="19">
        <v>20</v>
      </c>
      <c r="AB9" s="19">
        <v>20</v>
      </c>
      <c r="AC9" s="19">
        <v>20</v>
      </c>
      <c r="AD9" s="19">
        <v>20</v>
      </c>
      <c r="AE9" s="19">
        <v>20</v>
      </c>
    </row>
    <row r="10" spans="2:31" x14ac:dyDescent="0.25">
      <c r="B10" s="23"/>
      <c r="C10" s="436" t="s">
        <v>136</v>
      </c>
      <c r="D10" s="23"/>
      <c r="E10" s="23"/>
      <c r="F10" s="23"/>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row>
    <row r="11" spans="2:31" ht="14.25" customHeight="1" x14ac:dyDescent="0.25">
      <c r="B11" s="20" t="s">
        <v>135</v>
      </c>
      <c r="C11" s="23"/>
      <c r="D11" s="23" t="s">
        <v>133</v>
      </c>
      <c r="E11" s="23"/>
      <c r="F11" s="23"/>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row>
    <row r="12" spans="2:31" x14ac:dyDescent="0.25">
      <c r="B12" s="4" t="s">
        <v>121</v>
      </c>
      <c r="C12" s="3" t="s">
        <v>125</v>
      </c>
      <c r="D12" s="23">
        <v>2030</v>
      </c>
      <c r="E12" s="23"/>
      <c r="F12" s="23"/>
      <c r="G12" s="24">
        <f>VLOOKUP($C$10&amp;"_"&amp;$C12&amp;"_"&amp;ModelFactors!$C$7,'Utility-Scale Battery Storage'!$A$62:$AJ$76,MATCH($D12,'Utility-Scale Battery Storage'!$A$42:$AJ$42,0),0)*'FRED Graph_22Oct2023'!$D$312*ModelFactors!$D7</f>
        <v>40.005472529459311</v>
      </c>
      <c r="H12" s="24">
        <f>VLOOKUP($C$10&amp;"_"&amp;$C12&amp;"_"&amp;ModelFactors!$C$7,'Utility-Scale Battery Storage'!$A$62:$AJ$76,MATCH($D12,'Utility-Scale Battery Storage'!$A$42:$AJ$42,0),0)*'FRED Graph_22Oct2023'!$D$312*ModelFactors!$D7</f>
        <v>40.005472529459311</v>
      </c>
      <c r="I12" s="24">
        <f>VLOOKUP($C$10&amp;"_"&amp;$C12&amp;"_"&amp;ModelFactors!$C$7,'Utility-Scale Battery Storage'!$A$62:$AJ$76,MATCH($D12,'Utility-Scale Battery Storage'!$A$42:$AJ$42,0),0)*'FRED Graph_22Oct2023'!$D$312*ModelFactors!$D7</f>
        <v>40.005472529459311</v>
      </c>
      <c r="J12" s="24">
        <f>VLOOKUP($C$10&amp;"_"&amp;$C12&amp;"_"&amp;ModelFactors!$C$7,'Utility-Scale Battery Storage'!$A$62:$AJ$76,MATCH($D12,'Utility-Scale Battery Storage'!$A$42:$AJ$42,0),0)*'FRED Graph_22Oct2023'!$D$312*ModelFactors!$D7</f>
        <v>40.005472529459311</v>
      </c>
      <c r="K12" s="24">
        <f>VLOOKUP($C$10&amp;"_"&amp;$C12&amp;"_"&amp;ModelFactors!$C$7,'Utility-Scale Battery Storage'!$A$62:$AJ$76,MATCH($D12,'Utility-Scale Battery Storage'!$A$42:$AJ$42,0),0)*'FRED Graph_22Oct2023'!$D$312*ModelFactors!$D7</f>
        <v>40.005472529459311</v>
      </c>
      <c r="L12" s="24">
        <f>VLOOKUP($C$10&amp;"_"&amp;$C12&amp;"_"&amp;ModelFactors!$C$7,'Utility-Scale Battery Storage'!$A$62:$AJ$76,MATCH($D12,'Utility-Scale Battery Storage'!$A$42:$AJ$42,0),0)*'FRED Graph_22Oct2023'!$D$312*ModelFactors!$D7</f>
        <v>40.005472529459311</v>
      </c>
      <c r="M12" s="24">
        <f>VLOOKUP($C$10&amp;"_"&amp;$C12&amp;"_"&amp;ModelFactors!$C$7,'Utility-Scale Battery Storage'!$A$62:$AJ$76,MATCH($D12,'Utility-Scale Battery Storage'!$A$42:$AJ$42,0),0)*'FRED Graph_22Oct2023'!$D$312*ModelFactors!$D7</f>
        <v>40.005472529459311</v>
      </c>
      <c r="N12" s="24">
        <f>VLOOKUP($C$10&amp;"_"&amp;$C12&amp;"_"&amp;ModelFactors!$C$7,'Utility-Scale Battery Storage'!$A$62:$AJ$76,MATCH($D12,'Utility-Scale Battery Storage'!$A$42:$AJ$42,0),0)*'FRED Graph_22Oct2023'!$D$312*ModelFactors!$D7</f>
        <v>40.005472529459311</v>
      </c>
      <c r="O12" s="24">
        <f>VLOOKUP($C$10&amp;"_"&amp;$C12&amp;"_"&amp;ModelFactors!$C$7,'Utility-Scale Battery Storage'!$A$62:$AJ$76,MATCH($D12,'Utility-Scale Battery Storage'!$A$42:$AJ$42,0),0)*'FRED Graph_22Oct2023'!$D$312*ModelFactors!$D7</f>
        <v>40.005472529459311</v>
      </c>
      <c r="P12" s="24">
        <f>VLOOKUP($C$10&amp;"_"&amp;$C12&amp;"_"&amp;ModelFactors!$C$7,'Utility-Scale Battery Storage'!$A$62:$AJ$76,MATCH($D12,'Utility-Scale Battery Storage'!$A$42:$AJ$42,0),0)*'FRED Graph_22Oct2023'!$D$312*ModelFactors!$D7</f>
        <v>40.005472529459311</v>
      </c>
      <c r="Q12" s="24">
        <f>VLOOKUP($C$10&amp;"_"&amp;$C12&amp;"_"&amp;ModelFactors!$C$7,'Utility-Scale Battery Storage'!$A$62:$AJ$76,MATCH($D12,'Utility-Scale Battery Storage'!$A$42:$AJ$42,0),0)*'FRED Graph_22Oct2023'!$D$312*ModelFactors!$D7</f>
        <v>40.005472529459311</v>
      </c>
      <c r="R12" s="24">
        <f>VLOOKUP($C$10&amp;"_"&amp;$C12&amp;"_"&amp;ModelFactors!$C$7,'Utility-Scale Battery Storage'!$A$62:$AJ$76,MATCH($D12,'Utility-Scale Battery Storage'!$A$42:$AJ$42,0),0)*'FRED Graph_22Oct2023'!$D$312*ModelFactors!$D7</f>
        <v>40.005472529459311</v>
      </c>
      <c r="S12" s="24">
        <f>VLOOKUP($C$10&amp;"_"&amp;$C12&amp;"_"&amp;ModelFactors!$C$7,'Utility-Scale Battery Storage'!$A$62:$AJ$76,MATCH($D12,'Utility-Scale Battery Storage'!$A$42:$AJ$42,0),0)*'FRED Graph_22Oct2023'!$D$312*ModelFactors!$D7</f>
        <v>40.005472529459311</v>
      </c>
      <c r="T12" s="24">
        <f>VLOOKUP($C$10&amp;"_"&amp;$C12&amp;"_"&amp;ModelFactors!$C$7,'Utility-Scale Battery Storage'!$A$62:$AJ$76,MATCH($D12,'Utility-Scale Battery Storage'!$A$42:$AJ$42,0),0)*'FRED Graph_22Oct2023'!$D$312*ModelFactors!$D7</f>
        <v>40.005472529459311</v>
      </c>
      <c r="U12" s="24">
        <f>VLOOKUP($C$10&amp;"_"&amp;$C12&amp;"_"&amp;ModelFactors!$C$7,'Utility-Scale Battery Storage'!$A$62:$AJ$76,MATCH($D12,'Utility-Scale Battery Storage'!$A$42:$AJ$42,0),0)*'FRED Graph_22Oct2023'!$D$312*ModelFactors!$D7</f>
        <v>40.005472529459311</v>
      </c>
      <c r="V12" s="24">
        <f>VLOOKUP($C$10&amp;"_"&amp;$C12&amp;"_"&amp;ModelFactors!$C$7,'Utility-Scale Battery Storage'!$A$62:$AJ$76,MATCH($D12,'Utility-Scale Battery Storage'!$A$42:$AJ$42,0),0)*'FRED Graph_22Oct2023'!$D$312*ModelFactors!$D7</f>
        <v>40.005472529459311</v>
      </c>
      <c r="W12" s="24">
        <f>VLOOKUP($C$10&amp;"_"&amp;$C12&amp;"_"&amp;ModelFactors!$C$7,'Utility-Scale Battery Storage'!$A$62:$AJ$76,MATCH($D12,'Utility-Scale Battery Storage'!$A$42:$AJ$42,0),0)*'FRED Graph_22Oct2023'!$D$312*ModelFactors!$D7</f>
        <v>40.005472529459311</v>
      </c>
      <c r="X12" s="24">
        <f>VLOOKUP($C$10&amp;"_"&amp;$C12&amp;"_"&amp;ModelFactors!$C$7,'Utility-Scale Battery Storage'!$A$62:$AJ$76,MATCH($D12,'Utility-Scale Battery Storage'!$A$42:$AJ$42,0),0)*'FRED Graph_22Oct2023'!$D$312*ModelFactors!$D7</f>
        <v>40.005472529459311</v>
      </c>
      <c r="Y12" s="24">
        <f>VLOOKUP($C$10&amp;"_"&amp;$C12&amp;"_"&amp;ModelFactors!$C$7,'Utility-Scale Battery Storage'!$A$62:$AJ$76,MATCH($D12,'Utility-Scale Battery Storage'!$A$42:$AJ$42,0),0)*'FRED Graph_22Oct2023'!$D$312*ModelFactors!$D7</f>
        <v>40.005472529459311</v>
      </c>
      <c r="Z12" s="24">
        <f>VLOOKUP($C$10&amp;"_"&amp;$C12&amp;"_"&amp;ModelFactors!$C$7,'Utility-Scale Battery Storage'!$A$62:$AJ$76,MATCH($D12,'Utility-Scale Battery Storage'!$A$42:$AJ$42,0),0)*'FRED Graph_22Oct2023'!$D$312*ModelFactors!$D7</f>
        <v>40.005472529459311</v>
      </c>
      <c r="AA12" s="24">
        <f>VLOOKUP($C$10&amp;"_"&amp;$C12&amp;"_"&amp;ModelFactors!$C$7,'Utility-Scale Battery Storage'!$A$62:$AJ$76,MATCH($D12,'Utility-Scale Battery Storage'!$A$42:$AJ$42,0),0)*'FRED Graph_22Oct2023'!$D$312*ModelFactors!$D7</f>
        <v>40.005472529459311</v>
      </c>
      <c r="AB12" s="24">
        <f>VLOOKUP($C$10&amp;"_"&amp;$C12&amp;"_"&amp;ModelFactors!$C$7,'Utility-Scale Battery Storage'!$A$62:$AJ$76,MATCH($D12,'Utility-Scale Battery Storage'!$A$42:$AJ$42,0),0)*'FRED Graph_22Oct2023'!$D$312*ModelFactors!$D7</f>
        <v>40.005472529459311</v>
      </c>
      <c r="AC12" s="24">
        <f>VLOOKUP($C$10&amp;"_"&amp;$C12&amp;"_"&amp;ModelFactors!$C$7,'Utility-Scale Battery Storage'!$A$62:$AJ$76,MATCH($D12,'Utility-Scale Battery Storage'!$A$42:$AJ$42,0),0)*'FRED Graph_22Oct2023'!$D$312*ModelFactors!$D7</f>
        <v>40.005472529459311</v>
      </c>
      <c r="AD12" s="24">
        <f>VLOOKUP($C$10&amp;"_"&amp;$C12&amp;"_"&amp;ModelFactors!$C$7,'Utility-Scale Battery Storage'!$A$62:$AJ$76,MATCH($D12,'Utility-Scale Battery Storage'!$A$42:$AJ$42,0),0)*'FRED Graph_22Oct2023'!$D$312*ModelFactors!$D7</f>
        <v>40.005472529459311</v>
      </c>
      <c r="AE12" s="24">
        <f>VLOOKUP($C$10&amp;"_"&amp;$C12&amp;"_"&amp;ModelFactors!$C$7,'Utility-Scale Battery Storage'!$A$62:$AJ$76,MATCH($D12,'Utility-Scale Battery Storage'!$A$42:$AJ$42,0),0)*'FRED Graph_22Oct2023'!$D$312*ModelFactors!$D7</f>
        <v>40.005472529459311</v>
      </c>
    </row>
    <row r="13" spans="2:31" x14ac:dyDescent="0.25">
      <c r="B13" s="4" t="s">
        <v>120</v>
      </c>
      <c r="C13" s="3" t="s">
        <v>125</v>
      </c>
      <c r="D13" s="23">
        <f>D12</f>
        <v>2030</v>
      </c>
      <c r="E13" s="23"/>
      <c r="F13" s="23"/>
      <c r="G13" s="24">
        <f>VLOOKUP($C$10&amp;"_"&amp;$C13&amp;"_"&amp;ModelFactors!$C$7,'Utility-Scale Battery Storage'!$A$62:$AJ$76,MATCH($D13,'Utility-Scale Battery Storage'!$A$42:$AJ$42,0),0)*'FRED Graph_22Oct2023'!$D$312*ModelFactors!$D8</f>
        <v>40.319733900468414</v>
      </c>
      <c r="H13" s="24">
        <f>VLOOKUP($C$10&amp;"_"&amp;$C13&amp;"_"&amp;ModelFactors!$C$7,'Utility-Scale Battery Storage'!$A$62:$AJ$76,MATCH($D13,'Utility-Scale Battery Storage'!$A$42:$AJ$42,0),0)*'FRED Graph_22Oct2023'!$D$312*ModelFactors!$D8</f>
        <v>40.319733900468414</v>
      </c>
      <c r="I13" s="24">
        <f>VLOOKUP($C$10&amp;"_"&amp;$C13&amp;"_"&amp;ModelFactors!$C$7,'Utility-Scale Battery Storage'!$A$62:$AJ$76,MATCH($D13,'Utility-Scale Battery Storage'!$A$42:$AJ$42,0),0)*'FRED Graph_22Oct2023'!$D$312*ModelFactors!$D8</f>
        <v>40.319733900468414</v>
      </c>
      <c r="J13" s="24">
        <f>VLOOKUP($C$10&amp;"_"&amp;$C13&amp;"_"&amp;ModelFactors!$C$7,'Utility-Scale Battery Storage'!$A$62:$AJ$76,MATCH($D13,'Utility-Scale Battery Storage'!$A$42:$AJ$42,0),0)*'FRED Graph_22Oct2023'!$D$312*ModelFactors!$D8</f>
        <v>40.319733900468414</v>
      </c>
      <c r="K13" s="24">
        <f>VLOOKUP($C$10&amp;"_"&amp;$C13&amp;"_"&amp;ModelFactors!$C$7,'Utility-Scale Battery Storage'!$A$62:$AJ$76,MATCH($D13,'Utility-Scale Battery Storage'!$A$42:$AJ$42,0),0)*'FRED Graph_22Oct2023'!$D$312*ModelFactors!$D8</f>
        <v>40.319733900468414</v>
      </c>
      <c r="L13" s="24">
        <f>VLOOKUP($C$10&amp;"_"&amp;$C13&amp;"_"&amp;ModelFactors!$C$7,'Utility-Scale Battery Storage'!$A$62:$AJ$76,MATCH($D13,'Utility-Scale Battery Storage'!$A$42:$AJ$42,0),0)*'FRED Graph_22Oct2023'!$D$312*ModelFactors!$D8</f>
        <v>40.319733900468414</v>
      </c>
      <c r="M13" s="24">
        <f>VLOOKUP($C$10&amp;"_"&amp;$C13&amp;"_"&amp;ModelFactors!$C$7,'Utility-Scale Battery Storage'!$A$62:$AJ$76,MATCH($D13,'Utility-Scale Battery Storage'!$A$42:$AJ$42,0),0)*'FRED Graph_22Oct2023'!$D$312*ModelFactors!$D8</f>
        <v>40.319733900468414</v>
      </c>
      <c r="N13" s="24">
        <f>VLOOKUP($C$10&amp;"_"&amp;$C13&amp;"_"&amp;ModelFactors!$C$7,'Utility-Scale Battery Storage'!$A$62:$AJ$76,MATCH($D13,'Utility-Scale Battery Storage'!$A$42:$AJ$42,0),0)*'FRED Graph_22Oct2023'!$D$312*ModelFactors!$D8</f>
        <v>40.319733900468414</v>
      </c>
      <c r="O13" s="24">
        <f>VLOOKUP($C$10&amp;"_"&amp;$C13&amp;"_"&amp;ModelFactors!$C$7,'Utility-Scale Battery Storage'!$A$62:$AJ$76,MATCH($D13,'Utility-Scale Battery Storage'!$A$42:$AJ$42,0),0)*'FRED Graph_22Oct2023'!$D$312*ModelFactors!$D8</f>
        <v>40.319733900468414</v>
      </c>
      <c r="P13" s="24">
        <f>VLOOKUP($C$10&amp;"_"&amp;$C13&amp;"_"&amp;ModelFactors!$C$7,'Utility-Scale Battery Storage'!$A$62:$AJ$76,MATCH($D13,'Utility-Scale Battery Storage'!$A$42:$AJ$42,0),0)*'FRED Graph_22Oct2023'!$D$312*ModelFactors!$D8</f>
        <v>40.319733900468414</v>
      </c>
      <c r="Q13" s="24">
        <f>VLOOKUP($C$10&amp;"_"&amp;$C13&amp;"_"&amp;ModelFactors!$C$7,'Utility-Scale Battery Storage'!$A$62:$AJ$76,MATCH($D13,'Utility-Scale Battery Storage'!$A$42:$AJ$42,0),0)*'FRED Graph_22Oct2023'!$D$312*ModelFactors!$D8</f>
        <v>40.319733900468414</v>
      </c>
      <c r="R13" s="24">
        <f>VLOOKUP($C$10&amp;"_"&amp;$C13&amp;"_"&amp;ModelFactors!$C$7,'Utility-Scale Battery Storage'!$A$62:$AJ$76,MATCH($D13,'Utility-Scale Battery Storage'!$A$42:$AJ$42,0),0)*'FRED Graph_22Oct2023'!$D$312*ModelFactors!$D8</f>
        <v>40.319733900468414</v>
      </c>
      <c r="S13" s="24">
        <f>VLOOKUP($C$10&amp;"_"&amp;$C13&amp;"_"&amp;ModelFactors!$C$7,'Utility-Scale Battery Storage'!$A$62:$AJ$76,MATCH($D13,'Utility-Scale Battery Storage'!$A$42:$AJ$42,0),0)*'FRED Graph_22Oct2023'!$D$312*ModelFactors!$D8</f>
        <v>40.319733900468414</v>
      </c>
      <c r="T13" s="24">
        <f>VLOOKUP($C$10&amp;"_"&amp;$C13&amp;"_"&amp;ModelFactors!$C$7,'Utility-Scale Battery Storage'!$A$62:$AJ$76,MATCH($D13,'Utility-Scale Battery Storage'!$A$42:$AJ$42,0),0)*'FRED Graph_22Oct2023'!$D$312*ModelFactors!$D8</f>
        <v>40.319733900468414</v>
      </c>
      <c r="U13" s="24">
        <f>VLOOKUP($C$10&amp;"_"&amp;$C13&amp;"_"&amp;ModelFactors!$C$7,'Utility-Scale Battery Storage'!$A$62:$AJ$76,MATCH($D13,'Utility-Scale Battery Storage'!$A$42:$AJ$42,0),0)*'FRED Graph_22Oct2023'!$D$312*ModelFactors!$D8</f>
        <v>40.319733900468414</v>
      </c>
      <c r="V13" s="24">
        <f>VLOOKUP($C$10&amp;"_"&amp;$C13&amp;"_"&amp;ModelFactors!$C$7,'Utility-Scale Battery Storage'!$A$62:$AJ$76,MATCH($D13,'Utility-Scale Battery Storage'!$A$42:$AJ$42,0),0)*'FRED Graph_22Oct2023'!$D$312*ModelFactors!$D8</f>
        <v>40.319733900468414</v>
      </c>
      <c r="W13" s="24">
        <f>VLOOKUP($C$10&amp;"_"&amp;$C13&amp;"_"&amp;ModelFactors!$C$7,'Utility-Scale Battery Storage'!$A$62:$AJ$76,MATCH($D13,'Utility-Scale Battery Storage'!$A$42:$AJ$42,0),0)*'FRED Graph_22Oct2023'!$D$312*ModelFactors!$D8</f>
        <v>40.319733900468414</v>
      </c>
      <c r="X13" s="24">
        <f>VLOOKUP($C$10&amp;"_"&amp;$C13&amp;"_"&amp;ModelFactors!$C$7,'Utility-Scale Battery Storage'!$A$62:$AJ$76,MATCH($D13,'Utility-Scale Battery Storage'!$A$42:$AJ$42,0),0)*'FRED Graph_22Oct2023'!$D$312*ModelFactors!$D8</f>
        <v>40.319733900468414</v>
      </c>
      <c r="Y13" s="24">
        <f>VLOOKUP($C$10&amp;"_"&amp;$C13&amp;"_"&amp;ModelFactors!$C$7,'Utility-Scale Battery Storage'!$A$62:$AJ$76,MATCH($D13,'Utility-Scale Battery Storage'!$A$42:$AJ$42,0),0)*'FRED Graph_22Oct2023'!$D$312*ModelFactors!$D8</f>
        <v>40.319733900468414</v>
      </c>
      <c r="Z13" s="24">
        <f>VLOOKUP($C$10&amp;"_"&amp;$C13&amp;"_"&amp;ModelFactors!$C$7,'Utility-Scale Battery Storage'!$A$62:$AJ$76,MATCH($D13,'Utility-Scale Battery Storage'!$A$42:$AJ$42,0),0)*'FRED Graph_22Oct2023'!$D$312*ModelFactors!$D8</f>
        <v>40.319733900468414</v>
      </c>
      <c r="AA13" s="24">
        <f>VLOOKUP($C$10&amp;"_"&amp;$C13&amp;"_"&amp;ModelFactors!$C$7,'Utility-Scale Battery Storage'!$A$62:$AJ$76,MATCH($D13,'Utility-Scale Battery Storage'!$A$42:$AJ$42,0),0)*'FRED Graph_22Oct2023'!$D$312*ModelFactors!$D8</f>
        <v>40.319733900468414</v>
      </c>
      <c r="AB13" s="24">
        <f>VLOOKUP($C$10&amp;"_"&amp;$C13&amp;"_"&amp;ModelFactors!$C$7,'Utility-Scale Battery Storage'!$A$62:$AJ$76,MATCH($D13,'Utility-Scale Battery Storage'!$A$42:$AJ$42,0),0)*'FRED Graph_22Oct2023'!$D$312*ModelFactors!$D8</f>
        <v>40.319733900468414</v>
      </c>
      <c r="AC13" s="24">
        <f>VLOOKUP($C$10&amp;"_"&amp;$C13&amp;"_"&amp;ModelFactors!$C$7,'Utility-Scale Battery Storage'!$A$62:$AJ$76,MATCH($D13,'Utility-Scale Battery Storage'!$A$42:$AJ$42,0),0)*'FRED Graph_22Oct2023'!$D$312*ModelFactors!$D8</f>
        <v>40.319733900468414</v>
      </c>
      <c r="AD13" s="24">
        <f>VLOOKUP($C$10&amp;"_"&amp;$C13&amp;"_"&amp;ModelFactors!$C$7,'Utility-Scale Battery Storage'!$A$62:$AJ$76,MATCH($D13,'Utility-Scale Battery Storage'!$A$42:$AJ$42,0),0)*'FRED Graph_22Oct2023'!$D$312*ModelFactors!$D8</f>
        <v>40.319733900468414</v>
      </c>
      <c r="AE13" s="24">
        <f>VLOOKUP($C$10&amp;"_"&amp;$C13&amp;"_"&amp;ModelFactors!$C$7,'Utility-Scale Battery Storage'!$A$62:$AJ$76,MATCH($D13,'Utility-Scale Battery Storage'!$A$42:$AJ$42,0),0)*'FRED Graph_22Oct2023'!$D$312*ModelFactors!$D8</f>
        <v>40.319733900468414</v>
      </c>
    </row>
    <row r="14" spans="2:31" x14ac:dyDescent="0.25">
      <c r="B14" s="4" t="s">
        <v>119</v>
      </c>
      <c r="C14" s="4" t="s">
        <v>126</v>
      </c>
      <c r="D14" s="23">
        <f>D13</f>
        <v>2030</v>
      </c>
      <c r="E14" s="23"/>
      <c r="F14" s="23"/>
      <c r="G14" s="24">
        <f>VLOOKUP($C$10&amp;"_"&amp;$C14&amp;"_"&amp;ModelFactors!$C$7,'Utility-Scale Battery Storage'!$A$62:$AJ$76,MATCH($D14,'Utility-Scale Battery Storage'!$A$42:$AJ$42,0),0)*'FRED Graph_22Oct2023'!$D$312*ModelFactors!$D9</f>
        <v>87.433779955702008</v>
      </c>
      <c r="H14" s="24">
        <f>VLOOKUP($C$10&amp;"_"&amp;$C14&amp;"_"&amp;ModelFactors!$C$7,'Utility-Scale Battery Storage'!$A$62:$AJ$76,MATCH($D14,'Utility-Scale Battery Storage'!$A$42:$AJ$42,0),0)*'FRED Graph_22Oct2023'!$D$312*ModelFactors!$D9</f>
        <v>87.433779955702008</v>
      </c>
      <c r="I14" s="24">
        <f>VLOOKUP($C$10&amp;"_"&amp;$C14&amp;"_"&amp;ModelFactors!$C$7,'Utility-Scale Battery Storage'!$A$62:$AJ$76,MATCH($D14,'Utility-Scale Battery Storage'!$A$42:$AJ$42,0),0)*'FRED Graph_22Oct2023'!$D$312*ModelFactors!$D9</f>
        <v>87.433779955702008</v>
      </c>
      <c r="J14" s="24">
        <f>VLOOKUP($C$10&amp;"_"&amp;$C14&amp;"_"&amp;ModelFactors!$C$7,'Utility-Scale Battery Storage'!$A$62:$AJ$76,MATCH($D14,'Utility-Scale Battery Storage'!$A$42:$AJ$42,0),0)*'FRED Graph_22Oct2023'!$D$312*ModelFactors!$D9</f>
        <v>87.433779955702008</v>
      </c>
      <c r="K14" s="24">
        <f>VLOOKUP($C$10&amp;"_"&amp;$C14&amp;"_"&amp;ModelFactors!$C$7,'Utility-Scale Battery Storage'!$A$62:$AJ$76,MATCH($D14,'Utility-Scale Battery Storage'!$A$42:$AJ$42,0),0)*'FRED Graph_22Oct2023'!$D$312*ModelFactors!$D9</f>
        <v>87.433779955702008</v>
      </c>
      <c r="L14" s="24">
        <f>VLOOKUP($C$10&amp;"_"&amp;$C14&amp;"_"&amp;ModelFactors!$C$7,'Utility-Scale Battery Storage'!$A$62:$AJ$76,MATCH($D14,'Utility-Scale Battery Storage'!$A$42:$AJ$42,0),0)*'FRED Graph_22Oct2023'!$D$312*ModelFactors!$D9</f>
        <v>87.433779955702008</v>
      </c>
      <c r="M14" s="24">
        <f>VLOOKUP($C$10&amp;"_"&amp;$C14&amp;"_"&amp;ModelFactors!$C$7,'Utility-Scale Battery Storage'!$A$62:$AJ$76,MATCH($D14,'Utility-Scale Battery Storage'!$A$42:$AJ$42,0),0)*'FRED Graph_22Oct2023'!$D$312*ModelFactors!$D9</f>
        <v>87.433779955702008</v>
      </c>
      <c r="N14" s="24">
        <f>VLOOKUP($C$10&amp;"_"&amp;$C14&amp;"_"&amp;ModelFactors!$C$7,'Utility-Scale Battery Storage'!$A$62:$AJ$76,MATCH($D14,'Utility-Scale Battery Storage'!$A$42:$AJ$42,0),0)*'FRED Graph_22Oct2023'!$D$312*ModelFactors!$D9</f>
        <v>87.433779955702008</v>
      </c>
      <c r="O14" s="24">
        <f>VLOOKUP($C$10&amp;"_"&amp;$C14&amp;"_"&amp;ModelFactors!$C$7,'Utility-Scale Battery Storage'!$A$62:$AJ$76,MATCH($D14,'Utility-Scale Battery Storage'!$A$42:$AJ$42,0),0)*'FRED Graph_22Oct2023'!$D$312*ModelFactors!$D9</f>
        <v>87.433779955702008</v>
      </c>
      <c r="P14" s="24">
        <f>VLOOKUP($C$10&amp;"_"&amp;$C14&amp;"_"&amp;ModelFactors!$C$7,'Utility-Scale Battery Storage'!$A$62:$AJ$76,MATCH($D14,'Utility-Scale Battery Storage'!$A$42:$AJ$42,0),0)*'FRED Graph_22Oct2023'!$D$312*ModelFactors!$D9</f>
        <v>87.433779955702008</v>
      </c>
      <c r="Q14" s="24">
        <f>VLOOKUP($C$10&amp;"_"&amp;$C14&amp;"_"&amp;ModelFactors!$C$7,'Utility-Scale Battery Storage'!$A$62:$AJ$76,MATCH($D14,'Utility-Scale Battery Storage'!$A$42:$AJ$42,0),0)*'FRED Graph_22Oct2023'!$D$312*ModelFactors!$D9</f>
        <v>87.433779955702008</v>
      </c>
      <c r="R14" s="24">
        <f>VLOOKUP($C$10&amp;"_"&amp;$C14&amp;"_"&amp;ModelFactors!$C$7,'Utility-Scale Battery Storage'!$A$62:$AJ$76,MATCH($D14,'Utility-Scale Battery Storage'!$A$42:$AJ$42,0),0)*'FRED Graph_22Oct2023'!$D$312*ModelFactors!$D9</f>
        <v>87.433779955702008</v>
      </c>
      <c r="S14" s="24">
        <f>VLOOKUP($C$10&amp;"_"&amp;$C14&amp;"_"&amp;ModelFactors!$C$7,'Utility-Scale Battery Storage'!$A$62:$AJ$76,MATCH($D14,'Utility-Scale Battery Storage'!$A$42:$AJ$42,0),0)*'FRED Graph_22Oct2023'!$D$312*ModelFactors!$D9</f>
        <v>87.433779955702008</v>
      </c>
      <c r="T14" s="24">
        <f>VLOOKUP($C$10&amp;"_"&amp;$C14&amp;"_"&amp;ModelFactors!$C$7,'Utility-Scale Battery Storage'!$A$62:$AJ$76,MATCH($D14,'Utility-Scale Battery Storage'!$A$42:$AJ$42,0),0)*'FRED Graph_22Oct2023'!$D$312*ModelFactors!$D9</f>
        <v>87.433779955702008</v>
      </c>
      <c r="U14" s="24">
        <f>VLOOKUP($C$10&amp;"_"&amp;$C14&amp;"_"&amp;ModelFactors!$C$7,'Utility-Scale Battery Storage'!$A$62:$AJ$76,MATCH($D14,'Utility-Scale Battery Storage'!$A$42:$AJ$42,0),0)*'FRED Graph_22Oct2023'!$D$312*ModelFactors!$D9</f>
        <v>87.433779955702008</v>
      </c>
      <c r="V14" s="24">
        <f>VLOOKUP($C$10&amp;"_"&amp;$C14&amp;"_"&amp;ModelFactors!$C$7,'Utility-Scale Battery Storage'!$A$62:$AJ$76,MATCH($D14,'Utility-Scale Battery Storage'!$A$42:$AJ$42,0),0)*'FRED Graph_22Oct2023'!$D$312*ModelFactors!$D9</f>
        <v>87.433779955702008</v>
      </c>
      <c r="W14" s="24">
        <f>VLOOKUP($C$10&amp;"_"&amp;$C14&amp;"_"&amp;ModelFactors!$C$7,'Utility-Scale Battery Storage'!$A$62:$AJ$76,MATCH($D14,'Utility-Scale Battery Storage'!$A$42:$AJ$42,0),0)*'FRED Graph_22Oct2023'!$D$312*ModelFactors!$D9</f>
        <v>87.433779955702008</v>
      </c>
      <c r="X14" s="24">
        <f>VLOOKUP($C$10&amp;"_"&amp;$C14&amp;"_"&amp;ModelFactors!$C$7,'Utility-Scale Battery Storage'!$A$62:$AJ$76,MATCH($D14,'Utility-Scale Battery Storage'!$A$42:$AJ$42,0),0)*'FRED Graph_22Oct2023'!$D$312*ModelFactors!$D9</f>
        <v>87.433779955702008</v>
      </c>
      <c r="Y14" s="24">
        <f>VLOOKUP($C$10&amp;"_"&amp;$C14&amp;"_"&amp;ModelFactors!$C$7,'Utility-Scale Battery Storage'!$A$62:$AJ$76,MATCH($D14,'Utility-Scale Battery Storage'!$A$42:$AJ$42,0),0)*'FRED Graph_22Oct2023'!$D$312*ModelFactors!$D9</f>
        <v>87.433779955702008</v>
      </c>
      <c r="Z14" s="24">
        <f>VLOOKUP($C$10&amp;"_"&amp;$C14&amp;"_"&amp;ModelFactors!$C$7,'Utility-Scale Battery Storage'!$A$62:$AJ$76,MATCH($D14,'Utility-Scale Battery Storage'!$A$42:$AJ$42,0),0)*'FRED Graph_22Oct2023'!$D$312*ModelFactors!$D9</f>
        <v>87.433779955702008</v>
      </c>
      <c r="AA14" s="24">
        <f>VLOOKUP($C$10&amp;"_"&amp;$C14&amp;"_"&amp;ModelFactors!$C$7,'Utility-Scale Battery Storage'!$A$62:$AJ$76,MATCH($D14,'Utility-Scale Battery Storage'!$A$42:$AJ$42,0),0)*'FRED Graph_22Oct2023'!$D$312*ModelFactors!$D9</f>
        <v>87.433779955702008</v>
      </c>
      <c r="AB14" s="24">
        <f>VLOOKUP($C$10&amp;"_"&amp;$C14&amp;"_"&amp;ModelFactors!$C$7,'Utility-Scale Battery Storage'!$A$62:$AJ$76,MATCH($D14,'Utility-Scale Battery Storage'!$A$42:$AJ$42,0),0)*'FRED Graph_22Oct2023'!$D$312*ModelFactors!$D9</f>
        <v>87.433779955702008</v>
      </c>
      <c r="AC14" s="24">
        <f>VLOOKUP($C$10&amp;"_"&amp;$C14&amp;"_"&amp;ModelFactors!$C$7,'Utility-Scale Battery Storage'!$A$62:$AJ$76,MATCH($D14,'Utility-Scale Battery Storage'!$A$42:$AJ$42,0),0)*'FRED Graph_22Oct2023'!$D$312*ModelFactors!$D9</f>
        <v>87.433779955702008</v>
      </c>
      <c r="AD14" s="24">
        <f>VLOOKUP($C$10&amp;"_"&amp;$C14&amp;"_"&amp;ModelFactors!$C$7,'Utility-Scale Battery Storage'!$A$62:$AJ$76,MATCH($D14,'Utility-Scale Battery Storage'!$A$42:$AJ$42,0),0)*'FRED Graph_22Oct2023'!$D$312*ModelFactors!$D9</f>
        <v>87.433779955702008</v>
      </c>
      <c r="AE14" s="24">
        <f>VLOOKUP($C$10&amp;"_"&amp;$C14&amp;"_"&amp;ModelFactors!$C$7,'Utility-Scale Battery Storage'!$A$62:$AJ$76,MATCH($D14,'Utility-Scale Battery Storage'!$A$42:$AJ$42,0),0)*'FRED Graph_22Oct2023'!$D$312*ModelFactors!$D9</f>
        <v>87.433779955702008</v>
      </c>
    </row>
    <row r="15" spans="2:31" x14ac:dyDescent="0.25">
      <c r="B15" s="4" t="s">
        <v>118</v>
      </c>
      <c r="C15" s="4" t="s">
        <v>126</v>
      </c>
      <c r="D15" s="23">
        <f>D14</f>
        <v>2030</v>
      </c>
      <c r="E15" s="23"/>
      <c r="F15" s="23"/>
      <c r="G15" s="24">
        <f>VLOOKUP($C$10&amp;"_"&amp;$C15&amp;"_"&amp;ModelFactors!$C$7,'Utility-Scale Battery Storage'!$A$62:$AJ$76,MATCH($D15,'Utility-Scale Battery Storage'!$A$42:$AJ$42,0),0)*'FRED Graph_22Oct2023'!$D$312*ModelFactors!$D10</f>
        <v>88.120612476956538</v>
      </c>
      <c r="H15" s="24">
        <f>VLOOKUP($C$10&amp;"_"&amp;$C15&amp;"_"&amp;ModelFactors!$C$7,'Utility-Scale Battery Storage'!$A$62:$AJ$76,MATCH($D15,'Utility-Scale Battery Storage'!$A$42:$AJ$42,0),0)*'FRED Graph_22Oct2023'!$D$312*ModelFactors!$D10</f>
        <v>88.120612476956538</v>
      </c>
      <c r="I15" s="24">
        <f>VLOOKUP($C$10&amp;"_"&amp;$C15&amp;"_"&amp;ModelFactors!$C$7,'Utility-Scale Battery Storage'!$A$62:$AJ$76,MATCH($D15,'Utility-Scale Battery Storage'!$A$42:$AJ$42,0),0)*'FRED Graph_22Oct2023'!$D$312*ModelFactors!$D10</f>
        <v>88.120612476956538</v>
      </c>
      <c r="J15" s="24">
        <f>VLOOKUP($C$10&amp;"_"&amp;$C15&amp;"_"&amp;ModelFactors!$C$7,'Utility-Scale Battery Storage'!$A$62:$AJ$76,MATCH($D15,'Utility-Scale Battery Storage'!$A$42:$AJ$42,0),0)*'FRED Graph_22Oct2023'!$D$312*ModelFactors!$D10</f>
        <v>88.120612476956538</v>
      </c>
      <c r="K15" s="24">
        <f>VLOOKUP($C$10&amp;"_"&amp;$C15&amp;"_"&amp;ModelFactors!$C$7,'Utility-Scale Battery Storage'!$A$62:$AJ$76,MATCH($D15,'Utility-Scale Battery Storage'!$A$42:$AJ$42,0),0)*'FRED Graph_22Oct2023'!$D$312*ModelFactors!$D10</f>
        <v>88.120612476956538</v>
      </c>
      <c r="L15" s="24">
        <f>VLOOKUP($C$10&amp;"_"&amp;$C15&amp;"_"&amp;ModelFactors!$C$7,'Utility-Scale Battery Storage'!$A$62:$AJ$76,MATCH($D15,'Utility-Scale Battery Storage'!$A$42:$AJ$42,0),0)*'FRED Graph_22Oct2023'!$D$312*ModelFactors!$D10</f>
        <v>88.120612476956538</v>
      </c>
      <c r="M15" s="24">
        <f>VLOOKUP($C$10&amp;"_"&amp;$C15&amp;"_"&amp;ModelFactors!$C$7,'Utility-Scale Battery Storage'!$A$62:$AJ$76,MATCH($D15,'Utility-Scale Battery Storage'!$A$42:$AJ$42,0),0)*'FRED Graph_22Oct2023'!$D$312*ModelFactors!$D10</f>
        <v>88.120612476956538</v>
      </c>
      <c r="N15" s="24">
        <f>VLOOKUP($C$10&amp;"_"&amp;$C15&amp;"_"&amp;ModelFactors!$C$7,'Utility-Scale Battery Storage'!$A$62:$AJ$76,MATCH($D15,'Utility-Scale Battery Storage'!$A$42:$AJ$42,0),0)*'FRED Graph_22Oct2023'!$D$312*ModelFactors!$D10</f>
        <v>88.120612476956538</v>
      </c>
      <c r="O15" s="24">
        <f>VLOOKUP($C$10&amp;"_"&amp;$C15&amp;"_"&amp;ModelFactors!$C$7,'Utility-Scale Battery Storage'!$A$62:$AJ$76,MATCH($D15,'Utility-Scale Battery Storage'!$A$42:$AJ$42,0),0)*'FRED Graph_22Oct2023'!$D$312*ModelFactors!$D10</f>
        <v>88.120612476956538</v>
      </c>
      <c r="P15" s="24">
        <f>VLOOKUP($C$10&amp;"_"&amp;$C15&amp;"_"&amp;ModelFactors!$C$7,'Utility-Scale Battery Storage'!$A$62:$AJ$76,MATCH($D15,'Utility-Scale Battery Storage'!$A$42:$AJ$42,0),0)*'FRED Graph_22Oct2023'!$D$312*ModelFactors!$D10</f>
        <v>88.120612476956538</v>
      </c>
      <c r="Q15" s="24">
        <f>VLOOKUP($C$10&amp;"_"&amp;$C15&amp;"_"&amp;ModelFactors!$C$7,'Utility-Scale Battery Storage'!$A$62:$AJ$76,MATCH($D15,'Utility-Scale Battery Storage'!$A$42:$AJ$42,0),0)*'FRED Graph_22Oct2023'!$D$312*ModelFactors!$D10</f>
        <v>88.120612476956538</v>
      </c>
      <c r="R15" s="24">
        <f>VLOOKUP($C$10&amp;"_"&amp;$C15&amp;"_"&amp;ModelFactors!$C$7,'Utility-Scale Battery Storage'!$A$62:$AJ$76,MATCH($D15,'Utility-Scale Battery Storage'!$A$42:$AJ$42,0),0)*'FRED Graph_22Oct2023'!$D$312*ModelFactors!$D10</f>
        <v>88.120612476956538</v>
      </c>
      <c r="S15" s="24">
        <f>VLOOKUP($C$10&amp;"_"&amp;$C15&amp;"_"&amp;ModelFactors!$C$7,'Utility-Scale Battery Storage'!$A$62:$AJ$76,MATCH($D15,'Utility-Scale Battery Storage'!$A$42:$AJ$42,0),0)*'FRED Graph_22Oct2023'!$D$312*ModelFactors!$D10</f>
        <v>88.120612476956538</v>
      </c>
      <c r="T15" s="24">
        <f>VLOOKUP($C$10&amp;"_"&amp;$C15&amp;"_"&amp;ModelFactors!$C$7,'Utility-Scale Battery Storage'!$A$62:$AJ$76,MATCH($D15,'Utility-Scale Battery Storage'!$A$42:$AJ$42,0),0)*'FRED Graph_22Oct2023'!$D$312*ModelFactors!$D10</f>
        <v>88.120612476956538</v>
      </c>
      <c r="U15" s="24">
        <f>VLOOKUP($C$10&amp;"_"&amp;$C15&amp;"_"&amp;ModelFactors!$C$7,'Utility-Scale Battery Storage'!$A$62:$AJ$76,MATCH($D15,'Utility-Scale Battery Storage'!$A$42:$AJ$42,0),0)*'FRED Graph_22Oct2023'!$D$312*ModelFactors!$D10</f>
        <v>88.120612476956538</v>
      </c>
      <c r="V15" s="24">
        <f>VLOOKUP($C$10&amp;"_"&amp;$C15&amp;"_"&amp;ModelFactors!$C$7,'Utility-Scale Battery Storage'!$A$62:$AJ$76,MATCH($D15,'Utility-Scale Battery Storage'!$A$42:$AJ$42,0),0)*'FRED Graph_22Oct2023'!$D$312*ModelFactors!$D10</f>
        <v>88.120612476956538</v>
      </c>
      <c r="W15" s="24">
        <f>VLOOKUP($C$10&amp;"_"&amp;$C15&amp;"_"&amp;ModelFactors!$C$7,'Utility-Scale Battery Storage'!$A$62:$AJ$76,MATCH($D15,'Utility-Scale Battery Storage'!$A$42:$AJ$42,0),0)*'FRED Graph_22Oct2023'!$D$312*ModelFactors!$D10</f>
        <v>88.120612476956538</v>
      </c>
      <c r="X15" s="24">
        <f>VLOOKUP($C$10&amp;"_"&amp;$C15&amp;"_"&amp;ModelFactors!$C$7,'Utility-Scale Battery Storage'!$A$62:$AJ$76,MATCH($D15,'Utility-Scale Battery Storage'!$A$42:$AJ$42,0),0)*'FRED Graph_22Oct2023'!$D$312*ModelFactors!$D10</f>
        <v>88.120612476956538</v>
      </c>
      <c r="Y15" s="24">
        <f>VLOOKUP($C$10&amp;"_"&amp;$C15&amp;"_"&amp;ModelFactors!$C$7,'Utility-Scale Battery Storage'!$A$62:$AJ$76,MATCH($D15,'Utility-Scale Battery Storage'!$A$42:$AJ$42,0),0)*'FRED Graph_22Oct2023'!$D$312*ModelFactors!$D10</f>
        <v>88.120612476956538</v>
      </c>
      <c r="Z15" s="24">
        <f>VLOOKUP($C$10&amp;"_"&amp;$C15&amp;"_"&amp;ModelFactors!$C$7,'Utility-Scale Battery Storage'!$A$62:$AJ$76,MATCH($D15,'Utility-Scale Battery Storage'!$A$42:$AJ$42,0),0)*'FRED Graph_22Oct2023'!$D$312*ModelFactors!$D10</f>
        <v>88.120612476956538</v>
      </c>
      <c r="AA15" s="24">
        <f>VLOOKUP($C$10&amp;"_"&amp;$C15&amp;"_"&amp;ModelFactors!$C$7,'Utility-Scale Battery Storage'!$A$62:$AJ$76,MATCH($D15,'Utility-Scale Battery Storage'!$A$42:$AJ$42,0),0)*'FRED Graph_22Oct2023'!$D$312*ModelFactors!$D10</f>
        <v>88.120612476956538</v>
      </c>
      <c r="AB15" s="24">
        <f>VLOOKUP($C$10&amp;"_"&amp;$C15&amp;"_"&amp;ModelFactors!$C$7,'Utility-Scale Battery Storage'!$A$62:$AJ$76,MATCH($D15,'Utility-Scale Battery Storage'!$A$42:$AJ$42,0),0)*'FRED Graph_22Oct2023'!$D$312*ModelFactors!$D10</f>
        <v>88.120612476956538</v>
      </c>
      <c r="AC15" s="24">
        <f>VLOOKUP($C$10&amp;"_"&amp;$C15&amp;"_"&amp;ModelFactors!$C$7,'Utility-Scale Battery Storage'!$A$62:$AJ$76,MATCH($D15,'Utility-Scale Battery Storage'!$A$42:$AJ$42,0),0)*'FRED Graph_22Oct2023'!$D$312*ModelFactors!$D10</f>
        <v>88.120612476956538</v>
      </c>
      <c r="AD15" s="24">
        <f>VLOOKUP($C$10&amp;"_"&amp;$C15&amp;"_"&amp;ModelFactors!$C$7,'Utility-Scale Battery Storage'!$A$62:$AJ$76,MATCH($D15,'Utility-Scale Battery Storage'!$A$42:$AJ$42,0),0)*'FRED Graph_22Oct2023'!$D$312*ModelFactors!$D10</f>
        <v>88.120612476956538</v>
      </c>
      <c r="AE15" s="24">
        <f>VLOOKUP($C$10&amp;"_"&amp;$C15&amp;"_"&amp;ModelFactors!$C$7,'Utility-Scale Battery Storage'!$A$62:$AJ$76,MATCH($D15,'Utility-Scale Battery Storage'!$A$42:$AJ$42,0),0)*'FRED Graph_22Oct2023'!$D$312*ModelFactors!$D10</f>
        <v>88.120612476956538</v>
      </c>
    </row>
    <row r="16" spans="2:31" x14ac:dyDescent="0.25">
      <c r="B16" s="23"/>
      <c r="C16" s="23"/>
      <c r="D16" s="23"/>
      <c r="E16" s="23"/>
      <c r="F16" s="23"/>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row>
    <row r="17" spans="2:31" x14ac:dyDescent="0.25">
      <c r="B17" s="20" t="s">
        <v>135</v>
      </c>
      <c r="C17" s="23"/>
      <c r="D17" s="23" t="s">
        <v>133</v>
      </c>
      <c r="E17" s="23"/>
      <c r="F17" s="23"/>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row>
    <row r="18" spans="2:31" x14ac:dyDescent="0.25">
      <c r="B18" s="4" t="s">
        <v>121</v>
      </c>
      <c r="C18" s="3" t="s">
        <v>125</v>
      </c>
      <c r="D18" s="23">
        <f>1+D12</f>
        <v>2031</v>
      </c>
      <c r="E18" s="23"/>
      <c r="F18" s="23"/>
      <c r="G18" s="24"/>
      <c r="H18" s="24">
        <f>VLOOKUP($C$10&amp;"_"&amp;$C18&amp;"_"&amp;ModelFactors!$C$7,'Utility-Scale Battery Storage'!$A$62:$AJ$76,MATCH($D18,'Utility-Scale Battery Storage'!$A$42:$AJ$42,0),0)*'FRED Graph_22Oct2023'!$D$312*ModelFactors!$D7</f>
        <v>39.731563757833399</v>
      </c>
      <c r="I18" s="24">
        <f>VLOOKUP($C$10&amp;"_"&amp;$C18&amp;"_"&amp;ModelFactors!$C$7,'Utility-Scale Battery Storage'!$A$62:$AJ$76,MATCH($D18,'Utility-Scale Battery Storage'!$A$42:$AJ$42,0),0)*'FRED Graph_22Oct2023'!$D$312*ModelFactors!$D7</f>
        <v>39.731563757833399</v>
      </c>
      <c r="J18" s="24">
        <f>VLOOKUP($C$10&amp;"_"&amp;$C18&amp;"_"&amp;ModelFactors!$C$7,'Utility-Scale Battery Storage'!$A$62:$AJ$76,MATCH($D18,'Utility-Scale Battery Storage'!$A$42:$AJ$42,0),0)*'FRED Graph_22Oct2023'!$D$312*ModelFactors!$D7</f>
        <v>39.731563757833399</v>
      </c>
      <c r="K18" s="24">
        <f>VLOOKUP($C$10&amp;"_"&amp;$C18&amp;"_"&amp;ModelFactors!$C$7,'Utility-Scale Battery Storage'!$A$62:$AJ$76,MATCH($D18,'Utility-Scale Battery Storage'!$A$42:$AJ$42,0),0)*'FRED Graph_22Oct2023'!$D$312*ModelFactors!$D7</f>
        <v>39.731563757833399</v>
      </c>
      <c r="L18" s="24">
        <f>VLOOKUP($C$10&amp;"_"&amp;$C18&amp;"_"&amp;ModelFactors!$C$7,'Utility-Scale Battery Storage'!$A$62:$AJ$76,MATCH($D18,'Utility-Scale Battery Storage'!$A$42:$AJ$42,0),0)*'FRED Graph_22Oct2023'!$D$312*ModelFactors!$D7</f>
        <v>39.731563757833399</v>
      </c>
      <c r="M18" s="24">
        <f>VLOOKUP($C$10&amp;"_"&amp;$C18&amp;"_"&amp;ModelFactors!$C$7,'Utility-Scale Battery Storage'!$A$62:$AJ$76,MATCH($D18,'Utility-Scale Battery Storage'!$A$42:$AJ$42,0),0)*'FRED Graph_22Oct2023'!$D$312*ModelFactors!$D7</f>
        <v>39.731563757833399</v>
      </c>
      <c r="N18" s="24">
        <f>VLOOKUP($C$10&amp;"_"&amp;$C18&amp;"_"&amp;ModelFactors!$C$7,'Utility-Scale Battery Storage'!$A$62:$AJ$76,MATCH($D18,'Utility-Scale Battery Storage'!$A$42:$AJ$42,0),0)*'FRED Graph_22Oct2023'!$D$312*ModelFactors!$D7</f>
        <v>39.731563757833399</v>
      </c>
      <c r="O18" s="24">
        <f>VLOOKUP($C$10&amp;"_"&amp;$C18&amp;"_"&amp;ModelFactors!$C$7,'Utility-Scale Battery Storage'!$A$62:$AJ$76,MATCH($D18,'Utility-Scale Battery Storage'!$A$42:$AJ$42,0),0)*'FRED Graph_22Oct2023'!$D$312*ModelFactors!$D7</f>
        <v>39.731563757833399</v>
      </c>
      <c r="P18" s="24">
        <f>VLOOKUP($C$10&amp;"_"&amp;$C18&amp;"_"&amp;ModelFactors!$C$7,'Utility-Scale Battery Storage'!$A$62:$AJ$76,MATCH($D18,'Utility-Scale Battery Storage'!$A$42:$AJ$42,0),0)*'FRED Graph_22Oct2023'!$D$312*ModelFactors!$D7</f>
        <v>39.731563757833399</v>
      </c>
      <c r="Q18" s="24">
        <f>VLOOKUP($C$10&amp;"_"&amp;$C18&amp;"_"&amp;ModelFactors!$C$7,'Utility-Scale Battery Storage'!$A$62:$AJ$76,MATCH($D18,'Utility-Scale Battery Storage'!$A$42:$AJ$42,0),0)*'FRED Graph_22Oct2023'!$D$312*ModelFactors!$D7</f>
        <v>39.731563757833399</v>
      </c>
      <c r="R18" s="24">
        <f>VLOOKUP($C$10&amp;"_"&amp;$C18&amp;"_"&amp;ModelFactors!$C$7,'Utility-Scale Battery Storage'!$A$62:$AJ$76,MATCH($D18,'Utility-Scale Battery Storage'!$A$42:$AJ$42,0),0)*'FRED Graph_22Oct2023'!$D$312*ModelFactors!$D7</f>
        <v>39.731563757833399</v>
      </c>
      <c r="S18" s="24">
        <f>VLOOKUP($C$10&amp;"_"&amp;$C18&amp;"_"&amp;ModelFactors!$C$7,'Utility-Scale Battery Storage'!$A$62:$AJ$76,MATCH($D18,'Utility-Scale Battery Storage'!$A$42:$AJ$42,0),0)*'FRED Graph_22Oct2023'!$D$312*ModelFactors!$D7</f>
        <v>39.731563757833399</v>
      </c>
      <c r="T18" s="24">
        <f>VLOOKUP($C$10&amp;"_"&amp;$C18&amp;"_"&amp;ModelFactors!$C$7,'Utility-Scale Battery Storage'!$A$62:$AJ$76,MATCH($D18,'Utility-Scale Battery Storage'!$A$42:$AJ$42,0),0)*'FRED Graph_22Oct2023'!$D$312*ModelFactors!$D7</f>
        <v>39.731563757833399</v>
      </c>
      <c r="U18" s="24">
        <f>VLOOKUP($C$10&amp;"_"&amp;$C18&amp;"_"&amp;ModelFactors!$C$7,'Utility-Scale Battery Storage'!$A$62:$AJ$76,MATCH($D18,'Utility-Scale Battery Storage'!$A$42:$AJ$42,0),0)*'FRED Graph_22Oct2023'!$D$312*ModelFactors!$D7</f>
        <v>39.731563757833399</v>
      </c>
      <c r="V18" s="24">
        <f>VLOOKUP($C$10&amp;"_"&amp;$C18&amp;"_"&amp;ModelFactors!$C$7,'Utility-Scale Battery Storage'!$A$62:$AJ$76,MATCH($D18,'Utility-Scale Battery Storage'!$A$42:$AJ$42,0),0)*'FRED Graph_22Oct2023'!$D$312*ModelFactors!$D7</f>
        <v>39.731563757833399</v>
      </c>
      <c r="W18" s="24">
        <f>VLOOKUP($C$10&amp;"_"&amp;$C18&amp;"_"&amp;ModelFactors!$C$7,'Utility-Scale Battery Storage'!$A$62:$AJ$76,MATCH($D18,'Utility-Scale Battery Storage'!$A$42:$AJ$42,0),0)*'FRED Graph_22Oct2023'!$D$312*ModelFactors!$D7</f>
        <v>39.731563757833399</v>
      </c>
      <c r="X18" s="24">
        <f>VLOOKUP($C$10&amp;"_"&amp;$C18&amp;"_"&amp;ModelFactors!$C$7,'Utility-Scale Battery Storage'!$A$62:$AJ$76,MATCH($D18,'Utility-Scale Battery Storage'!$A$42:$AJ$42,0),0)*'FRED Graph_22Oct2023'!$D$312*ModelFactors!$D7</f>
        <v>39.731563757833399</v>
      </c>
      <c r="Y18" s="24">
        <f>VLOOKUP($C$10&amp;"_"&amp;$C18&amp;"_"&amp;ModelFactors!$C$7,'Utility-Scale Battery Storage'!$A$62:$AJ$76,MATCH($D18,'Utility-Scale Battery Storage'!$A$42:$AJ$42,0),0)*'FRED Graph_22Oct2023'!$D$312*ModelFactors!$D7</f>
        <v>39.731563757833399</v>
      </c>
      <c r="Z18" s="24">
        <f>VLOOKUP($C$10&amp;"_"&amp;$C18&amp;"_"&amp;ModelFactors!$C$7,'Utility-Scale Battery Storage'!$A$62:$AJ$76,MATCH($D18,'Utility-Scale Battery Storage'!$A$42:$AJ$42,0),0)*'FRED Graph_22Oct2023'!$D$312*ModelFactors!$D7</f>
        <v>39.731563757833399</v>
      </c>
      <c r="AA18" s="24">
        <f>VLOOKUP($C$10&amp;"_"&amp;$C18&amp;"_"&amp;ModelFactors!$C$7,'Utility-Scale Battery Storage'!$A$62:$AJ$76,MATCH($D18,'Utility-Scale Battery Storage'!$A$42:$AJ$42,0),0)*'FRED Graph_22Oct2023'!$D$312*ModelFactors!$D7</f>
        <v>39.731563757833399</v>
      </c>
      <c r="AB18" s="24">
        <f>VLOOKUP($C$10&amp;"_"&amp;$C18&amp;"_"&amp;ModelFactors!$C$7,'Utility-Scale Battery Storage'!$A$62:$AJ$76,MATCH($D18,'Utility-Scale Battery Storage'!$A$42:$AJ$42,0),0)*'FRED Graph_22Oct2023'!$D$312*ModelFactors!$D7</f>
        <v>39.731563757833399</v>
      </c>
      <c r="AC18" s="24">
        <f>VLOOKUP($C$10&amp;"_"&amp;$C18&amp;"_"&amp;ModelFactors!$C$7,'Utility-Scale Battery Storage'!$A$62:$AJ$76,MATCH($D18,'Utility-Scale Battery Storage'!$A$42:$AJ$42,0),0)*'FRED Graph_22Oct2023'!$D$312*ModelFactors!$D7</f>
        <v>39.731563757833399</v>
      </c>
      <c r="AD18" s="24">
        <f>VLOOKUP($C$10&amp;"_"&amp;$C18&amp;"_"&amp;ModelFactors!$C$7,'Utility-Scale Battery Storage'!$A$62:$AJ$76,MATCH($D18,'Utility-Scale Battery Storage'!$A$42:$AJ$42,0),0)*'FRED Graph_22Oct2023'!$D$312*ModelFactors!$D7</f>
        <v>39.731563757833399</v>
      </c>
      <c r="AE18" s="24">
        <f>VLOOKUP($C$10&amp;"_"&amp;$C18&amp;"_"&amp;ModelFactors!$C$7,'Utility-Scale Battery Storage'!$A$62:$AJ$76,MATCH($D18,'Utility-Scale Battery Storage'!$A$42:$AJ$42,0),0)*'FRED Graph_22Oct2023'!$D$312*ModelFactors!$D7</f>
        <v>39.731563757833399</v>
      </c>
    </row>
    <row r="19" spans="2:31" x14ac:dyDescent="0.25">
      <c r="B19" s="4" t="s">
        <v>120</v>
      </c>
      <c r="C19" s="3" t="s">
        <v>125</v>
      </c>
      <c r="D19" s="23">
        <f>D18</f>
        <v>2031</v>
      </c>
      <c r="E19" s="23"/>
      <c r="F19" s="23"/>
      <c r="G19" s="24"/>
      <c r="H19" s="24">
        <f>VLOOKUP($C$10&amp;"_"&amp;$C19&amp;"_"&amp;ModelFactors!$C$7,'Utility-Scale Battery Storage'!$A$62:$AJ$76,MATCH($D19,'Utility-Scale Battery Storage'!$A$42:$AJ$42,0),0)*'FRED Graph_22Oct2023'!$D$312*ModelFactors!$D8</f>
        <v>40.043673449568146</v>
      </c>
      <c r="I19" s="24">
        <f>VLOOKUP($C$10&amp;"_"&amp;$C19&amp;"_"&amp;ModelFactors!$C$7,'Utility-Scale Battery Storage'!$A$62:$AJ$76,MATCH($D19,'Utility-Scale Battery Storage'!$A$42:$AJ$42,0),0)*'FRED Graph_22Oct2023'!$D$312*ModelFactors!$D8</f>
        <v>40.043673449568146</v>
      </c>
      <c r="J19" s="24">
        <f>VLOOKUP($C$10&amp;"_"&amp;$C19&amp;"_"&amp;ModelFactors!$C$7,'Utility-Scale Battery Storage'!$A$62:$AJ$76,MATCH($D19,'Utility-Scale Battery Storage'!$A$42:$AJ$42,0),0)*'FRED Graph_22Oct2023'!$D$312*ModelFactors!$D8</f>
        <v>40.043673449568146</v>
      </c>
      <c r="K19" s="24">
        <f>VLOOKUP($C$10&amp;"_"&amp;$C19&amp;"_"&amp;ModelFactors!$C$7,'Utility-Scale Battery Storage'!$A$62:$AJ$76,MATCH($D19,'Utility-Scale Battery Storage'!$A$42:$AJ$42,0),0)*'FRED Graph_22Oct2023'!$D$312*ModelFactors!$D8</f>
        <v>40.043673449568146</v>
      </c>
      <c r="L19" s="24">
        <f>VLOOKUP($C$10&amp;"_"&amp;$C19&amp;"_"&amp;ModelFactors!$C$7,'Utility-Scale Battery Storage'!$A$62:$AJ$76,MATCH($D19,'Utility-Scale Battery Storage'!$A$42:$AJ$42,0),0)*'FRED Graph_22Oct2023'!$D$312*ModelFactors!$D8</f>
        <v>40.043673449568146</v>
      </c>
      <c r="M19" s="24">
        <f>VLOOKUP($C$10&amp;"_"&amp;$C19&amp;"_"&amp;ModelFactors!$C$7,'Utility-Scale Battery Storage'!$A$62:$AJ$76,MATCH($D19,'Utility-Scale Battery Storage'!$A$42:$AJ$42,0),0)*'FRED Graph_22Oct2023'!$D$312*ModelFactors!$D8</f>
        <v>40.043673449568146</v>
      </c>
      <c r="N19" s="24">
        <f>VLOOKUP($C$10&amp;"_"&amp;$C19&amp;"_"&amp;ModelFactors!$C$7,'Utility-Scale Battery Storage'!$A$62:$AJ$76,MATCH($D19,'Utility-Scale Battery Storage'!$A$42:$AJ$42,0),0)*'FRED Graph_22Oct2023'!$D$312*ModelFactors!$D8</f>
        <v>40.043673449568146</v>
      </c>
      <c r="O19" s="24">
        <f>VLOOKUP($C$10&amp;"_"&amp;$C19&amp;"_"&amp;ModelFactors!$C$7,'Utility-Scale Battery Storage'!$A$62:$AJ$76,MATCH($D19,'Utility-Scale Battery Storage'!$A$42:$AJ$42,0),0)*'FRED Graph_22Oct2023'!$D$312*ModelFactors!$D8</f>
        <v>40.043673449568146</v>
      </c>
      <c r="P19" s="24">
        <f>VLOOKUP($C$10&amp;"_"&amp;$C19&amp;"_"&amp;ModelFactors!$C$7,'Utility-Scale Battery Storage'!$A$62:$AJ$76,MATCH($D19,'Utility-Scale Battery Storage'!$A$42:$AJ$42,0),0)*'FRED Graph_22Oct2023'!$D$312*ModelFactors!$D8</f>
        <v>40.043673449568146</v>
      </c>
      <c r="Q19" s="24">
        <f>VLOOKUP($C$10&amp;"_"&amp;$C19&amp;"_"&amp;ModelFactors!$C$7,'Utility-Scale Battery Storage'!$A$62:$AJ$76,MATCH($D19,'Utility-Scale Battery Storage'!$A$42:$AJ$42,0),0)*'FRED Graph_22Oct2023'!$D$312*ModelFactors!$D8</f>
        <v>40.043673449568146</v>
      </c>
      <c r="R19" s="24">
        <f>VLOOKUP($C$10&amp;"_"&amp;$C19&amp;"_"&amp;ModelFactors!$C$7,'Utility-Scale Battery Storage'!$A$62:$AJ$76,MATCH($D19,'Utility-Scale Battery Storage'!$A$42:$AJ$42,0),0)*'FRED Graph_22Oct2023'!$D$312*ModelFactors!$D8</f>
        <v>40.043673449568146</v>
      </c>
      <c r="S19" s="24">
        <f>VLOOKUP($C$10&amp;"_"&amp;$C19&amp;"_"&amp;ModelFactors!$C$7,'Utility-Scale Battery Storage'!$A$62:$AJ$76,MATCH($D19,'Utility-Scale Battery Storage'!$A$42:$AJ$42,0),0)*'FRED Graph_22Oct2023'!$D$312*ModelFactors!$D8</f>
        <v>40.043673449568146</v>
      </c>
      <c r="T19" s="24">
        <f>VLOOKUP($C$10&amp;"_"&amp;$C19&amp;"_"&amp;ModelFactors!$C$7,'Utility-Scale Battery Storage'!$A$62:$AJ$76,MATCH($D19,'Utility-Scale Battery Storage'!$A$42:$AJ$42,0),0)*'FRED Graph_22Oct2023'!$D$312*ModelFactors!$D8</f>
        <v>40.043673449568146</v>
      </c>
      <c r="U19" s="24">
        <f>VLOOKUP($C$10&amp;"_"&amp;$C19&amp;"_"&amp;ModelFactors!$C$7,'Utility-Scale Battery Storage'!$A$62:$AJ$76,MATCH($D19,'Utility-Scale Battery Storage'!$A$42:$AJ$42,0),0)*'FRED Graph_22Oct2023'!$D$312*ModelFactors!$D8</f>
        <v>40.043673449568146</v>
      </c>
      <c r="V19" s="24">
        <f>VLOOKUP($C$10&amp;"_"&amp;$C19&amp;"_"&amp;ModelFactors!$C$7,'Utility-Scale Battery Storage'!$A$62:$AJ$76,MATCH($D19,'Utility-Scale Battery Storage'!$A$42:$AJ$42,0),0)*'FRED Graph_22Oct2023'!$D$312*ModelFactors!$D8</f>
        <v>40.043673449568146</v>
      </c>
      <c r="W19" s="24">
        <f>VLOOKUP($C$10&amp;"_"&amp;$C19&amp;"_"&amp;ModelFactors!$C$7,'Utility-Scale Battery Storage'!$A$62:$AJ$76,MATCH($D19,'Utility-Scale Battery Storage'!$A$42:$AJ$42,0),0)*'FRED Graph_22Oct2023'!$D$312*ModelFactors!$D8</f>
        <v>40.043673449568146</v>
      </c>
      <c r="X19" s="24">
        <f>VLOOKUP($C$10&amp;"_"&amp;$C19&amp;"_"&amp;ModelFactors!$C$7,'Utility-Scale Battery Storage'!$A$62:$AJ$76,MATCH($D19,'Utility-Scale Battery Storage'!$A$42:$AJ$42,0),0)*'FRED Graph_22Oct2023'!$D$312*ModelFactors!$D8</f>
        <v>40.043673449568146</v>
      </c>
      <c r="Y19" s="24">
        <f>VLOOKUP($C$10&amp;"_"&amp;$C19&amp;"_"&amp;ModelFactors!$C$7,'Utility-Scale Battery Storage'!$A$62:$AJ$76,MATCH($D19,'Utility-Scale Battery Storage'!$A$42:$AJ$42,0),0)*'FRED Graph_22Oct2023'!$D$312*ModelFactors!$D8</f>
        <v>40.043673449568146</v>
      </c>
      <c r="Z19" s="24">
        <f>VLOOKUP($C$10&amp;"_"&amp;$C19&amp;"_"&amp;ModelFactors!$C$7,'Utility-Scale Battery Storage'!$A$62:$AJ$76,MATCH($D19,'Utility-Scale Battery Storage'!$A$42:$AJ$42,0),0)*'FRED Graph_22Oct2023'!$D$312*ModelFactors!$D8</f>
        <v>40.043673449568146</v>
      </c>
      <c r="AA19" s="24">
        <f>VLOOKUP($C$10&amp;"_"&amp;$C19&amp;"_"&amp;ModelFactors!$C$7,'Utility-Scale Battery Storage'!$A$62:$AJ$76,MATCH($D19,'Utility-Scale Battery Storage'!$A$42:$AJ$42,0),0)*'FRED Graph_22Oct2023'!$D$312*ModelFactors!$D8</f>
        <v>40.043673449568146</v>
      </c>
      <c r="AB19" s="24">
        <f>VLOOKUP($C$10&amp;"_"&amp;$C19&amp;"_"&amp;ModelFactors!$C$7,'Utility-Scale Battery Storage'!$A$62:$AJ$76,MATCH($D19,'Utility-Scale Battery Storage'!$A$42:$AJ$42,0),0)*'FRED Graph_22Oct2023'!$D$312*ModelFactors!$D8</f>
        <v>40.043673449568146</v>
      </c>
      <c r="AC19" s="24">
        <f>VLOOKUP($C$10&amp;"_"&amp;$C19&amp;"_"&amp;ModelFactors!$C$7,'Utility-Scale Battery Storage'!$A$62:$AJ$76,MATCH($D19,'Utility-Scale Battery Storage'!$A$42:$AJ$42,0),0)*'FRED Graph_22Oct2023'!$D$312*ModelFactors!$D8</f>
        <v>40.043673449568146</v>
      </c>
      <c r="AD19" s="24">
        <f>VLOOKUP($C$10&amp;"_"&amp;$C19&amp;"_"&amp;ModelFactors!$C$7,'Utility-Scale Battery Storage'!$A$62:$AJ$76,MATCH($D19,'Utility-Scale Battery Storage'!$A$42:$AJ$42,0),0)*'FRED Graph_22Oct2023'!$D$312*ModelFactors!$D8</f>
        <v>40.043673449568146</v>
      </c>
      <c r="AE19" s="24">
        <f>VLOOKUP($C$10&amp;"_"&amp;$C19&amp;"_"&amp;ModelFactors!$C$7,'Utility-Scale Battery Storage'!$A$62:$AJ$76,MATCH($D19,'Utility-Scale Battery Storage'!$A$42:$AJ$42,0),0)*'FRED Graph_22Oct2023'!$D$312*ModelFactors!$D8</f>
        <v>40.043673449568146</v>
      </c>
    </row>
    <row r="20" spans="2:31" x14ac:dyDescent="0.25">
      <c r="B20" s="4" t="s">
        <v>119</v>
      </c>
      <c r="C20" s="4" t="s">
        <v>126</v>
      </c>
      <c r="D20" s="23">
        <f>D19</f>
        <v>2031</v>
      </c>
      <c r="E20" s="23"/>
      <c r="F20" s="23"/>
      <c r="G20" s="24"/>
      <c r="H20" s="24">
        <f>VLOOKUP($C$10&amp;"_"&amp;$C20&amp;"_"&amp;ModelFactors!$C$7,'Utility-Scale Battery Storage'!$A$62:$AJ$76,MATCH($D20,'Utility-Scale Battery Storage'!$A$42:$AJ$42,0),0)*'FRED Graph_22Oct2023'!$D$312*ModelFactors!$D9</f>
        <v>86.835139875931915</v>
      </c>
      <c r="I20" s="24">
        <f>VLOOKUP($C$10&amp;"_"&amp;$C20&amp;"_"&amp;ModelFactors!$C$7,'Utility-Scale Battery Storage'!$A$62:$AJ$76,MATCH($D20,'Utility-Scale Battery Storage'!$A$42:$AJ$42,0),0)*'FRED Graph_22Oct2023'!$D$312*ModelFactors!$D9</f>
        <v>86.835139875931915</v>
      </c>
      <c r="J20" s="24">
        <f>VLOOKUP($C$10&amp;"_"&amp;$C20&amp;"_"&amp;ModelFactors!$C$7,'Utility-Scale Battery Storage'!$A$62:$AJ$76,MATCH($D20,'Utility-Scale Battery Storage'!$A$42:$AJ$42,0),0)*'FRED Graph_22Oct2023'!$D$312*ModelFactors!$D9</f>
        <v>86.835139875931915</v>
      </c>
      <c r="K20" s="24">
        <f>VLOOKUP($C$10&amp;"_"&amp;$C20&amp;"_"&amp;ModelFactors!$C$7,'Utility-Scale Battery Storage'!$A$62:$AJ$76,MATCH($D20,'Utility-Scale Battery Storage'!$A$42:$AJ$42,0),0)*'FRED Graph_22Oct2023'!$D$312*ModelFactors!$D9</f>
        <v>86.835139875931915</v>
      </c>
      <c r="L20" s="24">
        <f>VLOOKUP($C$10&amp;"_"&amp;$C20&amp;"_"&amp;ModelFactors!$C$7,'Utility-Scale Battery Storage'!$A$62:$AJ$76,MATCH($D20,'Utility-Scale Battery Storage'!$A$42:$AJ$42,0),0)*'FRED Graph_22Oct2023'!$D$312*ModelFactors!$D9</f>
        <v>86.835139875931915</v>
      </c>
      <c r="M20" s="24">
        <f>VLOOKUP($C$10&amp;"_"&amp;$C20&amp;"_"&amp;ModelFactors!$C$7,'Utility-Scale Battery Storage'!$A$62:$AJ$76,MATCH($D20,'Utility-Scale Battery Storage'!$A$42:$AJ$42,0),0)*'FRED Graph_22Oct2023'!$D$312*ModelFactors!$D9</f>
        <v>86.835139875931915</v>
      </c>
      <c r="N20" s="24">
        <f>VLOOKUP($C$10&amp;"_"&amp;$C20&amp;"_"&amp;ModelFactors!$C$7,'Utility-Scale Battery Storage'!$A$62:$AJ$76,MATCH($D20,'Utility-Scale Battery Storage'!$A$42:$AJ$42,0),0)*'FRED Graph_22Oct2023'!$D$312*ModelFactors!$D9</f>
        <v>86.835139875931915</v>
      </c>
      <c r="O20" s="24">
        <f>VLOOKUP($C$10&amp;"_"&amp;$C20&amp;"_"&amp;ModelFactors!$C$7,'Utility-Scale Battery Storage'!$A$62:$AJ$76,MATCH($D20,'Utility-Scale Battery Storage'!$A$42:$AJ$42,0),0)*'FRED Graph_22Oct2023'!$D$312*ModelFactors!$D9</f>
        <v>86.835139875931915</v>
      </c>
      <c r="P20" s="24">
        <f>VLOOKUP($C$10&amp;"_"&amp;$C20&amp;"_"&amp;ModelFactors!$C$7,'Utility-Scale Battery Storage'!$A$62:$AJ$76,MATCH($D20,'Utility-Scale Battery Storage'!$A$42:$AJ$42,0),0)*'FRED Graph_22Oct2023'!$D$312*ModelFactors!$D9</f>
        <v>86.835139875931915</v>
      </c>
      <c r="Q20" s="24">
        <f>VLOOKUP($C$10&amp;"_"&amp;$C20&amp;"_"&amp;ModelFactors!$C$7,'Utility-Scale Battery Storage'!$A$62:$AJ$76,MATCH($D20,'Utility-Scale Battery Storage'!$A$42:$AJ$42,0),0)*'FRED Graph_22Oct2023'!$D$312*ModelFactors!$D9</f>
        <v>86.835139875931915</v>
      </c>
      <c r="R20" s="24">
        <f>VLOOKUP($C$10&amp;"_"&amp;$C20&amp;"_"&amp;ModelFactors!$C$7,'Utility-Scale Battery Storage'!$A$62:$AJ$76,MATCH($D20,'Utility-Scale Battery Storage'!$A$42:$AJ$42,0),0)*'FRED Graph_22Oct2023'!$D$312*ModelFactors!$D9</f>
        <v>86.835139875931915</v>
      </c>
      <c r="S20" s="24">
        <f>VLOOKUP($C$10&amp;"_"&amp;$C20&amp;"_"&amp;ModelFactors!$C$7,'Utility-Scale Battery Storage'!$A$62:$AJ$76,MATCH($D20,'Utility-Scale Battery Storage'!$A$42:$AJ$42,0),0)*'FRED Graph_22Oct2023'!$D$312*ModelFactors!$D9</f>
        <v>86.835139875931915</v>
      </c>
      <c r="T20" s="24">
        <f>VLOOKUP($C$10&amp;"_"&amp;$C20&amp;"_"&amp;ModelFactors!$C$7,'Utility-Scale Battery Storage'!$A$62:$AJ$76,MATCH($D20,'Utility-Scale Battery Storage'!$A$42:$AJ$42,0),0)*'FRED Graph_22Oct2023'!$D$312*ModelFactors!$D9</f>
        <v>86.835139875931915</v>
      </c>
      <c r="U20" s="24">
        <f>VLOOKUP($C$10&amp;"_"&amp;$C20&amp;"_"&amp;ModelFactors!$C$7,'Utility-Scale Battery Storage'!$A$62:$AJ$76,MATCH($D20,'Utility-Scale Battery Storage'!$A$42:$AJ$42,0),0)*'FRED Graph_22Oct2023'!$D$312*ModelFactors!$D9</f>
        <v>86.835139875931915</v>
      </c>
      <c r="V20" s="24">
        <f>VLOOKUP($C$10&amp;"_"&amp;$C20&amp;"_"&amp;ModelFactors!$C$7,'Utility-Scale Battery Storage'!$A$62:$AJ$76,MATCH($D20,'Utility-Scale Battery Storage'!$A$42:$AJ$42,0),0)*'FRED Graph_22Oct2023'!$D$312*ModelFactors!$D9</f>
        <v>86.835139875931915</v>
      </c>
      <c r="W20" s="24">
        <f>VLOOKUP($C$10&amp;"_"&amp;$C20&amp;"_"&amp;ModelFactors!$C$7,'Utility-Scale Battery Storage'!$A$62:$AJ$76,MATCH($D20,'Utility-Scale Battery Storage'!$A$42:$AJ$42,0),0)*'FRED Graph_22Oct2023'!$D$312*ModelFactors!$D9</f>
        <v>86.835139875931915</v>
      </c>
      <c r="X20" s="24">
        <f>VLOOKUP($C$10&amp;"_"&amp;$C20&amp;"_"&amp;ModelFactors!$C$7,'Utility-Scale Battery Storage'!$A$62:$AJ$76,MATCH($D20,'Utility-Scale Battery Storage'!$A$42:$AJ$42,0),0)*'FRED Graph_22Oct2023'!$D$312*ModelFactors!$D9</f>
        <v>86.835139875931915</v>
      </c>
      <c r="Y20" s="24">
        <f>VLOOKUP($C$10&amp;"_"&amp;$C20&amp;"_"&amp;ModelFactors!$C$7,'Utility-Scale Battery Storage'!$A$62:$AJ$76,MATCH($D20,'Utility-Scale Battery Storage'!$A$42:$AJ$42,0),0)*'FRED Graph_22Oct2023'!$D$312*ModelFactors!$D9</f>
        <v>86.835139875931915</v>
      </c>
      <c r="Z20" s="24">
        <f>VLOOKUP($C$10&amp;"_"&amp;$C20&amp;"_"&amp;ModelFactors!$C$7,'Utility-Scale Battery Storage'!$A$62:$AJ$76,MATCH($D20,'Utility-Scale Battery Storage'!$A$42:$AJ$42,0),0)*'FRED Graph_22Oct2023'!$D$312*ModelFactors!$D9</f>
        <v>86.835139875931915</v>
      </c>
      <c r="AA20" s="24">
        <f>VLOOKUP($C$10&amp;"_"&amp;$C20&amp;"_"&amp;ModelFactors!$C$7,'Utility-Scale Battery Storage'!$A$62:$AJ$76,MATCH($D20,'Utility-Scale Battery Storage'!$A$42:$AJ$42,0),0)*'FRED Graph_22Oct2023'!$D$312*ModelFactors!$D9</f>
        <v>86.835139875931915</v>
      </c>
      <c r="AB20" s="24">
        <f>VLOOKUP($C$10&amp;"_"&amp;$C20&amp;"_"&amp;ModelFactors!$C$7,'Utility-Scale Battery Storage'!$A$62:$AJ$76,MATCH($D20,'Utility-Scale Battery Storage'!$A$42:$AJ$42,0),0)*'FRED Graph_22Oct2023'!$D$312*ModelFactors!$D9</f>
        <v>86.835139875931915</v>
      </c>
      <c r="AC20" s="24">
        <f>VLOOKUP($C$10&amp;"_"&amp;$C20&amp;"_"&amp;ModelFactors!$C$7,'Utility-Scale Battery Storage'!$A$62:$AJ$76,MATCH($D20,'Utility-Scale Battery Storage'!$A$42:$AJ$42,0),0)*'FRED Graph_22Oct2023'!$D$312*ModelFactors!$D9</f>
        <v>86.835139875931915</v>
      </c>
      <c r="AD20" s="24">
        <f>VLOOKUP($C$10&amp;"_"&amp;$C20&amp;"_"&amp;ModelFactors!$C$7,'Utility-Scale Battery Storage'!$A$62:$AJ$76,MATCH($D20,'Utility-Scale Battery Storage'!$A$42:$AJ$42,0),0)*'FRED Graph_22Oct2023'!$D$312*ModelFactors!$D9</f>
        <v>86.835139875931915</v>
      </c>
      <c r="AE20" s="24">
        <f>VLOOKUP($C$10&amp;"_"&amp;$C20&amp;"_"&amp;ModelFactors!$C$7,'Utility-Scale Battery Storage'!$A$62:$AJ$76,MATCH($D20,'Utility-Scale Battery Storage'!$A$42:$AJ$42,0),0)*'FRED Graph_22Oct2023'!$D$312*ModelFactors!$D9</f>
        <v>86.835139875931915</v>
      </c>
    </row>
    <row r="21" spans="2:31" x14ac:dyDescent="0.25">
      <c r="B21" s="4" t="s">
        <v>118</v>
      </c>
      <c r="C21" s="4" t="s">
        <v>126</v>
      </c>
      <c r="D21" s="23">
        <f>D20</f>
        <v>2031</v>
      </c>
      <c r="E21" s="23"/>
      <c r="F21" s="23"/>
      <c r="G21" s="24"/>
      <c r="H21" s="24">
        <f>VLOOKUP($C$10&amp;"_"&amp;$C21&amp;"_"&amp;ModelFactors!$C$7,'Utility-Scale Battery Storage'!$A$62:$AJ$76,MATCH($D21,'Utility-Scale Battery Storage'!$A$42:$AJ$42,0),0)*'FRED Graph_22Oct2023'!$D$312*ModelFactors!$D10</f>
        <v>87.517269804258163</v>
      </c>
      <c r="I21" s="24">
        <f>VLOOKUP($C$10&amp;"_"&amp;$C21&amp;"_"&amp;ModelFactors!$C$7,'Utility-Scale Battery Storage'!$A$62:$AJ$76,MATCH($D21,'Utility-Scale Battery Storage'!$A$42:$AJ$42,0),0)*'FRED Graph_22Oct2023'!$D$312*ModelFactors!$D10</f>
        <v>87.517269804258163</v>
      </c>
      <c r="J21" s="24">
        <f>VLOOKUP($C$10&amp;"_"&amp;$C21&amp;"_"&amp;ModelFactors!$C$7,'Utility-Scale Battery Storage'!$A$62:$AJ$76,MATCH($D21,'Utility-Scale Battery Storage'!$A$42:$AJ$42,0),0)*'FRED Graph_22Oct2023'!$D$312*ModelFactors!$D10</f>
        <v>87.517269804258163</v>
      </c>
      <c r="K21" s="24">
        <f>VLOOKUP($C$10&amp;"_"&amp;$C21&amp;"_"&amp;ModelFactors!$C$7,'Utility-Scale Battery Storage'!$A$62:$AJ$76,MATCH($D21,'Utility-Scale Battery Storage'!$A$42:$AJ$42,0),0)*'FRED Graph_22Oct2023'!$D$312*ModelFactors!$D10</f>
        <v>87.517269804258163</v>
      </c>
      <c r="L21" s="24">
        <f>VLOOKUP($C$10&amp;"_"&amp;$C21&amp;"_"&amp;ModelFactors!$C$7,'Utility-Scale Battery Storage'!$A$62:$AJ$76,MATCH($D21,'Utility-Scale Battery Storage'!$A$42:$AJ$42,0),0)*'FRED Graph_22Oct2023'!$D$312*ModelFactors!$D10</f>
        <v>87.517269804258163</v>
      </c>
      <c r="M21" s="24">
        <f>VLOOKUP($C$10&amp;"_"&amp;$C21&amp;"_"&amp;ModelFactors!$C$7,'Utility-Scale Battery Storage'!$A$62:$AJ$76,MATCH($D21,'Utility-Scale Battery Storage'!$A$42:$AJ$42,0),0)*'FRED Graph_22Oct2023'!$D$312*ModelFactors!$D10</f>
        <v>87.517269804258163</v>
      </c>
      <c r="N21" s="24">
        <f>VLOOKUP($C$10&amp;"_"&amp;$C21&amp;"_"&amp;ModelFactors!$C$7,'Utility-Scale Battery Storage'!$A$62:$AJ$76,MATCH($D21,'Utility-Scale Battery Storage'!$A$42:$AJ$42,0),0)*'FRED Graph_22Oct2023'!$D$312*ModelFactors!$D10</f>
        <v>87.517269804258163</v>
      </c>
      <c r="O21" s="24">
        <f>VLOOKUP($C$10&amp;"_"&amp;$C21&amp;"_"&amp;ModelFactors!$C$7,'Utility-Scale Battery Storage'!$A$62:$AJ$76,MATCH($D21,'Utility-Scale Battery Storage'!$A$42:$AJ$42,0),0)*'FRED Graph_22Oct2023'!$D$312*ModelFactors!$D10</f>
        <v>87.517269804258163</v>
      </c>
      <c r="P21" s="24">
        <f>VLOOKUP($C$10&amp;"_"&amp;$C21&amp;"_"&amp;ModelFactors!$C$7,'Utility-Scale Battery Storage'!$A$62:$AJ$76,MATCH($D21,'Utility-Scale Battery Storage'!$A$42:$AJ$42,0),0)*'FRED Graph_22Oct2023'!$D$312*ModelFactors!$D10</f>
        <v>87.517269804258163</v>
      </c>
      <c r="Q21" s="24">
        <f>VLOOKUP($C$10&amp;"_"&amp;$C21&amp;"_"&amp;ModelFactors!$C$7,'Utility-Scale Battery Storage'!$A$62:$AJ$76,MATCH($D21,'Utility-Scale Battery Storage'!$A$42:$AJ$42,0),0)*'FRED Graph_22Oct2023'!$D$312*ModelFactors!$D10</f>
        <v>87.517269804258163</v>
      </c>
      <c r="R21" s="24">
        <f>VLOOKUP($C$10&amp;"_"&amp;$C21&amp;"_"&amp;ModelFactors!$C$7,'Utility-Scale Battery Storage'!$A$62:$AJ$76,MATCH($D21,'Utility-Scale Battery Storage'!$A$42:$AJ$42,0),0)*'FRED Graph_22Oct2023'!$D$312*ModelFactors!$D10</f>
        <v>87.517269804258163</v>
      </c>
      <c r="S21" s="24">
        <f>VLOOKUP($C$10&amp;"_"&amp;$C21&amp;"_"&amp;ModelFactors!$C$7,'Utility-Scale Battery Storage'!$A$62:$AJ$76,MATCH($D21,'Utility-Scale Battery Storage'!$A$42:$AJ$42,0),0)*'FRED Graph_22Oct2023'!$D$312*ModelFactors!$D10</f>
        <v>87.517269804258163</v>
      </c>
      <c r="T21" s="24">
        <f>VLOOKUP($C$10&amp;"_"&amp;$C21&amp;"_"&amp;ModelFactors!$C$7,'Utility-Scale Battery Storage'!$A$62:$AJ$76,MATCH($D21,'Utility-Scale Battery Storage'!$A$42:$AJ$42,0),0)*'FRED Graph_22Oct2023'!$D$312*ModelFactors!$D10</f>
        <v>87.517269804258163</v>
      </c>
      <c r="U21" s="24">
        <f>VLOOKUP($C$10&amp;"_"&amp;$C21&amp;"_"&amp;ModelFactors!$C$7,'Utility-Scale Battery Storage'!$A$62:$AJ$76,MATCH($D21,'Utility-Scale Battery Storage'!$A$42:$AJ$42,0),0)*'FRED Graph_22Oct2023'!$D$312*ModelFactors!$D10</f>
        <v>87.517269804258163</v>
      </c>
      <c r="V21" s="24">
        <f>VLOOKUP($C$10&amp;"_"&amp;$C21&amp;"_"&amp;ModelFactors!$C$7,'Utility-Scale Battery Storage'!$A$62:$AJ$76,MATCH($D21,'Utility-Scale Battery Storage'!$A$42:$AJ$42,0),0)*'FRED Graph_22Oct2023'!$D$312*ModelFactors!$D10</f>
        <v>87.517269804258163</v>
      </c>
      <c r="W21" s="24">
        <f>VLOOKUP($C$10&amp;"_"&amp;$C21&amp;"_"&amp;ModelFactors!$C$7,'Utility-Scale Battery Storage'!$A$62:$AJ$76,MATCH($D21,'Utility-Scale Battery Storage'!$A$42:$AJ$42,0),0)*'FRED Graph_22Oct2023'!$D$312*ModelFactors!$D10</f>
        <v>87.517269804258163</v>
      </c>
      <c r="X21" s="24">
        <f>VLOOKUP($C$10&amp;"_"&amp;$C21&amp;"_"&amp;ModelFactors!$C$7,'Utility-Scale Battery Storage'!$A$62:$AJ$76,MATCH($D21,'Utility-Scale Battery Storage'!$A$42:$AJ$42,0),0)*'FRED Graph_22Oct2023'!$D$312*ModelFactors!$D10</f>
        <v>87.517269804258163</v>
      </c>
      <c r="Y21" s="24">
        <f>VLOOKUP($C$10&amp;"_"&amp;$C21&amp;"_"&amp;ModelFactors!$C$7,'Utility-Scale Battery Storage'!$A$62:$AJ$76,MATCH($D21,'Utility-Scale Battery Storage'!$A$42:$AJ$42,0),0)*'FRED Graph_22Oct2023'!$D$312*ModelFactors!$D10</f>
        <v>87.517269804258163</v>
      </c>
      <c r="Z21" s="24">
        <f>VLOOKUP($C$10&amp;"_"&amp;$C21&amp;"_"&amp;ModelFactors!$C$7,'Utility-Scale Battery Storage'!$A$62:$AJ$76,MATCH($D21,'Utility-Scale Battery Storage'!$A$42:$AJ$42,0),0)*'FRED Graph_22Oct2023'!$D$312*ModelFactors!$D10</f>
        <v>87.517269804258163</v>
      </c>
      <c r="AA21" s="24">
        <f>VLOOKUP($C$10&amp;"_"&amp;$C21&amp;"_"&amp;ModelFactors!$C$7,'Utility-Scale Battery Storage'!$A$62:$AJ$76,MATCH($D21,'Utility-Scale Battery Storage'!$A$42:$AJ$42,0),0)*'FRED Graph_22Oct2023'!$D$312*ModelFactors!$D10</f>
        <v>87.517269804258163</v>
      </c>
      <c r="AB21" s="24">
        <f>VLOOKUP($C$10&amp;"_"&amp;$C21&amp;"_"&amp;ModelFactors!$C$7,'Utility-Scale Battery Storage'!$A$62:$AJ$76,MATCH($D21,'Utility-Scale Battery Storage'!$A$42:$AJ$42,0),0)*'FRED Graph_22Oct2023'!$D$312*ModelFactors!$D10</f>
        <v>87.517269804258163</v>
      </c>
      <c r="AC21" s="24">
        <f>VLOOKUP($C$10&amp;"_"&amp;$C21&amp;"_"&amp;ModelFactors!$C$7,'Utility-Scale Battery Storage'!$A$62:$AJ$76,MATCH($D21,'Utility-Scale Battery Storage'!$A$42:$AJ$42,0),0)*'FRED Graph_22Oct2023'!$D$312*ModelFactors!$D10</f>
        <v>87.517269804258163</v>
      </c>
      <c r="AD21" s="24">
        <f>VLOOKUP($C$10&amp;"_"&amp;$C21&amp;"_"&amp;ModelFactors!$C$7,'Utility-Scale Battery Storage'!$A$62:$AJ$76,MATCH($D21,'Utility-Scale Battery Storage'!$A$42:$AJ$42,0),0)*'FRED Graph_22Oct2023'!$D$312*ModelFactors!$D10</f>
        <v>87.517269804258163</v>
      </c>
      <c r="AE21" s="24">
        <f>VLOOKUP($C$10&amp;"_"&amp;$C21&amp;"_"&amp;ModelFactors!$C$7,'Utility-Scale Battery Storage'!$A$62:$AJ$76,MATCH($D21,'Utility-Scale Battery Storage'!$A$42:$AJ$42,0),0)*'FRED Graph_22Oct2023'!$D$312*ModelFactors!$D10</f>
        <v>87.517269804258163</v>
      </c>
    </row>
    <row r="22" spans="2:31" x14ac:dyDescent="0.25">
      <c r="B22" s="23"/>
      <c r="C22" s="23"/>
      <c r="D22" s="23"/>
      <c r="E22" s="23"/>
      <c r="F22" s="23"/>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row>
    <row r="23" spans="2:31" x14ac:dyDescent="0.25">
      <c r="B23" s="20" t="s">
        <v>135</v>
      </c>
      <c r="C23" s="23"/>
      <c r="D23" s="23" t="s">
        <v>133</v>
      </c>
      <c r="E23" s="23"/>
      <c r="F23" s="23"/>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row>
    <row r="24" spans="2:31" x14ac:dyDescent="0.25">
      <c r="B24" s="4" t="s">
        <v>121</v>
      </c>
      <c r="C24" s="3" t="s">
        <v>125</v>
      </c>
      <c r="D24" s="23">
        <f>1+D18</f>
        <v>2032</v>
      </c>
      <c r="E24" s="23"/>
      <c r="F24" s="23"/>
      <c r="G24" s="24"/>
      <c r="H24" s="24"/>
      <c r="I24" s="24">
        <f>VLOOKUP($C$10&amp;"_"&amp;$C24&amp;"_"&amp;ModelFactors!$C$7,'Utility-Scale Battery Storage'!$A$62:$AJ$76,MATCH($D24,'Utility-Scale Battery Storage'!$A$42:$AJ$42,0),0)*'FRED Graph_22Oct2023'!$D$312*ModelFactors!$D7</f>
        <v>39.457654986207494</v>
      </c>
      <c r="J24" s="24">
        <f>VLOOKUP($C$10&amp;"_"&amp;$C24&amp;"_"&amp;ModelFactors!$C$7,'Utility-Scale Battery Storage'!$A$62:$AJ$76,MATCH($D24,'Utility-Scale Battery Storage'!$A$42:$AJ$42,0),0)*'FRED Graph_22Oct2023'!$D$312*ModelFactors!$D7</f>
        <v>39.457654986207494</v>
      </c>
      <c r="K24" s="24">
        <f>VLOOKUP($C$10&amp;"_"&amp;$C24&amp;"_"&amp;ModelFactors!$C$7,'Utility-Scale Battery Storage'!$A$62:$AJ$76,MATCH($D24,'Utility-Scale Battery Storage'!$A$42:$AJ$42,0),0)*'FRED Graph_22Oct2023'!$D$312*ModelFactors!$D7</f>
        <v>39.457654986207494</v>
      </c>
      <c r="L24" s="24">
        <f>VLOOKUP($C$10&amp;"_"&amp;$C24&amp;"_"&amp;ModelFactors!$C$7,'Utility-Scale Battery Storage'!$A$62:$AJ$76,MATCH($D24,'Utility-Scale Battery Storage'!$A$42:$AJ$42,0),0)*'FRED Graph_22Oct2023'!$D$312*ModelFactors!$D7</f>
        <v>39.457654986207494</v>
      </c>
      <c r="M24" s="24">
        <f>VLOOKUP($C$10&amp;"_"&amp;$C24&amp;"_"&amp;ModelFactors!$C$7,'Utility-Scale Battery Storage'!$A$62:$AJ$76,MATCH($D24,'Utility-Scale Battery Storage'!$A$42:$AJ$42,0),0)*'FRED Graph_22Oct2023'!$D$312*ModelFactors!$D7</f>
        <v>39.457654986207494</v>
      </c>
      <c r="N24" s="24">
        <f>VLOOKUP($C$10&amp;"_"&amp;$C24&amp;"_"&amp;ModelFactors!$C$7,'Utility-Scale Battery Storage'!$A$62:$AJ$76,MATCH($D24,'Utility-Scale Battery Storage'!$A$42:$AJ$42,0),0)*'FRED Graph_22Oct2023'!$D$312*ModelFactors!$D7</f>
        <v>39.457654986207494</v>
      </c>
      <c r="O24" s="24">
        <f>VLOOKUP($C$10&amp;"_"&amp;$C24&amp;"_"&amp;ModelFactors!$C$7,'Utility-Scale Battery Storage'!$A$62:$AJ$76,MATCH($D24,'Utility-Scale Battery Storage'!$A$42:$AJ$42,0),0)*'FRED Graph_22Oct2023'!$D$312*ModelFactors!$D7</f>
        <v>39.457654986207494</v>
      </c>
      <c r="P24" s="24">
        <f>VLOOKUP($C$10&amp;"_"&amp;$C24&amp;"_"&amp;ModelFactors!$C$7,'Utility-Scale Battery Storage'!$A$62:$AJ$76,MATCH($D24,'Utility-Scale Battery Storage'!$A$42:$AJ$42,0),0)*'FRED Graph_22Oct2023'!$D$312*ModelFactors!$D7</f>
        <v>39.457654986207494</v>
      </c>
      <c r="Q24" s="24">
        <f>VLOOKUP($C$10&amp;"_"&amp;$C24&amp;"_"&amp;ModelFactors!$C$7,'Utility-Scale Battery Storage'!$A$62:$AJ$76,MATCH($D24,'Utility-Scale Battery Storage'!$A$42:$AJ$42,0),0)*'FRED Graph_22Oct2023'!$D$312*ModelFactors!$D7</f>
        <v>39.457654986207494</v>
      </c>
      <c r="R24" s="24">
        <f>VLOOKUP($C$10&amp;"_"&amp;$C24&amp;"_"&amp;ModelFactors!$C$7,'Utility-Scale Battery Storage'!$A$62:$AJ$76,MATCH($D24,'Utility-Scale Battery Storage'!$A$42:$AJ$42,0),0)*'FRED Graph_22Oct2023'!$D$312*ModelFactors!$D7</f>
        <v>39.457654986207494</v>
      </c>
      <c r="S24" s="24">
        <f>VLOOKUP($C$10&amp;"_"&amp;$C24&amp;"_"&amp;ModelFactors!$C$7,'Utility-Scale Battery Storage'!$A$62:$AJ$76,MATCH($D24,'Utility-Scale Battery Storage'!$A$42:$AJ$42,0),0)*'FRED Graph_22Oct2023'!$D$312*ModelFactors!$D7</f>
        <v>39.457654986207494</v>
      </c>
      <c r="T24" s="24">
        <f>VLOOKUP($C$10&amp;"_"&amp;$C24&amp;"_"&amp;ModelFactors!$C$7,'Utility-Scale Battery Storage'!$A$62:$AJ$76,MATCH($D24,'Utility-Scale Battery Storage'!$A$42:$AJ$42,0),0)*'FRED Graph_22Oct2023'!$D$312*ModelFactors!$D7</f>
        <v>39.457654986207494</v>
      </c>
      <c r="U24" s="24">
        <f>VLOOKUP($C$10&amp;"_"&amp;$C24&amp;"_"&amp;ModelFactors!$C$7,'Utility-Scale Battery Storage'!$A$62:$AJ$76,MATCH($D24,'Utility-Scale Battery Storage'!$A$42:$AJ$42,0),0)*'FRED Graph_22Oct2023'!$D$312*ModelFactors!$D7</f>
        <v>39.457654986207494</v>
      </c>
      <c r="V24" s="24">
        <f>VLOOKUP($C$10&amp;"_"&amp;$C24&amp;"_"&amp;ModelFactors!$C$7,'Utility-Scale Battery Storage'!$A$62:$AJ$76,MATCH($D24,'Utility-Scale Battery Storage'!$A$42:$AJ$42,0),0)*'FRED Graph_22Oct2023'!$D$312*ModelFactors!$D7</f>
        <v>39.457654986207494</v>
      </c>
      <c r="W24" s="24">
        <f>VLOOKUP($C$10&amp;"_"&amp;$C24&amp;"_"&amp;ModelFactors!$C$7,'Utility-Scale Battery Storage'!$A$62:$AJ$76,MATCH($D24,'Utility-Scale Battery Storage'!$A$42:$AJ$42,0),0)*'FRED Graph_22Oct2023'!$D$312*ModelFactors!$D7</f>
        <v>39.457654986207494</v>
      </c>
      <c r="X24" s="24">
        <f>VLOOKUP($C$10&amp;"_"&amp;$C24&amp;"_"&amp;ModelFactors!$C$7,'Utility-Scale Battery Storage'!$A$62:$AJ$76,MATCH($D24,'Utility-Scale Battery Storage'!$A$42:$AJ$42,0),0)*'FRED Graph_22Oct2023'!$D$312*ModelFactors!$D7</f>
        <v>39.457654986207494</v>
      </c>
      <c r="Y24" s="24">
        <f>VLOOKUP($C$10&amp;"_"&amp;$C24&amp;"_"&amp;ModelFactors!$C$7,'Utility-Scale Battery Storage'!$A$62:$AJ$76,MATCH($D24,'Utility-Scale Battery Storage'!$A$42:$AJ$42,0),0)*'FRED Graph_22Oct2023'!$D$312*ModelFactors!$D7</f>
        <v>39.457654986207494</v>
      </c>
      <c r="Z24" s="24">
        <f>VLOOKUP($C$10&amp;"_"&amp;$C24&amp;"_"&amp;ModelFactors!$C$7,'Utility-Scale Battery Storage'!$A$62:$AJ$76,MATCH($D24,'Utility-Scale Battery Storage'!$A$42:$AJ$42,0),0)*'FRED Graph_22Oct2023'!$D$312*ModelFactors!$D7</f>
        <v>39.457654986207494</v>
      </c>
      <c r="AA24" s="24">
        <f>VLOOKUP($C$10&amp;"_"&amp;$C24&amp;"_"&amp;ModelFactors!$C$7,'Utility-Scale Battery Storage'!$A$62:$AJ$76,MATCH($D24,'Utility-Scale Battery Storage'!$A$42:$AJ$42,0),0)*'FRED Graph_22Oct2023'!$D$312*ModelFactors!$D7</f>
        <v>39.457654986207494</v>
      </c>
      <c r="AB24" s="24">
        <f>VLOOKUP($C$10&amp;"_"&amp;$C24&amp;"_"&amp;ModelFactors!$C$7,'Utility-Scale Battery Storage'!$A$62:$AJ$76,MATCH($D24,'Utility-Scale Battery Storage'!$A$42:$AJ$42,0),0)*'FRED Graph_22Oct2023'!$D$312*ModelFactors!$D7</f>
        <v>39.457654986207494</v>
      </c>
      <c r="AC24" s="24">
        <f>VLOOKUP($C$10&amp;"_"&amp;$C24&amp;"_"&amp;ModelFactors!$C$7,'Utility-Scale Battery Storage'!$A$62:$AJ$76,MATCH($D24,'Utility-Scale Battery Storage'!$A$42:$AJ$42,0),0)*'FRED Graph_22Oct2023'!$D$312*ModelFactors!$D7</f>
        <v>39.457654986207494</v>
      </c>
      <c r="AD24" s="24">
        <f>VLOOKUP($C$10&amp;"_"&amp;$C24&amp;"_"&amp;ModelFactors!$C$7,'Utility-Scale Battery Storage'!$A$62:$AJ$76,MATCH($D24,'Utility-Scale Battery Storage'!$A$42:$AJ$42,0),0)*'FRED Graph_22Oct2023'!$D$312*ModelFactors!$D7</f>
        <v>39.457654986207494</v>
      </c>
      <c r="AE24" s="24">
        <f>VLOOKUP($C$10&amp;"_"&amp;$C24&amp;"_"&amp;ModelFactors!$C$7,'Utility-Scale Battery Storage'!$A$62:$AJ$76,MATCH($D24,'Utility-Scale Battery Storage'!$A$42:$AJ$42,0),0)*'FRED Graph_22Oct2023'!$D$312*ModelFactors!$D7</f>
        <v>39.457654986207494</v>
      </c>
    </row>
    <row r="25" spans="2:31" x14ac:dyDescent="0.25">
      <c r="B25" s="4" t="s">
        <v>120</v>
      </c>
      <c r="C25" s="3" t="s">
        <v>125</v>
      </c>
      <c r="D25" s="23">
        <f>D24</f>
        <v>2032</v>
      </c>
      <c r="E25" s="23"/>
      <c r="F25" s="23"/>
      <c r="G25" s="24"/>
      <c r="H25" s="24"/>
      <c r="I25" s="24">
        <f>VLOOKUP($C$10&amp;"_"&amp;$C25&amp;"_"&amp;ModelFactors!$C$7,'Utility-Scale Battery Storage'!$A$62:$AJ$76,MATCH($D25,'Utility-Scale Battery Storage'!$A$42:$AJ$42,0),0)*'FRED Graph_22Oct2023'!$D$312*ModelFactors!$D8</f>
        <v>39.767612998667886</v>
      </c>
      <c r="J25" s="24">
        <f>VLOOKUP($C$10&amp;"_"&amp;$C25&amp;"_"&amp;ModelFactors!$C$7,'Utility-Scale Battery Storage'!$A$62:$AJ$76,MATCH($D25,'Utility-Scale Battery Storage'!$A$42:$AJ$42,0),0)*'FRED Graph_22Oct2023'!$D$312*ModelFactors!$D8</f>
        <v>39.767612998667886</v>
      </c>
      <c r="K25" s="24">
        <f>VLOOKUP($C$10&amp;"_"&amp;$C25&amp;"_"&amp;ModelFactors!$C$7,'Utility-Scale Battery Storage'!$A$62:$AJ$76,MATCH($D25,'Utility-Scale Battery Storage'!$A$42:$AJ$42,0),0)*'FRED Graph_22Oct2023'!$D$312*ModelFactors!$D8</f>
        <v>39.767612998667886</v>
      </c>
      <c r="L25" s="24">
        <f>VLOOKUP($C$10&amp;"_"&amp;$C25&amp;"_"&amp;ModelFactors!$C$7,'Utility-Scale Battery Storage'!$A$62:$AJ$76,MATCH($D25,'Utility-Scale Battery Storage'!$A$42:$AJ$42,0),0)*'FRED Graph_22Oct2023'!$D$312*ModelFactors!$D8</f>
        <v>39.767612998667886</v>
      </c>
      <c r="M25" s="24">
        <f>VLOOKUP($C$10&amp;"_"&amp;$C25&amp;"_"&amp;ModelFactors!$C$7,'Utility-Scale Battery Storage'!$A$62:$AJ$76,MATCH($D25,'Utility-Scale Battery Storage'!$A$42:$AJ$42,0),0)*'FRED Graph_22Oct2023'!$D$312*ModelFactors!$D8</f>
        <v>39.767612998667886</v>
      </c>
      <c r="N25" s="24">
        <f>VLOOKUP($C$10&amp;"_"&amp;$C25&amp;"_"&amp;ModelFactors!$C$7,'Utility-Scale Battery Storage'!$A$62:$AJ$76,MATCH($D25,'Utility-Scale Battery Storage'!$A$42:$AJ$42,0),0)*'FRED Graph_22Oct2023'!$D$312*ModelFactors!$D8</f>
        <v>39.767612998667886</v>
      </c>
      <c r="O25" s="24">
        <f>VLOOKUP($C$10&amp;"_"&amp;$C25&amp;"_"&amp;ModelFactors!$C$7,'Utility-Scale Battery Storage'!$A$62:$AJ$76,MATCH($D25,'Utility-Scale Battery Storage'!$A$42:$AJ$42,0),0)*'FRED Graph_22Oct2023'!$D$312*ModelFactors!$D8</f>
        <v>39.767612998667886</v>
      </c>
      <c r="P25" s="24">
        <f>VLOOKUP($C$10&amp;"_"&amp;$C25&amp;"_"&amp;ModelFactors!$C$7,'Utility-Scale Battery Storage'!$A$62:$AJ$76,MATCH($D25,'Utility-Scale Battery Storage'!$A$42:$AJ$42,0),0)*'FRED Graph_22Oct2023'!$D$312*ModelFactors!$D8</f>
        <v>39.767612998667886</v>
      </c>
      <c r="Q25" s="24">
        <f>VLOOKUP($C$10&amp;"_"&amp;$C25&amp;"_"&amp;ModelFactors!$C$7,'Utility-Scale Battery Storage'!$A$62:$AJ$76,MATCH($D25,'Utility-Scale Battery Storage'!$A$42:$AJ$42,0),0)*'FRED Graph_22Oct2023'!$D$312*ModelFactors!$D8</f>
        <v>39.767612998667886</v>
      </c>
      <c r="R25" s="24">
        <f>VLOOKUP($C$10&amp;"_"&amp;$C25&amp;"_"&amp;ModelFactors!$C$7,'Utility-Scale Battery Storage'!$A$62:$AJ$76,MATCH($D25,'Utility-Scale Battery Storage'!$A$42:$AJ$42,0),0)*'FRED Graph_22Oct2023'!$D$312*ModelFactors!$D8</f>
        <v>39.767612998667886</v>
      </c>
      <c r="S25" s="24">
        <f>VLOOKUP($C$10&amp;"_"&amp;$C25&amp;"_"&amp;ModelFactors!$C$7,'Utility-Scale Battery Storage'!$A$62:$AJ$76,MATCH($D25,'Utility-Scale Battery Storage'!$A$42:$AJ$42,0),0)*'FRED Graph_22Oct2023'!$D$312*ModelFactors!$D8</f>
        <v>39.767612998667886</v>
      </c>
      <c r="T25" s="24">
        <f>VLOOKUP($C$10&amp;"_"&amp;$C25&amp;"_"&amp;ModelFactors!$C$7,'Utility-Scale Battery Storage'!$A$62:$AJ$76,MATCH($D25,'Utility-Scale Battery Storage'!$A$42:$AJ$42,0),0)*'FRED Graph_22Oct2023'!$D$312*ModelFactors!$D8</f>
        <v>39.767612998667886</v>
      </c>
      <c r="U25" s="24">
        <f>VLOOKUP($C$10&amp;"_"&amp;$C25&amp;"_"&amp;ModelFactors!$C$7,'Utility-Scale Battery Storage'!$A$62:$AJ$76,MATCH($D25,'Utility-Scale Battery Storage'!$A$42:$AJ$42,0),0)*'FRED Graph_22Oct2023'!$D$312*ModelFactors!$D8</f>
        <v>39.767612998667886</v>
      </c>
      <c r="V25" s="24">
        <f>VLOOKUP($C$10&amp;"_"&amp;$C25&amp;"_"&amp;ModelFactors!$C$7,'Utility-Scale Battery Storage'!$A$62:$AJ$76,MATCH($D25,'Utility-Scale Battery Storage'!$A$42:$AJ$42,0),0)*'FRED Graph_22Oct2023'!$D$312*ModelFactors!$D8</f>
        <v>39.767612998667886</v>
      </c>
      <c r="W25" s="24">
        <f>VLOOKUP($C$10&amp;"_"&amp;$C25&amp;"_"&amp;ModelFactors!$C$7,'Utility-Scale Battery Storage'!$A$62:$AJ$76,MATCH($D25,'Utility-Scale Battery Storage'!$A$42:$AJ$42,0),0)*'FRED Graph_22Oct2023'!$D$312*ModelFactors!$D8</f>
        <v>39.767612998667886</v>
      </c>
      <c r="X25" s="24">
        <f>VLOOKUP($C$10&amp;"_"&amp;$C25&amp;"_"&amp;ModelFactors!$C$7,'Utility-Scale Battery Storage'!$A$62:$AJ$76,MATCH($D25,'Utility-Scale Battery Storage'!$A$42:$AJ$42,0),0)*'FRED Graph_22Oct2023'!$D$312*ModelFactors!$D8</f>
        <v>39.767612998667886</v>
      </c>
      <c r="Y25" s="24">
        <f>VLOOKUP($C$10&amp;"_"&amp;$C25&amp;"_"&amp;ModelFactors!$C$7,'Utility-Scale Battery Storage'!$A$62:$AJ$76,MATCH($D25,'Utility-Scale Battery Storage'!$A$42:$AJ$42,0),0)*'FRED Graph_22Oct2023'!$D$312*ModelFactors!$D8</f>
        <v>39.767612998667886</v>
      </c>
      <c r="Z25" s="24">
        <f>VLOOKUP($C$10&amp;"_"&amp;$C25&amp;"_"&amp;ModelFactors!$C$7,'Utility-Scale Battery Storage'!$A$62:$AJ$76,MATCH($D25,'Utility-Scale Battery Storage'!$A$42:$AJ$42,0),0)*'FRED Graph_22Oct2023'!$D$312*ModelFactors!$D8</f>
        <v>39.767612998667886</v>
      </c>
      <c r="AA25" s="24">
        <f>VLOOKUP($C$10&amp;"_"&amp;$C25&amp;"_"&amp;ModelFactors!$C$7,'Utility-Scale Battery Storage'!$A$62:$AJ$76,MATCH($D25,'Utility-Scale Battery Storage'!$A$42:$AJ$42,0),0)*'FRED Graph_22Oct2023'!$D$312*ModelFactors!$D8</f>
        <v>39.767612998667886</v>
      </c>
      <c r="AB25" s="24">
        <f>VLOOKUP($C$10&amp;"_"&amp;$C25&amp;"_"&amp;ModelFactors!$C$7,'Utility-Scale Battery Storage'!$A$62:$AJ$76,MATCH($D25,'Utility-Scale Battery Storage'!$A$42:$AJ$42,0),0)*'FRED Graph_22Oct2023'!$D$312*ModelFactors!$D8</f>
        <v>39.767612998667886</v>
      </c>
      <c r="AC25" s="24">
        <f>VLOOKUP($C$10&amp;"_"&amp;$C25&amp;"_"&amp;ModelFactors!$C$7,'Utility-Scale Battery Storage'!$A$62:$AJ$76,MATCH($D25,'Utility-Scale Battery Storage'!$A$42:$AJ$42,0),0)*'FRED Graph_22Oct2023'!$D$312*ModelFactors!$D8</f>
        <v>39.767612998667886</v>
      </c>
      <c r="AD25" s="24">
        <f>VLOOKUP($C$10&amp;"_"&amp;$C25&amp;"_"&amp;ModelFactors!$C$7,'Utility-Scale Battery Storage'!$A$62:$AJ$76,MATCH($D25,'Utility-Scale Battery Storage'!$A$42:$AJ$42,0),0)*'FRED Graph_22Oct2023'!$D$312*ModelFactors!$D8</f>
        <v>39.767612998667886</v>
      </c>
      <c r="AE25" s="24">
        <f>VLOOKUP($C$10&amp;"_"&amp;$C25&amp;"_"&amp;ModelFactors!$C$7,'Utility-Scale Battery Storage'!$A$62:$AJ$76,MATCH($D25,'Utility-Scale Battery Storage'!$A$42:$AJ$42,0),0)*'FRED Graph_22Oct2023'!$D$312*ModelFactors!$D8</f>
        <v>39.767612998667886</v>
      </c>
    </row>
    <row r="26" spans="2:31" x14ac:dyDescent="0.25">
      <c r="B26" s="4" t="s">
        <v>119</v>
      </c>
      <c r="C26" s="4" t="s">
        <v>126</v>
      </c>
      <c r="D26" s="23">
        <f>D25</f>
        <v>2032</v>
      </c>
      <c r="E26" s="23"/>
      <c r="F26" s="23"/>
      <c r="G26" s="24"/>
      <c r="H26" s="24"/>
      <c r="I26" s="24">
        <f>VLOOKUP($C$10&amp;"_"&amp;$C26&amp;"_"&amp;ModelFactors!$C$7,'Utility-Scale Battery Storage'!$A$62:$AJ$76,MATCH($D26,'Utility-Scale Battery Storage'!$A$42:$AJ$42,0),0)*'FRED Graph_22Oct2023'!$D$312*ModelFactors!$D9</f>
        <v>86.236499796161823</v>
      </c>
      <c r="J26" s="24">
        <f>VLOOKUP($C$10&amp;"_"&amp;$C26&amp;"_"&amp;ModelFactors!$C$7,'Utility-Scale Battery Storage'!$A$62:$AJ$76,MATCH($D26,'Utility-Scale Battery Storage'!$A$42:$AJ$42,0),0)*'FRED Graph_22Oct2023'!$D$312*ModelFactors!$D9</f>
        <v>86.236499796161823</v>
      </c>
      <c r="K26" s="24">
        <f>VLOOKUP($C$10&amp;"_"&amp;$C26&amp;"_"&amp;ModelFactors!$C$7,'Utility-Scale Battery Storage'!$A$62:$AJ$76,MATCH($D26,'Utility-Scale Battery Storage'!$A$42:$AJ$42,0),0)*'FRED Graph_22Oct2023'!$D$312*ModelFactors!$D9</f>
        <v>86.236499796161823</v>
      </c>
      <c r="L26" s="24">
        <f>VLOOKUP($C$10&amp;"_"&amp;$C26&amp;"_"&amp;ModelFactors!$C$7,'Utility-Scale Battery Storage'!$A$62:$AJ$76,MATCH($D26,'Utility-Scale Battery Storage'!$A$42:$AJ$42,0),0)*'FRED Graph_22Oct2023'!$D$312*ModelFactors!$D9</f>
        <v>86.236499796161823</v>
      </c>
      <c r="M26" s="24">
        <f>VLOOKUP($C$10&amp;"_"&amp;$C26&amp;"_"&amp;ModelFactors!$C$7,'Utility-Scale Battery Storage'!$A$62:$AJ$76,MATCH($D26,'Utility-Scale Battery Storage'!$A$42:$AJ$42,0),0)*'FRED Graph_22Oct2023'!$D$312*ModelFactors!$D9</f>
        <v>86.236499796161823</v>
      </c>
      <c r="N26" s="24">
        <f>VLOOKUP($C$10&amp;"_"&amp;$C26&amp;"_"&amp;ModelFactors!$C$7,'Utility-Scale Battery Storage'!$A$62:$AJ$76,MATCH($D26,'Utility-Scale Battery Storage'!$A$42:$AJ$42,0),0)*'FRED Graph_22Oct2023'!$D$312*ModelFactors!$D9</f>
        <v>86.236499796161823</v>
      </c>
      <c r="O26" s="24">
        <f>VLOOKUP($C$10&amp;"_"&amp;$C26&amp;"_"&amp;ModelFactors!$C$7,'Utility-Scale Battery Storage'!$A$62:$AJ$76,MATCH($D26,'Utility-Scale Battery Storage'!$A$42:$AJ$42,0),0)*'FRED Graph_22Oct2023'!$D$312*ModelFactors!$D9</f>
        <v>86.236499796161823</v>
      </c>
      <c r="P26" s="24">
        <f>VLOOKUP($C$10&amp;"_"&amp;$C26&amp;"_"&amp;ModelFactors!$C$7,'Utility-Scale Battery Storage'!$A$62:$AJ$76,MATCH($D26,'Utility-Scale Battery Storage'!$A$42:$AJ$42,0),0)*'FRED Graph_22Oct2023'!$D$312*ModelFactors!$D9</f>
        <v>86.236499796161823</v>
      </c>
      <c r="Q26" s="24">
        <f>VLOOKUP($C$10&amp;"_"&amp;$C26&amp;"_"&amp;ModelFactors!$C$7,'Utility-Scale Battery Storage'!$A$62:$AJ$76,MATCH($D26,'Utility-Scale Battery Storage'!$A$42:$AJ$42,0),0)*'FRED Graph_22Oct2023'!$D$312*ModelFactors!$D9</f>
        <v>86.236499796161823</v>
      </c>
      <c r="R26" s="24">
        <f>VLOOKUP($C$10&amp;"_"&amp;$C26&amp;"_"&amp;ModelFactors!$C$7,'Utility-Scale Battery Storage'!$A$62:$AJ$76,MATCH($D26,'Utility-Scale Battery Storage'!$A$42:$AJ$42,0),0)*'FRED Graph_22Oct2023'!$D$312*ModelFactors!$D9</f>
        <v>86.236499796161823</v>
      </c>
      <c r="S26" s="24">
        <f>VLOOKUP($C$10&amp;"_"&amp;$C26&amp;"_"&amp;ModelFactors!$C$7,'Utility-Scale Battery Storage'!$A$62:$AJ$76,MATCH($D26,'Utility-Scale Battery Storage'!$A$42:$AJ$42,0),0)*'FRED Graph_22Oct2023'!$D$312*ModelFactors!$D9</f>
        <v>86.236499796161823</v>
      </c>
      <c r="T26" s="24">
        <f>VLOOKUP($C$10&amp;"_"&amp;$C26&amp;"_"&amp;ModelFactors!$C$7,'Utility-Scale Battery Storage'!$A$62:$AJ$76,MATCH($D26,'Utility-Scale Battery Storage'!$A$42:$AJ$42,0),0)*'FRED Graph_22Oct2023'!$D$312*ModelFactors!$D9</f>
        <v>86.236499796161823</v>
      </c>
      <c r="U26" s="24">
        <f>VLOOKUP($C$10&amp;"_"&amp;$C26&amp;"_"&amp;ModelFactors!$C$7,'Utility-Scale Battery Storage'!$A$62:$AJ$76,MATCH($D26,'Utility-Scale Battery Storage'!$A$42:$AJ$42,0),0)*'FRED Graph_22Oct2023'!$D$312*ModelFactors!$D9</f>
        <v>86.236499796161823</v>
      </c>
      <c r="V26" s="24">
        <f>VLOOKUP($C$10&amp;"_"&amp;$C26&amp;"_"&amp;ModelFactors!$C$7,'Utility-Scale Battery Storage'!$A$62:$AJ$76,MATCH($D26,'Utility-Scale Battery Storage'!$A$42:$AJ$42,0),0)*'FRED Graph_22Oct2023'!$D$312*ModelFactors!$D9</f>
        <v>86.236499796161823</v>
      </c>
      <c r="W26" s="24">
        <f>VLOOKUP($C$10&amp;"_"&amp;$C26&amp;"_"&amp;ModelFactors!$C$7,'Utility-Scale Battery Storage'!$A$62:$AJ$76,MATCH($D26,'Utility-Scale Battery Storage'!$A$42:$AJ$42,0),0)*'FRED Graph_22Oct2023'!$D$312*ModelFactors!$D9</f>
        <v>86.236499796161823</v>
      </c>
      <c r="X26" s="24">
        <f>VLOOKUP($C$10&amp;"_"&amp;$C26&amp;"_"&amp;ModelFactors!$C$7,'Utility-Scale Battery Storage'!$A$62:$AJ$76,MATCH($D26,'Utility-Scale Battery Storage'!$A$42:$AJ$42,0),0)*'FRED Graph_22Oct2023'!$D$312*ModelFactors!$D9</f>
        <v>86.236499796161823</v>
      </c>
      <c r="Y26" s="24">
        <f>VLOOKUP($C$10&amp;"_"&amp;$C26&amp;"_"&amp;ModelFactors!$C$7,'Utility-Scale Battery Storage'!$A$62:$AJ$76,MATCH($D26,'Utility-Scale Battery Storage'!$A$42:$AJ$42,0),0)*'FRED Graph_22Oct2023'!$D$312*ModelFactors!$D9</f>
        <v>86.236499796161823</v>
      </c>
      <c r="Z26" s="24">
        <f>VLOOKUP($C$10&amp;"_"&amp;$C26&amp;"_"&amp;ModelFactors!$C$7,'Utility-Scale Battery Storage'!$A$62:$AJ$76,MATCH($D26,'Utility-Scale Battery Storage'!$A$42:$AJ$42,0),0)*'FRED Graph_22Oct2023'!$D$312*ModelFactors!$D9</f>
        <v>86.236499796161823</v>
      </c>
      <c r="AA26" s="24">
        <f>VLOOKUP($C$10&amp;"_"&amp;$C26&amp;"_"&amp;ModelFactors!$C$7,'Utility-Scale Battery Storage'!$A$62:$AJ$76,MATCH($D26,'Utility-Scale Battery Storage'!$A$42:$AJ$42,0),0)*'FRED Graph_22Oct2023'!$D$312*ModelFactors!$D9</f>
        <v>86.236499796161823</v>
      </c>
      <c r="AB26" s="24">
        <f>VLOOKUP($C$10&amp;"_"&amp;$C26&amp;"_"&amp;ModelFactors!$C$7,'Utility-Scale Battery Storage'!$A$62:$AJ$76,MATCH($D26,'Utility-Scale Battery Storage'!$A$42:$AJ$42,0),0)*'FRED Graph_22Oct2023'!$D$312*ModelFactors!$D9</f>
        <v>86.236499796161823</v>
      </c>
      <c r="AC26" s="24">
        <f>VLOOKUP($C$10&amp;"_"&amp;$C26&amp;"_"&amp;ModelFactors!$C$7,'Utility-Scale Battery Storage'!$A$62:$AJ$76,MATCH($D26,'Utility-Scale Battery Storage'!$A$42:$AJ$42,0),0)*'FRED Graph_22Oct2023'!$D$312*ModelFactors!$D9</f>
        <v>86.236499796161823</v>
      </c>
      <c r="AD26" s="24">
        <f>VLOOKUP($C$10&amp;"_"&amp;$C26&amp;"_"&amp;ModelFactors!$C$7,'Utility-Scale Battery Storage'!$A$62:$AJ$76,MATCH($D26,'Utility-Scale Battery Storage'!$A$42:$AJ$42,0),0)*'FRED Graph_22Oct2023'!$D$312*ModelFactors!$D9</f>
        <v>86.236499796161823</v>
      </c>
      <c r="AE26" s="24">
        <f>VLOOKUP($C$10&amp;"_"&amp;$C26&amp;"_"&amp;ModelFactors!$C$7,'Utility-Scale Battery Storage'!$A$62:$AJ$76,MATCH($D26,'Utility-Scale Battery Storage'!$A$42:$AJ$42,0),0)*'FRED Graph_22Oct2023'!$D$312*ModelFactors!$D9</f>
        <v>86.236499796161823</v>
      </c>
    </row>
    <row r="27" spans="2:31" x14ac:dyDescent="0.25">
      <c r="B27" s="4" t="s">
        <v>118</v>
      </c>
      <c r="C27" s="4" t="s">
        <v>126</v>
      </c>
      <c r="D27" s="23">
        <f>D26</f>
        <v>2032</v>
      </c>
      <c r="E27" s="23"/>
      <c r="F27" s="23"/>
      <c r="G27" s="24"/>
      <c r="H27" s="24"/>
      <c r="I27" s="24">
        <f>VLOOKUP($C$10&amp;"_"&amp;$C27&amp;"_"&amp;ModelFactors!$C$7,'Utility-Scale Battery Storage'!$A$62:$AJ$76,MATCH($D27,'Utility-Scale Battery Storage'!$A$42:$AJ$42,0),0)*'FRED Graph_22Oct2023'!$D$312*ModelFactors!$D10</f>
        <v>86.913927131559788</v>
      </c>
      <c r="J27" s="24">
        <f>VLOOKUP($C$10&amp;"_"&amp;$C27&amp;"_"&amp;ModelFactors!$C$7,'Utility-Scale Battery Storage'!$A$62:$AJ$76,MATCH($D27,'Utility-Scale Battery Storage'!$A$42:$AJ$42,0),0)*'FRED Graph_22Oct2023'!$D$312*ModelFactors!$D10</f>
        <v>86.913927131559788</v>
      </c>
      <c r="K27" s="24">
        <f>VLOOKUP($C$10&amp;"_"&amp;$C27&amp;"_"&amp;ModelFactors!$C$7,'Utility-Scale Battery Storage'!$A$62:$AJ$76,MATCH($D27,'Utility-Scale Battery Storage'!$A$42:$AJ$42,0),0)*'FRED Graph_22Oct2023'!$D$312*ModelFactors!$D10</f>
        <v>86.913927131559788</v>
      </c>
      <c r="L27" s="24">
        <f>VLOOKUP($C$10&amp;"_"&amp;$C27&amp;"_"&amp;ModelFactors!$C$7,'Utility-Scale Battery Storage'!$A$62:$AJ$76,MATCH($D27,'Utility-Scale Battery Storage'!$A$42:$AJ$42,0),0)*'FRED Graph_22Oct2023'!$D$312*ModelFactors!$D10</f>
        <v>86.913927131559788</v>
      </c>
      <c r="M27" s="24">
        <f>VLOOKUP($C$10&amp;"_"&amp;$C27&amp;"_"&amp;ModelFactors!$C$7,'Utility-Scale Battery Storage'!$A$62:$AJ$76,MATCH($D27,'Utility-Scale Battery Storage'!$A$42:$AJ$42,0),0)*'FRED Graph_22Oct2023'!$D$312*ModelFactors!$D10</f>
        <v>86.913927131559788</v>
      </c>
      <c r="N27" s="24">
        <f>VLOOKUP($C$10&amp;"_"&amp;$C27&amp;"_"&amp;ModelFactors!$C$7,'Utility-Scale Battery Storage'!$A$62:$AJ$76,MATCH($D27,'Utility-Scale Battery Storage'!$A$42:$AJ$42,0),0)*'FRED Graph_22Oct2023'!$D$312*ModelFactors!$D10</f>
        <v>86.913927131559788</v>
      </c>
      <c r="O27" s="24">
        <f>VLOOKUP($C$10&amp;"_"&amp;$C27&amp;"_"&amp;ModelFactors!$C$7,'Utility-Scale Battery Storage'!$A$62:$AJ$76,MATCH($D27,'Utility-Scale Battery Storage'!$A$42:$AJ$42,0),0)*'FRED Graph_22Oct2023'!$D$312*ModelFactors!$D10</f>
        <v>86.913927131559788</v>
      </c>
      <c r="P27" s="24">
        <f>VLOOKUP($C$10&amp;"_"&amp;$C27&amp;"_"&amp;ModelFactors!$C$7,'Utility-Scale Battery Storage'!$A$62:$AJ$76,MATCH($D27,'Utility-Scale Battery Storage'!$A$42:$AJ$42,0),0)*'FRED Graph_22Oct2023'!$D$312*ModelFactors!$D10</f>
        <v>86.913927131559788</v>
      </c>
      <c r="Q27" s="24">
        <f>VLOOKUP($C$10&amp;"_"&amp;$C27&amp;"_"&amp;ModelFactors!$C$7,'Utility-Scale Battery Storage'!$A$62:$AJ$76,MATCH($D27,'Utility-Scale Battery Storage'!$A$42:$AJ$42,0),0)*'FRED Graph_22Oct2023'!$D$312*ModelFactors!$D10</f>
        <v>86.913927131559788</v>
      </c>
      <c r="R27" s="24">
        <f>VLOOKUP($C$10&amp;"_"&amp;$C27&amp;"_"&amp;ModelFactors!$C$7,'Utility-Scale Battery Storage'!$A$62:$AJ$76,MATCH($D27,'Utility-Scale Battery Storage'!$A$42:$AJ$42,0),0)*'FRED Graph_22Oct2023'!$D$312*ModelFactors!$D10</f>
        <v>86.913927131559788</v>
      </c>
      <c r="S27" s="24">
        <f>VLOOKUP($C$10&amp;"_"&amp;$C27&amp;"_"&amp;ModelFactors!$C$7,'Utility-Scale Battery Storage'!$A$62:$AJ$76,MATCH($D27,'Utility-Scale Battery Storage'!$A$42:$AJ$42,0),0)*'FRED Graph_22Oct2023'!$D$312*ModelFactors!$D10</f>
        <v>86.913927131559788</v>
      </c>
      <c r="T27" s="24">
        <f>VLOOKUP($C$10&amp;"_"&amp;$C27&amp;"_"&amp;ModelFactors!$C$7,'Utility-Scale Battery Storage'!$A$62:$AJ$76,MATCH($D27,'Utility-Scale Battery Storage'!$A$42:$AJ$42,0),0)*'FRED Graph_22Oct2023'!$D$312*ModelFactors!$D10</f>
        <v>86.913927131559788</v>
      </c>
      <c r="U27" s="24">
        <f>VLOOKUP($C$10&amp;"_"&amp;$C27&amp;"_"&amp;ModelFactors!$C$7,'Utility-Scale Battery Storage'!$A$62:$AJ$76,MATCH($D27,'Utility-Scale Battery Storage'!$A$42:$AJ$42,0),0)*'FRED Graph_22Oct2023'!$D$312*ModelFactors!$D10</f>
        <v>86.913927131559788</v>
      </c>
      <c r="V27" s="24">
        <f>VLOOKUP($C$10&amp;"_"&amp;$C27&amp;"_"&amp;ModelFactors!$C$7,'Utility-Scale Battery Storage'!$A$62:$AJ$76,MATCH($D27,'Utility-Scale Battery Storage'!$A$42:$AJ$42,0),0)*'FRED Graph_22Oct2023'!$D$312*ModelFactors!$D10</f>
        <v>86.913927131559788</v>
      </c>
      <c r="W27" s="24">
        <f>VLOOKUP($C$10&amp;"_"&amp;$C27&amp;"_"&amp;ModelFactors!$C$7,'Utility-Scale Battery Storage'!$A$62:$AJ$76,MATCH($D27,'Utility-Scale Battery Storage'!$A$42:$AJ$42,0),0)*'FRED Graph_22Oct2023'!$D$312*ModelFactors!$D10</f>
        <v>86.913927131559788</v>
      </c>
      <c r="X27" s="24">
        <f>VLOOKUP($C$10&amp;"_"&amp;$C27&amp;"_"&amp;ModelFactors!$C$7,'Utility-Scale Battery Storage'!$A$62:$AJ$76,MATCH($D27,'Utility-Scale Battery Storage'!$A$42:$AJ$42,0),0)*'FRED Graph_22Oct2023'!$D$312*ModelFactors!$D10</f>
        <v>86.913927131559788</v>
      </c>
      <c r="Y27" s="24">
        <f>VLOOKUP($C$10&amp;"_"&amp;$C27&amp;"_"&amp;ModelFactors!$C$7,'Utility-Scale Battery Storage'!$A$62:$AJ$76,MATCH($D27,'Utility-Scale Battery Storage'!$A$42:$AJ$42,0),0)*'FRED Graph_22Oct2023'!$D$312*ModelFactors!$D10</f>
        <v>86.913927131559788</v>
      </c>
      <c r="Z27" s="24">
        <f>VLOOKUP($C$10&amp;"_"&amp;$C27&amp;"_"&amp;ModelFactors!$C$7,'Utility-Scale Battery Storage'!$A$62:$AJ$76,MATCH($D27,'Utility-Scale Battery Storage'!$A$42:$AJ$42,0),0)*'FRED Graph_22Oct2023'!$D$312*ModelFactors!$D10</f>
        <v>86.913927131559788</v>
      </c>
      <c r="AA27" s="24">
        <f>VLOOKUP($C$10&amp;"_"&amp;$C27&amp;"_"&amp;ModelFactors!$C$7,'Utility-Scale Battery Storage'!$A$62:$AJ$76,MATCH($D27,'Utility-Scale Battery Storage'!$A$42:$AJ$42,0),0)*'FRED Graph_22Oct2023'!$D$312*ModelFactors!$D10</f>
        <v>86.913927131559788</v>
      </c>
      <c r="AB27" s="24">
        <f>VLOOKUP($C$10&amp;"_"&amp;$C27&amp;"_"&amp;ModelFactors!$C$7,'Utility-Scale Battery Storage'!$A$62:$AJ$76,MATCH($D27,'Utility-Scale Battery Storage'!$A$42:$AJ$42,0),0)*'FRED Graph_22Oct2023'!$D$312*ModelFactors!$D10</f>
        <v>86.913927131559788</v>
      </c>
      <c r="AC27" s="24">
        <f>VLOOKUP($C$10&amp;"_"&amp;$C27&amp;"_"&amp;ModelFactors!$C$7,'Utility-Scale Battery Storage'!$A$62:$AJ$76,MATCH($D27,'Utility-Scale Battery Storage'!$A$42:$AJ$42,0),0)*'FRED Graph_22Oct2023'!$D$312*ModelFactors!$D10</f>
        <v>86.913927131559788</v>
      </c>
      <c r="AD27" s="24">
        <f>VLOOKUP($C$10&amp;"_"&amp;$C27&amp;"_"&amp;ModelFactors!$C$7,'Utility-Scale Battery Storage'!$A$62:$AJ$76,MATCH($D27,'Utility-Scale Battery Storage'!$A$42:$AJ$42,0),0)*'FRED Graph_22Oct2023'!$D$312*ModelFactors!$D10</f>
        <v>86.913927131559788</v>
      </c>
      <c r="AE27" s="24">
        <f>VLOOKUP($C$10&amp;"_"&amp;$C27&amp;"_"&amp;ModelFactors!$C$7,'Utility-Scale Battery Storage'!$A$62:$AJ$76,MATCH($D27,'Utility-Scale Battery Storage'!$A$42:$AJ$42,0),0)*'FRED Graph_22Oct2023'!$D$312*ModelFactors!$D10</f>
        <v>86.913927131559788</v>
      </c>
    </row>
    <row r="28" spans="2:31" x14ac:dyDescent="0.25">
      <c r="B28" s="23"/>
      <c r="C28" s="23"/>
      <c r="D28" s="23"/>
      <c r="E28" s="23"/>
      <c r="F28" s="23"/>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row>
    <row r="29" spans="2:31" x14ac:dyDescent="0.25">
      <c r="B29" s="20" t="s">
        <v>135</v>
      </c>
      <c r="C29" s="23"/>
      <c r="D29" s="23" t="s">
        <v>133</v>
      </c>
      <c r="E29" s="23"/>
      <c r="F29" s="23"/>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row>
    <row r="30" spans="2:31" x14ac:dyDescent="0.25">
      <c r="B30" s="4" t="s">
        <v>121</v>
      </c>
      <c r="C30" s="3" t="s">
        <v>125</v>
      </c>
      <c r="D30" s="23">
        <f>1+D24</f>
        <v>2033</v>
      </c>
      <c r="E30" s="23"/>
      <c r="F30" s="23"/>
      <c r="G30" s="24"/>
      <c r="H30" s="24"/>
      <c r="I30" s="24"/>
      <c r="J30" s="24">
        <f>VLOOKUP($C$10&amp;"_"&amp;$C30&amp;"_"&amp;ModelFactors!$C$7,'Utility-Scale Battery Storage'!$A$62:$AJ$76,MATCH($D30,'Utility-Scale Battery Storage'!$A$42:$AJ$42,0),0)*'FRED Graph_22Oct2023'!$D$312*ModelFactors!$D7</f>
        <v>39.183746214581596</v>
      </c>
      <c r="K30" s="24">
        <f>VLOOKUP($C$10&amp;"_"&amp;$C30&amp;"_"&amp;ModelFactors!$C$7,'Utility-Scale Battery Storage'!$A$62:$AJ$76,MATCH($D30,'Utility-Scale Battery Storage'!$A$42:$AJ$42,0),0)*'FRED Graph_22Oct2023'!$D$312*ModelFactors!$D7</f>
        <v>39.183746214581596</v>
      </c>
      <c r="L30" s="24">
        <f>VLOOKUP($C$10&amp;"_"&amp;$C30&amp;"_"&amp;ModelFactors!$C$7,'Utility-Scale Battery Storage'!$A$62:$AJ$76,MATCH($D30,'Utility-Scale Battery Storage'!$A$42:$AJ$42,0),0)*'FRED Graph_22Oct2023'!$D$312*ModelFactors!$D7</f>
        <v>39.183746214581596</v>
      </c>
      <c r="M30" s="24">
        <f>VLOOKUP($C$10&amp;"_"&amp;$C30&amp;"_"&amp;ModelFactors!$C$7,'Utility-Scale Battery Storage'!$A$62:$AJ$76,MATCH($D30,'Utility-Scale Battery Storage'!$A$42:$AJ$42,0),0)*'FRED Graph_22Oct2023'!$D$312*ModelFactors!$D7</f>
        <v>39.183746214581596</v>
      </c>
      <c r="N30" s="24">
        <f>VLOOKUP($C$10&amp;"_"&amp;$C30&amp;"_"&amp;ModelFactors!$C$7,'Utility-Scale Battery Storage'!$A$62:$AJ$76,MATCH($D30,'Utility-Scale Battery Storage'!$A$42:$AJ$42,0),0)*'FRED Graph_22Oct2023'!$D$312*ModelFactors!$D7</f>
        <v>39.183746214581596</v>
      </c>
      <c r="O30" s="24">
        <f>VLOOKUP($C$10&amp;"_"&amp;$C30&amp;"_"&amp;ModelFactors!$C$7,'Utility-Scale Battery Storage'!$A$62:$AJ$76,MATCH($D30,'Utility-Scale Battery Storage'!$A$42:$AJ$42,0),0)*'FRED Graph_22Oct2023'!$D$312*ModelFactors!$D7</f>
        <v>39.183746214581596</v>
      </c>
      <c r="P30" s="24">
        <f>VLOOKUP($C$10&amp;"_"&amp;$C30&amp;"_"&amp;ModelFactors!$C$7,'Utility-Scale Battery Storage'!$A$62:$AJ$76,MATCH($D30,'Utility-Scale Battery Storage'!$A$42:$AJ$42,0),0)*'FRED Graph_22Oct2023'!$D$312*ModelFactors!$D7</f>
        <v>39.183746214581596</v>
      </c>
      <c r="Q30" s="24">
        <f>VLOOKUP($C$10&amp;"_"&amp;$C30&amp;"_"&amp;ModelFactors!$C$7,'Utility-Scale Battery Storage'!$A$62:$AJ$76,MATCH($D30,'Utility-Scale Battery Storage'!$A$42:$AJ$42,0),0)*'FRED Graph_22Oct2023'!$D$312*ModelFactors!$D7</f>
        <v>39.183746214581596</v>
      </c>
      <c r="R30" s="24">
        <f>VLOOKUP($C$10&amp;"_"&amp;$C30&amp;"_"&amp;ModelFactors!$C$7,'Utility-Scale Battery Storage'!$A$62:$AJ$76,MATCH($D30,'Utility-Scale Battery Storage'!$A$42:$AJ$42,0),0)*'FRED Graph_22Oct2023'!$D$312*ModelFactors!$D7</f>
        <v>39.183746214581596</v>
      </c>
      <c r="S30" s="24">
        <f>VLOOKUP($C$10&amp;"_"&amp;$C30&amp;"_"&amp;ModelFactors!$C$7,'Utility-Scale Battery Storage'!$A$62:$AJ$76,MATCH($D30,'Utility-Scale Battery Storage'!$A$42:$AJ$42,0),0)*'FRED Graph_22Oct2023'!$D$312*ModelFactors!$D7</f>
        <v>39.183746214581596</v>
      </c>
      <c r="T30" s="24">
        <f>VLOOKUP($C$10&amp;"_"&amp;$C30&amp;"_"&amp;ModelFactors!$C$7,'Utility-Scale Battery Storage'!$A$62:$AJ$76,MATCH($D30,'Utility-Scale Battery Storage'!$A$42:$AJ$42,0),0)*'FRED Graph_22Oct2023'!$D$312*ModelFactors!$D7</f>
        <v>39.183746214581596</v>
      </c>
      <c r="U30" s="24">
        <f>VLOOKUP($C$10&amp;"_"&amp;$C30&amp;"_"&amp;ModelFactors!$C$7,'Utility-Scale Battery Storage'!$A$62:$AJ$76,MATCH($D30,'Utility-Scale Battery Storage'!$A$42:$AJ$42,0),0)*'FRED Graph_22Oct2023'!$D$312*ModelFactors!$D7</f>
        <v>39.183746214581596</v>
      </c>
      <c r="V30" s="24">
        <f>VLOOKUP($C$10&amp;"_"&amp;$C30&amp;"_"&amp;ModelFactors!$C$7,'Utility-Scale Battery Storage'!$A$62:$AJ$76,MATCH($D30,'Utility-Scale Battery Storage'!$A$42:$AJ$42,0),0)*'FRED Graph_22Oct2023'!$D$312*ModelFactors!$D7</f>
        <v>39.183746214581596</v>
      </c>
      <c r="W30" s="24">
        <f>VLOOKUP($C$10&amp;"_"&amp;$C30&amp;"_"&amp;ModelFactors!$C$7,'Utility-Scale Battery Storage'!$A$62:$AJ$76,MATCH($D30,'Utility-Scale Battery Storage'!$A$42:$AJ$42,0),0)*'FRED Graph_22Oct2023'!$D$312*ModelFactors!$D7</f>
        <v>39.183746214581596</v>
      </c>
      <c r="X30" s="24">
        <f>VLOOKUP($C$10&amp;"_"&amp;$C30&amp;"_"&amp;ModelFactors!$C$7,'Utility-Scale Battery Storage'!$A$62:$AJ$76,MATCH($D30,'Utility-Scale Battery Storage'!$A$42:$AJ$42,0),0)*'FRED Graph_22Oct2023'!$D$312*ModelFactors!$D7</f>
        <v>39.183746214581596</v>
      </c>
      <c r="Y30" s="24">
        <f>VLOOKUP($C$10&amp;"_"&amp;$C30&amp;"_"&amp;ModelFactors!$C$7,'Utility-Scale Battery Storage'!$A$62:$AJ$76,MATCH($D30,'Utility-Scale Battery Storage'!$A$42:$AJ$42,0),0)*'FRED Graph_22Oct2023'!$D$312*ModelFactors!$D7</f>
        <v>39.183746214581596</v>
      </c>
      <c r="Z30" s="24">
        <f>VLOOKUP($C$10&amp;"_"&amp;$C30&amp;"_"&amp;ModelFactors!$C$7,'Utility-Scale Battery Storage'!$A$62:$AJ$76,MATCH($D30,'Utility-Scale Battery Storage'!$A$42:$AJ$42,0),0)*'FRED Graph_22Oct2023'!$D$312*ModelFactors!$D7</f>
        <v>39.183746214581596</v>
      </c>
      <c r="AA30" s="24">
        <f>VLOOKUP($C$10&amp;"_"&amp;$C30&amp;"_"&amp;ModelFactors!$C$7,'Utility-Scale Battery Storage'!$A$62:$AJ$76,MATCH($D30,'Utility-Scale Battery Storage'!$A$42:$AJ$42,0),0)*'FRED Graph_22Oct2023'!$D$312*ModelFactors!$D7</f>
        <v>39.183746214581596</v>
      </c>
      <c r="AB30" s="24">
        <f>VLOOKUP($C$10&amp;"_"&amp;$C30&amp;"_"&amp;ModelFactors!$C$7,'Utility-Scale Battery Storage'!$A$62:$AJ$76,MATCH($D30,'Utility-Scale Battery Storage'!$A$42:$AJ$42,0),0)*'FRED Graph_22Oct2023'!$D$312*ModelFactors!$D7</f>
        <v>39.183746214581596</v>
      </c>
      <c r="AC30" s="24">
        <f>VLOOKUP($C$10&amp;"_"&amp;$C30&amp;"_"&amp;ModelFactors!$C$7,'Utility-Scale Battery Storage'!$A$62:$AJ$76,MATCH($D30,'Utility-Scale Battery Storage'!$A$42:$AJ$42,0),0)*'FRED Graph_22Oct2023'!$D$312*ModelFactors!$D7</f>
        <v>39.183746214581596</v>
      </c>
      <c r="AD30" s="24">
        <f>VLOOKUP($C$10&amp;"_"&amp;$C30&amp;"_"&amp;ModelFactors!$C$7,'Utility-Scale Battery Storage'!$A$62:$AJ$76,MATCH($D30,'Utility-Scale Battery Storage'!$A$42:$AJ$42,0),0)*'FRED Graph_22Oct2023'!$D$312*ModelFactors!$D7</f>
        <v>39.183746214581596</v>
      </c>
      <c r="AE30" s="24">
        <f>VLOOKUP($C$10&amp;"_"&amp;$C30&amp;"_"&amp;ModelFactors!$C$7,'Utility-Scale Battery Storage'!$A$62:$AJ$76,MATCH($D30,'Utility-Scale Battery Storage'!$A$42:$AJ$42,0),0)*'FRED Graph_22Oct2023'!$D$312*ModelFactors!$D7</f>
        <v>39.183746214581596</v>
      </c>
    </row>
    <row r="31" spans="2:31" x14ac:dyDescent="0.25">
      <c r="B31" s="4" t="s">
        <v>120</v>
      </c>
      <c r="C31" s="3" t="s">
        <v>125</v>
      </c>
      <c r="D31" s="23">
        <f>D30</f>
        <v>2033</v>
      </c>
      <c r="E31" s="23"/>
      <c r="F31" s="23"/>
      <c r="G31" s="24"/>
      <c r="H31" s="24"/>
      <c r="I31" s="24"/>
      <c r="J31" s="24">
        <f>VLOOKUP($C$10&amp;"_"&amp;$C31&amp;"_"&amp;ModelFactors!$C$7,'Utility-Scale Battery Storage'!$A$62:$AJ$76,MATCH($D31,'Utility-Scale Battery Storage'!$A$42:$AJ$42,0),0)*'FRED Graph_22Oct2023'!$D$312*ModelFactors!$D8</f>
        <v>39.491552547767625</v>
      </c>
      <c r="K31" s="24">
        <f>VLOOKUP($C$10&amp;"_"&amp;$C31&amp;"_"&amp;ModelFactors!$C$7,'Utility-Scale Battery Storage'!$A$62:$AJ$76,MATCH($D31,'Utility-Scale Battery Storage'!$A$42:$AJ$42,0),0)*'FRED Graph_22Oct2023'!$D$312*ModelFactors!$D8</f>
        <v>39.491552547767625</v>
      </c>
      <c r="L31" s="24">
        <f>VLOOKUP($C$10&amp;"_"&amp;$C31&amp;"_"&amp;ModelFactors!$C$7,'Utility-Scale Battery Storage'!$A$62:$AJ$76,MATCH($D31,'Utility-Scale Battery Storage'!$A$42:$AJ$42,0),0)*'FRED Graph_22Oct2023'!$D$312*ModelFactors!$D8</f>
        <v>39.491552547767625</v>
      </c>
      <c r="M31" s="24">
        <f>VLOOKUP($C$10&amp;"_"&amp;$C31&amp;"_"&amp;ModelFactors!$C$7,'Utility-Scale Battery Storage'!$A$62:$AJ$76,MATCH($D31,'Utility-Scale Battery Storage'!$A$42:$AJ$42,0),0)*'FRED Graph_22Oct2023'!$D$312*ModelFactors!$D8</f>
        <v>39.491552547767625</v>
      </c>
      <c r="N31" s="24">
        <f>VLOOKUP($C$10&amp;"_"&amp;$C31&amp;"_"&amp;ModelFactors!$C$7,'Utility-Scale Battery Storage'!$A$62:$AJ$76,MATCH($D31,'Utility-Scale Battery Storage'!$A$42:$AJ$42,0),0)*'FRED Graph_22Oct2023'!$D$312*ModelFactors!$D8</f>
        <v>39.491552547767625</v>
      </c>
      <c r="O31" s="24">
        <f>VLOOKUP($C$10&amp;"_"&amp;$C31&amp;"_"&amp;ModelFactors!$C$7,'Utility-Scale Battery Storage'!$A$62:$AJ$76,MATCH($D31,'Utility-Scale Battery Storage'!$A$42:$AJ$42,0),0)*'FRED Graph_22Oct2023'!$D$312*ModelFactors!$D8</f>
        <v>39.491552547767625</v>
      </c>
      <c r="P31" s="24">
        <f>VLOOKUP($C$10&amp;"_"&amp;$C31&amp;"_"&amp;ModelFactors!$C$7,'Utility-Scale Battery Storage'!$A$62:$AJ$76,MATCH($D31,'Utility-Scale Battery Storage'!$A$42:$AJ$42,0),0)*'FRED Graph_22Oct2023'!$D$312*ModelFactors!$D8</f>
        <v>39.491552547767625</v>
      </c>
      <c r="Q31" s="24">
        <f>VLOOKUP($C$10&amp;"_"&amp;$C31&amp;"_"&amp;ModelFactors!$C$7,'Utility-Scale Battery Storage'!$A$62:$AJ$76,MATCH($D31,'Utility-Scale Battery Storage'!$A$42:$AJ$42,0),0)*'FRED Graph_22Oct2023'!$D$312*ModelFactors!$D8</f>
        <v>39.491552547767625</v>
      </c>
      <c r="R31" s="24">
        <f>VLOOKUP($C$10&amp;"_"&amp;$C31&amp;"_"&amp;ModelFactors!$C$7,'Utility-Scale Battery Storage'!$A$62:$AJ$76,MATCH($D31,'Utility-Scale Battery Storage'!$A$42:$AJ$42,0),0)*'FRED Graph_22Oct2023'!$D$312*ModelFactors!$D8</f>
        <v>39.491552547767625</v>
      </c>
      <c r="S31" s="24">
        <f>VLOOKUP($C$10&amp;"_"&amp;$C31&amp;"_"&amp;ModelFactors!$C$7,'Utility-Scale Battery Storage'!$A$62:$AJ$76,MATCH($D31,'Utility-Scale Battery Storage'!$A$42:$AJ$42,0),0)*'FRED Graph_22Oct2023'!$D$312*ModelFactors!$D8</f>
        <v>39.491552547767625</v>
      </c>
      <c r="T31" s="24">
        <f>VLOOKUP($C$10&amp;"_"&amp;$C31&amp;"_"&amp;ModelFactors!$C$7,'Utility-Scale Battery Storage'!$A$62:$AJ$76,MATCH($D31,'Utility-Scale Battery Storage'!$A$42:$AJ$42,0),0)*'FRED Graph_22Oct2023'!$D$312*ModelFactors!$D8</f>
        <v>39.491552547767625</v>
      </c>
      <c r="U31" s="24">
        <f>VLOOKUP($C$10&amp;"_"&amp;$C31&amp;"_"&amp;ModelFactors!$C$7,'Utility-Scale Battery Storage'!$A$62:$AJ$76,MATCH($D31,'Utility-Scale Battery Storage'!$A$42:$AJ$42,0),0)*'FRED Graph_22Oct2023'!$D$312*ModelFactors!$D8</f>
        <v>39.491552547767625</v>
      </c>
      <c r="V31" s="24">
        <f>VLOOKUP($C$10&amp;"_"&amp;$C31&amp;"_"&amp;ModelFactors!$C$7,'Utility-Scale Battery Storage'!$A$62:$AJ$76,MATCH($D31,'Utility-Scale Battery Storage'!$A$42:$AJ$42,0),0)*'FRED Graph_22Oct2023'!$D$312*ModelFactors!$D8</f>
        <v>39.491552547767625</v>
      </c>
      <c r="W31" s="24">
        <f>VLOOKUP($C$10&amp;"_"&amp;$C31&amp;"_"&amp;ModelFactors!$C$7,'Utility-Scale Battery Storage'!$A$62:$AJ$76,MATCH($D31,'Utility-Scale Battery Storage'!$A$42:$AJ$42,0),0)*'FRED Graph_22Oct2023'!$D$312*ModelFactors!$D8</f>
        <v>39.491552547767625</v>
      </c>
      <c r="X31" s="24">
        <f>VLOOKUP($C$10&amp;"_"&amp;$C31&amp;"_"&amp;ModelFactors!$C$7,'Utility-Scale Battery Storage'!$A$62:$AJ$76,MATCH($D31,'Utility-Scale Battery Storage'!$A$42:$AJ$42,0),0)*'FRED Graph_22Oct2023'!$D$312*ModelFactors!$D8</f>
        <v>39.491552547767625</v>
      </c>
      <c r="Y31" s="24">
        <f>VLOOKUP($C$10&amp;"_"&amp;$C31&amp;"_"&amp;ModelFactors!$C$7,'Utility-Scale Battery Storage'!$A$62:$AJ$76,MATCH($D31,'Utility-Scale Battery Storage'!$A$42:$AJ$42,0),0)*'FRED Graph_22Oct2023'!$D$312*ModelFactors!$D8</f>
        <v>39.491552547767625</v>
      </c>
      <c r="Z31" s="24">
        <f>VLOOKUP($C$10&amp;"_"&amp;$C31&amp;"_"&amp;ModelFactors!$C$7,'Utility-Scale Battery Storage'!$A$62:$AJ$76,MATCH($D31,'Utility-Scale Battery Storage'!$A$42:$AJ$42,0),0)*'FRED Graph_22Oct2023'!$D$312*ModelFactors!$D8</f>
        <v>39.491552547767625</v>
      </c>
      <c r="AA31" s="24">
        <f>VLOOKUP($C$10&amp;"_"&amp;$C31&amp;"_"&amp;ModelFactors!$C$7,'Utility-Scale Battery Storage'!$A$62:$AJ$76,MATCH($D31,'Utility-Scale Battery Storage'!$A$42:$AJ$42,0),0)*'FRED Graph_22Oct2023'!$D$312*ModelFactors!$D8</f>
        <v>39.491552547767625</v>
      </c>
      <c r="AB31" s="24">
        <f>VLOOKUP($C$10&amp;"_"&amp;$C31&amp;"_"&amp;ModelFactors!$C$7,'Utility-Scale Battery Storage'!$A$62:$AJ$76,MATCH($D31,'Utility-Scale Battery Storage'!$A$42:$AJ$42,0),0)*'FRED Graph_22Oct2023'!$D$312*ModelFactors!$D8</f>
        <v>39.491552547767625</v>
      </c>
      <c r="AC31" s="24">
        <f>VLOOKUP($C$10&amp;"_"&amp;$C31&amp;"_"&amp;ModelFactors!$C$7,'Utility-Scale Battery Storage'!$A$62:$AJ$76,MATCH($D31,'Utility-Scale Battery Storage'!$A$42:$AJ$42,0),0)*'FRED Graph_22Oct2023'!$D$312*ModelFactors!$D8</f>
        <v>39.491552547767625</v>
      </c>
      <c r="AD31" s="24">
        <f>VLOOKUP($C$10&amp;"_"&amp;$C31&amp;"_"&amp;ModelFactors!$C$7,'Utility-Scale Battery Storage'!$A$62:$AJ$76,MATCH($D31,'Utility-Scale Battery Storage'!$A$42:$AJ$42,0),0)*'FRED Graph_22Oct2023'!$D$312*ModelFactors!$D8</f>
        <v>39.491552547767625</v>
      </c>
      <c r="AE31" s="24">
        <f>VLOOKUP($C$10&amp;"_"&amp;$C31&amp;"_"&amp;ModelFactors!$C$7,'Utility-Scale Battery Storage'!$A$62:$AJ$76,MATCH($D31,'Utility-Scale Battery Storage'!$A$42:$AJ$42,0),0)*'FRED Graph_22Oct2023'!$D$312*ModelFactors!$D8</f>
        <v>39.491552547767625</v>
      </c>
    </row>
    <row r="32" spans="2:31" x14ac:dyDescent="0.25">
      <c r="B32" s="4" t="s">
        <v>119</v>
      </c>
      <c r="C32" s="4" t="s">
        <v>126</v>
      </c>
      <c r="D32" s="23">
        <f>D31</f>
        <v>2033</v>
      </c>
      <c r="E32" s="23"/>
      <c r="F32" s="23"/>
      <c r="G32" s="24"/>
      <c r="H32" s="24"/>
      <c r="I32" s="24"/>
      <c r="J32" s="24">
        <f>VLOOKUP($C$10&amp;"_"&amp;$C32&amp;"_"&amp;ModelFactors!$C$7,'Utility-Scale Battery Storage'!$A$62:$AJ$76,MATCH($D32,'Utility-Scale Battery Storage'!$A$42:$AJ$42,0),0)*'FRED Graph_22Oct2023'!$D$312*ModelFactors!$D9</f>
        <v>85.637859716391731</v>
      </c>
      <c r="K32" s="24">
        <f>VLOOKUP($C$10&amp;"_"&amp;$C32&amp;"_"&amp;ModelFactors!$C$7,'Utility-Scale Battery Storage'!$A$62:$AJ$76,MATCH($D32,'Utility-Scale Battery Storage'!$A$42:$AJ$42,0),0)*'FRED Graph_22Oct2023'!$D$312*ModelFactors!$D9</f>
        <v>85.637859716391731</v>
      </c>
      <c r="L32" s="24">
        <f>VLOOKUP($C$10&amp;"_"&amp;$C32&amp;"_"&amp;ModelFactors!$C$7,'Utility-Scale Battery Storage'!$A$62:$AJ$76,MATCH($D32,'Utility-Scale Battery Storage'!$A$42:$AJ$42,0),0)*'FRED Graph_22Oct2023'!$D$312*ModelFactors!$D9</f>
        <v>85.637859716391731</v>
      </c>
      <c r="M32" s="24">
        <f>VLOOKUP($C$10&amp;"_"&amp;$C32&amp;"_"&amp;ModelFactors!$C$7,'Utility-Scale Battery Storage'!$A$62:$AJ$76,MATCH($D32,'Utility-Scale Battery Storage'!$A$42:$AJ$42,0),0)*'FRED Graph_22Oct2023'!$D$312*ModelFactors!$D9</f>
        <v>85.637859716391731</v>
      </c>
      <c r="N32" s="24">
        <f>VLOOKUP($C$10&amp;"_"&amp;$C32&amp;"_"&amp;ModelFactors!$C$7,'Utility-Scale Battery Storage'!$A$62:$AJ$76,MATCH($D32,'Utility-Scale Battery Storage'!$A$42:$AJ$42,0),0)*'FRED Graph_22Oct2023'!$D$312*ModelFactors!$D9</f>
        <v>85.637859716391731</v>
      </c>
      <c r="O32" s="24">
        <f>VLOOKUP($C$10&amp;"_"&amp;$C32&amp;"_"&amp;ModelFactors!$C$7,'Utility-Scale Battery Storage'!$A$62:$AJ$76,MATCH($D32,'Utility-Scale Battery Storage'!$A$42:$AJ$42,0),0)*'FRED Graph_22Oct2023'!$D$312*ModelFactors!$D9</f>
        <v>85.637859716391731</v>
      </c>
      <c r="P32" s="24">
        <f>VLOOKUP($C$10&amp;"_"&amp;$C32&amp;"_"&amp;ModelFactors!$C$7,'Utility-Scale Battery Storage'!$A$62:$AJ$76,MATCH($D32,'Utility-Scale Battery Storage'!$A$42:$AJ$42,0),0)*'FRED Graph_22Oct2023'!$D$312*ModelFactors!$D9</f>
        <v>85.637859716391731</v>
      </c>
      <c r="Q32" s="24">
        <f>VLOOKUP($C$10&amp;"_"&amp;$C32&amp;"_"&amp;ModelFactors!$C$7,'Utility-Scale Battery Storage'!$A$62:$AJ$76,MATCH($D32,'Utility-Scale Battery Storage'!$A$42:$AJ$42,0),0)*'FRED Graph_22Oct2023'!$D$312*ModelFactors!$D9</f>
        <v>85.637859716391731</v>
      </c>
      <c r="R32" s="24">
        <f>VLOOKUP($C$10&amp;"_"&amp;$C32&amp;"_"&amp;ModelFactors!$C$7,'Utility-Scale Battery Storage'!$A$62:$AJ$76,MATCH($D32,'Utility-Scale Battery Storage'!$A$42:$AJ$42,0),0)*'FRED Graph_22Oct2023'!$D$312*ModelFactors!$D9</f>
        <v>85.637859716391731</v>
      </c>
      <c r="S32" s="24">
        <f>VLOOKUP($C$10&amp;"_"&amp;$C32&amp;"_"&amp;ModelFactors!$C$7,'Utility-Scale Battery Storage'!$A$62:$AJ$76,MATCH($D32,'Utility-Scale Battery Storage'!$A$42:$AJ$42,0),0)*'FRED Graph_22Oct2023'!$D$312*ModelFactors!$D9</f>
        <v>85.637859716391731</v>
      </c>
      <c r="T32" s="24">
        <f>VLOOKUP($C$10&amp;"_"&amp;$C32&amp;"_"&amp;ModelFactors!$C$7,'Utility-Scale Battery Storage'!$A$62:$AJ$76,MATCH($D32,'Utility-Scale Battery Storage'!$A$42:$AJ$42,0),0)*'FRED Graph_22Oct2023'!$D$312*ModelFactors!$D9</f>
        <v>85.637859716391731</v>
      </c>
      <c r="U32" s="24">
        <f>VLOOKUP($C$10&amp;"_"&amp;$C32&amp;"_"&amp;ModelFactors!$C$7,'Utility-Scale Battery Storage'!$A$62:$AJ$76,MATCH($D32,'Utility-Scale Battery Storage'!$A$42:$AJ$42,0),0)*'FRED Graph_22Oct2023'!$D$312*ModelFactors!$D9</f>
        <v>85.637859716391731</v>
      </c>
      <c r="V32" s="24">
        <f>VLOOKUP($C$10&amp;"_"&amp;$C32&amp;"_"&amp;ModelFactors!$C$7,'Utility-Scale Battery Storage'!$A$62:$AJ$76,MATCH($D32,'Utility-Scale Battery Storage'!$A$42:$AJ$42,0),0)*'FRED Graph_22Oct2023'!$D$312*ModelFactors!$D9</f>
        <v>85.637859716391731</v>
      </c>
      <c r="W32" s="24">
        <f>VLOOKUP($C$10&amp;"_"&amp;$C32&amp;"_"&amp;ModelFactors!$C$7,'Utility-Scale Battery Storage'!$A$62:$AJ$76,MATCH($D32,'Utility-Scale Battery Storage'!$A$42:$AJ$42,0),0)*'FRED Graph_22Oct2023'!$D$312*ModelFactors!$D9</f>
        <v>85.637859716391731</v>
      </c>
      <c r="X32" s="24">
        <f>VLOOKUP($C$10&amp;"_"&amp;$C32&amp;"_"&amp;ModelFactors!$C$7,'Utility-Scale Battery Storage'!$A$62:$AJ$76,MATCH($D32,'Utility-Scale Battery Storage'!$A$42:$AJ$42,0),0)*'FRED Graph_22Oct2023'!$D$312*ModelFactors!$D9</f>
        <v>85.637859716391731</v>
      </c>
      <c r="Y32" s="24">
        <f>VLOOKUP($C$10&amp;"_"&amp;$C32&amp;"_"&amp;ModelFactors!$C$7,'Utility-Scale Battery Storage'!$A$62:$AJ$76,MATCH($D32,'Utility-Scale Battery Storage'!$A$42:$AJ$42,0),0)*'FRED Graph_22Oct2023'!$D$312*ModelFactors!$D9</f>
        <v>85.637859716391731</v>
      </c>
      <c r="Z32" s="24">
        <f>VLOOKUP($C$10&amp;"_"&amp;$C32&amp;"_"&amp;ModelFactors!$C$7,'Utility-Scale Battery Storage'!$A$62:$AJ$76,MATCH($D32,'Utility-Scale Battery Storage'!$A$42:$AJ$42,0),0)*'FRED Graph_22Oct2023'!$D$312*ModelFactors!$D9</f>
        <v>85.637859716391731</v>
      </c>
      <c r="AA32" s="24">
        <f>VLOOKUP($C$10&amp;"_"&amp;$C32&amp;"_"&amp;ModelFactors!$C$7,'Utility-Scale Battery Storage'!$A$62:$AJ$76,MATCH($D32,'Utility-Scale Battery Storage'!$A$42:$AJ$42,0),0)*'FRED Graph_22Oct2023'!$D$312*ModelFactors!$D9</f>
        <v>85.637859716391731</v>
      </c>
      <c r="AB32" s="24">
        <f>VLOOKUP($C$10&amp;"_"&amp;$C32&amp;"_"&amp;ModelFactors!$C$7,'Utility-Scale Battery Storage'!$A$62:$AJ$76,MATCH($D32,'Utility-Scale Battery Storage'!$A$42:$AJ$42,0),0)*'FRED Graph_22Oct2023'!$D$312*ModelFactors!$D9</f>
        <v>85.637859716391731</v>
      </c>
      <c r="AC32" s="24">
        <f>VLOOKUP($C$10&amp;"_"&amp;$C32&amp;"_"&amp;ModelFactors!$C$7,'Utility-Scale Battery Storage'!$A$62:$AJ$76,MATCH($D32,'Utility-Scale Battery Storage'!$A$42:$AJ$42,0),0)*'FRED Graph_22Oct2023'!$D$312*ModelFactors!$D9</f>
        <v>85.637859716391731</v>
      </c>
      <c r="AD32" s="24">
        <f>VLOOKUP($C$10&amp;"_"&amp;$C32&amp;"_"&amp;ModelFactors!$C$7,'Utility-Scale Battery Storage'!$A$62:$AJ$76,MATCH($D32,'Utility-Scale Battery Storage'!$A$42:$AJ$42,0),0)*'FRED Graph_22Oct2023'!$D$312*ModelFactors!$D9</f>
        <v>85.637859716391731</v>
      </c>
      <c r="AE32" s="24">
        <f>VLOOKUP($C$10&amp;"_"&amp;$C32&amp;"_"&amp;ModelFactors!$C$7,'Utility-Scale Battery Storage'!$A$62:$AJ$76,MATCH($D32,'Utility-Scale Battery Storage'!$A$42:$AJ$42,0),0)*'FRED Graph_22Oct2023'!$D$312*ModelFactors!$D9</f>
        <v>85.637859716391731</v>
      </c>
    </row>
    <row r="33" spans="2:31" x14ac:dyDescent="0.25">
      <c r="B33" s="4" t="s">
        <v>118</v>
      </c>
      <c r="C33" s="4" t="s">
        <v>126</v>
      </c>
      <c r="D33" s="23">
        <f>D32</f>
        <v>2033</v>
      </c>
      <c r="E33" s="23"/>
      <c r="F33" s="23"/>
      <c r="G33" s="24"/>
      <c r="H33" s="24"/>
      <c r="I33" s="24"/>
      <c r="J33" s="24">
        <f>VLOOKUP($C$10&amp;"_"&amp;$C33&amp;"_"&amp;ModelFactors!$C$7,'Utility-Scale Battery Storage'!$A$62:$AJ$76,MATCH($D33,'Utility-Scale Battery Storage'!$A$42:$AJ$42,0),0)*'FRED Graph_22Oct2023'!$D$312*ModelFactors!$D10</f>
        <v>86.310584458861427</v>
      </c>
      <c r="K33" s="24">
        <f>VLOOKUP($C$10&amp;"_"&amp;$C33&amp;"_"&amp;ModelFactors!$C$7,'Utility-Scale Battery Storage'!$A$62:$AJ$76,MATCH($D33,'Utility-Scale Battery Storage'!$A$42:$AJ$42,0),0)*'FRED Graph_22Oct2023'!$D$312*ModelFactors!$D10</f>
        <v>86.310584458861427</v>
      </c>
      <c r="L33" s="24">
        <f>VLOOKUP($C$10&amp;"_"&amp;$C33&amp;"_"&amp;ModelFactors!$C$7,'Utility-Scale Battery Storage'!$A$62:$AJ$76,MATCH($D33,'Utility-Scale Battery Storage'!$A$42:$AJ$42,0),0)*'FRED Graph_22Oct2023'!$D$312*ModelFactors!$D10</f>
        <v>86.310584458861427</v>
      </c>
      <c r="M33" s="24">
        <f>VLOOKUP($C$10&amp;"_"&amp;$C33&amp;"_"&amp;ModelFactors!$C$7,'Utility-Scale Battery Storage'!$A$62:$AJ$76,MATCH($D33,'Utility-Scale Battery Storage'!$A$42:$AJ$42,0),0)*'FRED Graph_22Oct2023'!$D$312*ModelFactors!$D10</f>
        <v>86.310584458861427</v>
      </c>
      <c r="N33" s="24">
        <f>VLOOKUP($C$10&amp;"_"&amp;$C33&amp;"_"&amp;ModelFactors!$C$7,'Utility-Scale Battery Storage'!$A$62:$AJ$76,MATCH($D33,'Utility-Scale Battery Storage'!$A$42:$AJ$42,0),0)*'FRED Graph_22Oct2023'!$D$312*ModelFactors!$D10</f>
        <v>86.310584458861427</v>
      </c>
      <c r="O33" s="24">
        <f>VLOOKUP($C$10&amp;"_"&amp;$C33&amp;"_"&amp;ModelFactors!$C$7,'Utility-Scale Battery Storage'!$A$62:$AJ$76,MATCH($D33,'Utility-Scale Battery Storage'!$A$42:$AJ$42,0),0)*'FRED Graph_22Oct2023'!$D$312*ModelFactors!$D10</f>
        <v>86.310584458861427</v>
      </c>
      <c r="P33" s="24">
        <f>VLOOKUP($C$10&amp;"_"&amp;$C33&amp;"_"&amp;ModelFactors!$C$7,'Utility-Scale Battery Storage'!$A$62:$AJ$76,MATCH($D33,'Utility-Scale Battery Storage'!$A$42:$AJ$42,0),0)*'FRED Graph_22Oct2023'!$D$312*ModelFactors!$D10</f>
        <v>86.310584458861427</v>
      </c>
      <c r="Q33" s="24">
        <f>VLOOKUP($C$10&amp;"_"&amp;$C33&amp;"_"&amp;ModelFactors!$C$7,'Utility-Scale Battery Storage'!$A$62:$AJ$76,MATCH($D33,'Utility-Scale Battery Storage'!$A$42:$AJ$42,0),0)*'FRED Graph_22Oct2023'!$D$312*ModelFactors!$D10</f>
        <v>86.310584458861427</v>
      </c>
      <c r="R33" s="24">
        <f>VLOOKUP($C$10&amp;"_"&amp;$C33&amp;"_"&amp;ModelFactors!$C$7,'Utility-Scale Battery Storage'!$A$62:$AJ$76,MATCH($D33,'Utility-Scale Battery Storage'!$A$42:$AJ$42,0),0)*'FRED Graph_22Oct2023'!$D$312*ModelFactors!$D10</f>
        <v>86.310584458861427</v>
      </c>
      <c r="S33" s="24">
        <f>VLOOKUP($C$10&amp;"_"&amp;$C33&amp;"_"&amp;ModelFactors!$C$7,'Utility-Scale Battery Storage'!$A$62:$AJ$76,MATCH($D33,'Utility-Scale Battery Storage'!$A$42:$AJ$42,0),0)*'FRED Graph_22Oct2023'!$D$312*ModelFactors!$D10</f>
        <v>86.310584458861427</v>
      </c>
      <c r="T33" s="24">
        <f>VLOOKUP($C$10&amp;"_"&amp;$C33&amp;"_"&amp;ModelFactors!$C$7,'Utility-Scale Battery Storage'!$A$62:$AJ$76,MATCH($D33,'Utility-Scale Battery Storage'!$A$42:$AJ$42,0),0)*'FRED Graph_22Oct2023'!$D$312*ModelFactors!$D10</f>
        <v>86.310584458861427</v>
      </c>
      <c r="U33" s="24">
        <f>VLOOKUP($C$10&amp;"_"&amp;$C33&amp;"_"&amp;ModelFactors!$C$7,'Utility-Scale Battery Storage'!$A$62:$AJ$76,MATCH($D33,'Utility-Scale Battery Storage'!$A$42:$AJ$42,0),0)*'FRED Graph_22Oct2023'!$D$312*ModelFactors!$D10</f>
        <v>86.310584458861427</v>
      </c>
      <c r="V33" s="24">
        <f>VLOOKUP($C$10&amp;"_"&amp;$C33&amp;"_"&amp;ModelFactors!$C$7,'Utility-Scale Battery Storage'!$A$62:$AJ$76,MATCH($D33,'Utility-Scale Battery Storage'!$A$42:$AJ$42,0),0)*'FRED Graph_22Oct2023'!$D$312*ModelFactors!$D10</f>
        <v>86.310584458861427</v>
      </c>
      <c r="W33" s="24">
        <f>VLOOKUP($C$10&amp;"_"&amp;$C33&amp;"_"&amp;ModelFactors!$C$7,'Utility-Scale Battery Storage'!$A$62:$AJ$76,MATCH($D33,'Utility-Scale Battery Storage'!$A$42:$AJ$42,0),0)*'FRED Graph_22Oct2023'!$D$312*ModelFactors!$D10</f>
        <v>86.310584458861427</v>
      </c>
      <c r="X33" s="24">
        <f>VLOOKUP($C$10&amp;"_"&amp;$C33&amp;"_"&amp;ModelFactors!$C$7,'Utility-Scale Battery Storage'!$A$62:$AJ$76,MATCH($D33,'Utility-Scale Battery Storage'!$A$42:$AJ$42,0),0)*'FRED Graph_22Oct2023'!$D$312*ModelFactors!$D10</f>
        <v>86.310584458861427</v>
      </c>
      <c r="Y33" s="24">
        <f>VLOOKUP($C$10&amp;"_"&amp;$C33&amp;"_"&amp;ModelFactors!$C$7,'Utility-Scale Battery Storage'!$A$62:$AJ$76,MATCH($D33,'Utility-Scale Battery Storage'!$A$42:$AJ$42,0),0)*'FRED Graph_22Oct2023'!$D$312*ModelFactors!$D10</f>
        <v>86.310584458861427</v>
      </c>
      <c r="Z33" s="24">
        <f>VLOOKUP($C$10&amp;"_"&amp;$C33&amp;"_"&amp;ModelFactors!$C$7,'Utility-Scale Battery Storage'!$A$62:$AJ$76,MATCH($D33,'Utility-Scale Battery Storage'!$A$42:$AJ$42,0),0)*'FRED Graph_22Oct2023'!$D$312*ModelFactors!$D10</f>
        <v>86.310584458861427</v>
      </c>
      <c r="AA33" s="24">
        <f>VLOOKUP($C$10&amp;"_"&amp;$C33&amp;"_"&amp;ModelFactors!$C$7,'Utility-Scale Battery Storage'!$A$62:$AJ$76,MATCH($D33,'Utility-Scale Battery Storage'!$A$42:$AJ$42,0),0)*'FRED Graph_22Oct2023'!$D$312*ModelFactors!$D10</f>
        <v>86.310584458861427</v>
      </c>
      <c r="AB33" s="24">
        <f>VLOOKUP($C$10&amp;"_"&amp;$C33&amp;"_"&amp;ModelFactors!$C$7,'Utility-Scale Battery Storage'!$A$62:$AJ$76,MATCH($D33,'Utility-Scale Battery Storage'!$A$42:$AJ$42,0),0)*'FRED Graph_22Oct2023'!$D$312*ModelFactors!$D10</f>
        <v>86.310584458861427</v>
      </c>
      <c r="AC33" s="24">
        <f>VLOOKUP($C$10&amp;"_"&amp;$C33&amp;"_"&amp;ModelFactors!$C$7,'Utility-Scale Battery Storage'!$A$62:$AJ$76,MATCH($D33,'Utility-Scale Battery Storage'!$A$42:$AJ$42,0),0)*'FRED Graph_22Oct2023'!$D$312*ModelFactors!$D10</f>
        <v>86.310584458861427</v>
      </c>
      <c r="AD33" s="24">
        <f>VLOOKUP($C$10&amp;"_"&amp;$C33&amp;"_"&amp;ModelFactors!$C$7,'Utility-Scale Battery Storage'!$A$62:$AJ$76,MATCH($D33,'Utility-Scale Battery Storage'!$A$42:$AJ$42,0),0)*'FRED Graph_22Oct2023'!$D$312*ModelFactors!$D10</f>
        <v>86.310584458861427</v>
      </c>
      <c r="AE33" s="24">
        <f>VLOOKUP($C$10&amp;"_"&amp;$C33&amp;"_"&amp;ModelFactors!$C$7,'Utility-Scale Battery Storage'!$A$62:$AJ$76,MATCH($D33,'Utility-Scale Battery Storage'!$A$42:$AJ$42,0),0)*'FRED Graph_22Oct2023'!$D$312*ModelFactors!$D10</f>
        <v>86.310584458861427</v>
      </c>
    </row>
    <row r="34" spans="2:31" x14ac:dyDescent="0.25">
      <c r="B34" s="23"/>
      <c r="C34" s="23"/>
      <c r="D34" s="23"/>
      <c r="E34" s="23"/>
      <c r="F34" s="23"/>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row>
    <row r="35" spans="2:31" x14ac:dyDescent="0.25">
      <c r="B35" s="20" t="s">
        <v>135</v>
      </c>
      <c r="C35" s="23"/>
      <c r="D35" s="23" t="s">
        <v>133</v>
      </c>
      <c r="E35" s="23"/>
      <c r="F35" s="23"/>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row>
    <row r="36" spans="2:31" x14ac:dyDescent="0.25">
      <c r="B36" s="4" t="s">
        <v>121</v>
      </c>
      <c r="C36" s="3" t="s">
        <v>125</v>
      </c>
      <c r="D36" s="23">
        <f>1+D30</f>
        <v>2034</v>
      </c>
      <c r="E36" s="23"/>
      <c r="F36" s="23"/>
      <c r="G36" s="24"/>
      <c r="H36" s="24"/>
      <c r="I36" s="24"/>
      <c r="J36" s="24"/>
      <c r="K36" s="24">
        <f>VLOOKUP($C$10&amp;"_"&amp;$C36&amp;"_"&amp;ModelFactors!$C$7,'Utility-Scale Battery Storage'!$A$62:$AJ$76,MATCH($D36,'Utility-Scale Battery Storage'!$A$42:$AJ$42,0),0)*'FRED Graph_22Oct2023'!$D$312*ModelFactors!$D7</f>
        <v>38.909837442955691</v>
      </c>
      <c r="L36" s="24">
        <f>VLOOKUP($C$10&amp;"_"&amp;$C36&amp;"_"&amp;ModelFactors!$C$7,'Utility-Scale Battery Storage'!$A$62:$AJ$76,MATCH($D36,'Utility-Scale Battery Storage'!$A$42:$AJ$42,0),0)*'FRED Graph_22Oct2023'!$D$312*ModelFactors!$D7</f>
        <v>38.909837442955691</v>
      </c>
      <c r="M36" s="24">
        <f>VLOOKUP($C$10&amp;"_"&amp;$C36&amp;"_"&amp;ModelFactors!$C$7,'Utility-Scale Battery Storage'!$A$62:$AJ$76,MATCH($D36,'Utility-Scale Battery Storage'!$A$42:$AJ$42,0),0)*'FRED Graph_22Oct2023'!$D$312*ModelFactors!$D7</f>
        <v>38.909837442955691</v>
      </c>
      <c r="N36" s="24">
        <f>VLOOKUP($C$10&amp;"_"&amp;$C36&amp;"_"&amp;ModelFactors!$C$7,'Utility-Scale Battery Storage'!$A$62:$AJ$76,MATCH($D36,'Utility-Scale Battery Storage'!$A$42:$AJ$42,0),0)*'FRED Graph_22Oct2023'!$D$312*ModelFactors!$D7</f>
        <v>38.909837442955691</v>
      </c>
      <c r="O36" s="24">
        <f>VLOOKUP($C$10&amp;"_"&amp;$C36&amp;"_"&amp;ModelFactors!$C$7,'Utility-Scale Battery Storage'!$A$62:$AJ$76,MATCH($D36,'Utility-Scale Battery Storage'!$A$42:$AJ$42,0),0)*'FRED Graph_22Oct2023'!$D$312*ModelFactors!$D7</f>
        <v>38.909837442955691</v>
      </c>
      <c r="P36" s="24">
        <f>VLOOKUP($C$10&amp;"_"&amp;$C36&amp;"_"&amp;ModelFactors!$C$7,'Utility-Scale Battery Storage'!$A$62:$AJ$76,MATCH($D36,'Utility-Scale Battery Storage'!$A$42:$AJ$42,0),0)*'FRED Graph_22Oct2023'!$D$312*ModelFactors!$D7</f>
        <v>38.909837442955691</v>
      </c>
      <c r="Q36" s="24">
        <f>VLOOKUP($C$10&amp;"_"&amp;$C36&amp;"_"&amp;ModelFactors!$C$7,'Utility-Scale Battery Storage'!$A$62:$AJ$76,MATCH($D36,'Utility-Scale Battery Storage'!$A$42:$AJ$42,0),0)*'FRED Graph_22Oct2023'!$D$312*ModelFactors!$D7</f>
        <v>38.909837442955691</v>
      </c>
      <c r="R36" s="24">
        <f>VLOOKUP($C$10&amp;"_"&amp;$C36&amp;"_"&amp;ModelFactors!$C$7,'Utility-Scale Battery Storage'!$A$62:$AJ$76,MATCH($D36,'Utility-Scale Battery Storage'!$A$42:$AJ$42,0),0)*'FRED Graph_22Oct2023'!$D$312*ModelFactors!$D7</f>
        <v>38.909837442955691</v>
      </c>
      <c r="S36" s="24">
        <f>VLOOKUP($C$10&amp;"_"&amp;$C36&amp;"_"&amp;ModelFactors!$C$7,'Utility-Scale Battery Storage'!$A$62:$AJ$76,MATCH($D36,'Utility-Scale Battery Storage'!$A$42:$AJ$42,0),0)*'FRED Graph_22Oct2023'!$D$312*ModelFactors!$D7</f>
        <v>38.909837442955691</v>
      </c>
      <c r="T36" s="24">
        <f>VLOOKUP($C$10&amp;"_"&amp;$C36&amp;"_"&amp;ModelFactors!$C$7,'Utility-Scale Battery Storage'!$A$62:$AJ$76,MATCH($D36,'Utility-Scale Battery Storage'!$A$42:$AJ$42,0),0)*'FRED Graph_22Oct2023'!$D$312*ModelFactors!$D7</f>
        <v>38.909837442955691</v>
      </c>
      <c r="U36" s="24">
        <f>VLOOKUP($C$10&amp;"_"&amp;$C36&amp;"_"&amp;ModelFactors!$C$7,'Utility-Scale Battery Storage'!$A$62:$AJ$76,MATCH($D36,'Utility-Scale Battery Storage'!$A$42:$AJ$42,0),0)*'FRED Graph_22Oct2023'!$D$312*ModelFactors!$D7</f>
        <v>38.909837442955691</v>
      </c>
      <c r="V36" s="24">
        <f>VLOOKUP($C$10&amp;"_"&amp;$C36&amp;"_"&amp;ModelFactors!$C$7,'Utility-Scale Battery Storage'!$A$62:$AJ$76,MATCH($D36,'Utility-Scale Battery Storage'!$A$42:$AJ$42,0),0)*'FRED Graph_22Oct2023'!$D$312*ModelFactors!$D7</f>
        <v>38.909837442955691</v>
      </c>
      <c r="W36" s="24">
        <f>VLOOKUP($C$10&amp;"_"&amp;$C36&amp;"_"&amp;ModelFactors!$C$7,'Utility-Scale Battery Storage'!$A$62:$AJ$76,MATCH($D36,'Utility-Scale Battery Storage'!$A$42:$AJ$42,0),0)*'FRED Graph_22Oct2023'!$D$312*ModelFactors!$D7</f>
        <v>38.909837442955691</v>
      </c>
      <c r="X36" s="24">
        <f>VLOOKUP($C$10&amp;"_"&amp;$C36&amp;"_"&amp;ModelFactors!$C$7,'Utility-Scale Battery Storage'!$A$62:$AJ$76,MATCH($D36,'Utility-Scale Battery Storage'!$A$42:$AJ$42,0),0)*'FRED Graph_22Oct2023'!$D$312*ModelFactors!$D7</f>
        <v>38.909837442955691</v>
      </c>
      <c r="Y36" s="24">
        <f>VLOOKUP($C$10&amp;"_"&amp;$C36&amp;"_"&amp;ModelFactors!$C$7,'Utility-Scale Battery Storage'!$A$62:$AJ$76,MATCH($D36,'Utility-Scale Battery Storage'!$A$42:$AJ$42,0),0)*'FRED Graph_22Oct2023'!$D$312*ModelFactors!$D7</f>
        <v>38.909837442955691</v>
      </c>
      <c r="Z36" s="24">
        <f>VLOOKUP($C$10&amp;"_"&amp;$C36&amp;"_"&amp;ModelFactors!$C$7,'Utility-Scale Battery Storage'!$A$62:$AJ$76,MATCH($D36,'Utility-Scale Battery Storage'!$A$42:$AJ$42,0),0)*'FRED Graph_22Oct2023'!$D$312*ModelFactors!$D7</f>
        <v>38.909837442955691</v>
      </c>
      <c r="AA36" s="24">
        <f>VLOOKUP($C$10&amp;"_"&amp;$C36&amp;"_"&amp;ModelFactors!$C$7,'Utility-Scale Battery Storage'!$A$62:$AJ$76,MATCH($D36,'Utility-Scale Battery Storage'!$A$42:$AJ$42,0),0)*'FRED Graph_22Oct2023'!$D$312*ModelFactors!$D7</f>
        <v>38.909837442955691</v>
      </c>
      <c r="AB36" s="24">
        <f>VLOOKUP($C$10&amp;"_"&amp;$C36&amp;"_"&amp;ModelFactors!$C$7,'Utility-Scale Battery Storage'!$A$62:$AJ$76,MATCH($D36,'Utility-Scale Battery Storage'!$A$42:$AJ$42,0),0)*'FRED Graph_22Oct2023'!$D$312*ModelFactors!$D7</f>
        <v>38.909837442955691</v>
      </c>
      <c r="AC36" s="24">
        <f>VLOOKUP($C$10&amp;"_"&amp;$C36&amp;"_"&amp;ModelFactors!$C$7,'Utility-Scale Battery Storage'!$A$62:$AJ$76,MATCH($D36,'Utility-Scale Battery Storage'!$A$42:$AJ$42,0),0)*'FRED Graph_22Oct2023'!$D$312*ModelFactors!$D7</f>
        <v>38.909837442955691</v>
      </c>
      <c r="AD36" s="24">
        <f>VLOOKUP($C$10&amp;"_"&amp;$C36&amp;"_"&amp;ModelFactors!$C$7,'Utility-Scale Battery Storage'!$A$62:$AJ$76,MATCH($D36,'Utility-Scale Battery Storage'!$A$42:$AJ$42,0),0)*'FRED Graph_22Oct2023'!$D$312*ModelFactors!$D7</f>
        <v>38.909837442955691</v>
      </c>
      <c r="AE36" s="24">
        <f>VLOOKUP($C$10&amp;"_"&amp;$C36&amp;"_"&amp;ModelFactors!$C$7,'Utility-Scale Battery Storage'!$A$62:$AJ$76,MATCH($D36,'Utility-Scale Battery Storage'!$A$42:$AJ$42,0),0)*'FRED Graph_22Oct2023'!$D$312*ModelFactors!$D7</f>
        <v>38.909837442955691</v>
      </c>
    </row>
    <row r="37" spans="2:31" x14ac:dyDescent="0.25">
      <c r="B37" s="4" t="s">
        <v>120</v>
      </c>
      <c r="C37" s="3" t="s">
        <v>125</v>
      </c>
      <c r="D37" s="23">
        <f>D36</f>
        <v>2034</v>
      </c>
      <c r="E37" s="23"/>
      <c r="F37" s="23"/>
      <c r="G37" s="24"/>
      <c r="H37" s="24"/>
      <c r="I37" s="24"/>
      <c r="J37" s="24"/>
      <c r="K37" s="24">
        <f>VLOOKUP($C$10&amp;"_"&amp;$C37&amp;"_"&amp;ModelFactors!$C$7,'Utility-Scale Battery Storage'!$A$62:$AJ$76,MATCH($D37,'Utility-Scale Battery Storage'!$A$42:$AJ$42,0),0)*'FRED Graph_22Oct2023'!$D$312*ModelFactors!$D8</f>
        <v>39.215492096867365</v>
      </c>
      <c r="L37" s="24">
        <f>VLOOKUP($C$10&amp;"_"&amp;$C37&amp;"_"&amp;ModelFactors!$C$7,'Utility-Scale Battery Storage'!$A$62:$AJ$76,MATCH($D37,'Utility-Scale Battery Storage'!$A$42:$AJ$42,0),0)*'FRED Graph_22Oct2023'!$D$312*ModelFactors!$D8</f>
        <v>39.215492096867365</v>
      </c>
      <c r="M37" s="24">
        <f>VLOOKUP($C$10&amp;"_"&amp;$C37&amp;"_"&amp;ModelFactors!$C$7,'Utility-Scale Battery Storage'!$A$62:$AJ$76,MATCH($D37,'Utility-Scale Battery Storage'!$A$42:$AJ$42,0),0)*'FRED Graph_22Oct2023'!$D$312*ModelFactors!$D8</f>
        <v>39.215492096867365</v>
      </c>
      <c r="N37" s="24">
        <f>VLOOKUP($C$10&amp;"_"&amp;$C37&amp;"_"&amp;ModelFactors!$C$7,'Utility-Scale Battery Storage'!$A$62:$AJ$76,MATCH($D37,'Utility-Scale Battery Storage'!$A$42:$AJ$42,0),0)*'FRED Graph_22Oct2023'!$D$312*ModelFactors!$D8</f>
        <v>39.215492096867365</v>
      </c>
      <c r="O37" s="24">
        <f>VLOOKUP($C$10&amp;"_"&amp;$C37&amp;"_"&amp;ModelFactors!$C$7,'Utility-Scale Battery Storage'!$A$62:$AJ$76,MATCH($D37,'Utility-Scale Battery Storage'!$A$42:$AJ$42,0),0)*'FRED Graph_22Oct2023'!$D$312*ModelFactors!$D8</f>
        <v>39.215492096867365</v>
      </c>
      <c r="P37" s="24">
        <f>VLOOKUP($C$10&amp;"_"&amp;$C37&amp;"_"&amp;ModelFactors!$C$7,'Utility-Scale Battery Storage'!$A$62:$AJ$76,MATCH($D37,'Utility-Scale Battery Storage'!$A$42:$AJ$42,0),0)*'FRED Graph_22Oct2023'!$D$312*ModelFactors!$D8</f>
        <v>39.215492096867365</v>
      </c>
      <c r="Q37" s="24">
        <f>VLOOKUP($C$10&amp;"_"&amp;$C37&amp;"_"&amp;ModelFactors!$C$7,'Utility-Scale Battery Storage'!$A$62:$AJ$76,MATCH($D37,'Utility-Scale Battery Storage'!$A$42:$AJ$42,0),0)*'FRED Graph_22Oct2023'!$D$312*ModelFactors!$D8</f>
        <v>39.215492096867365</v>
      </c>
      <c r="R37" s="24">
        <f>VLOOKUP($C$10&amp;"_"&amp;$C37&amp;"_"&amp;ModelFactors!$C$7,'Utility-Scale Battery Storage'!$A$62:$AJ$76,MATCH($D37,'Utility-Scale Battery Storage'!$A$42:$AJ$42,0),0)*'FRED Graph_22Oct2023'!$D$312*ModelFactors!$D8</f>
        <v>39.215492096867365</v>
      </c>
      <c r="S37" s="24">
        <f>VLOOKUP($C$10&amp;"_"&amp;$C37&amp;"_"&amp;ModelFactors!$C$7,'Utility-Scale Battery Storage'!$A$62:$AJ$76,MATCH($D37,'Utility-Scale Battery Storage'!$A$42:$AJ$42,0),0)*'FRED Graph_22Oct2023'!$D$312*ModelFactors!$D8</f>
        <v>39.215492096867365</v>
      </c>
      <c r="T37" s="24">
        <f>VLOOKUP($C$10&amp;"_"&amp;$C37&amp;"_"&amp;ModelFactors!$C$7,'Utility-Scale Battery Storage'!$A$62:$AJ$76,MATCH($D37,'Utility-Scale Battery Storage'!$A$42:$AJ$42,0),0)*'FRED Graph_22Oct2023'!$D$312*ModelFactors!$D8</f>
        <v>39.215492096867365</v>
      </c>
      <c r="U37" s="24">
        <f>VLOOKUP($C$10&amp;"_"&amp;$C37&amp;"_"&amp;ModelFactors!$C$7,'Utility-Scale Battery Storage'!$A$62:$AJ$76,MATCH($D37,'Utility-Scale Battery Storage'!$A$42:$AJ$42,0),0)*'FRED Graph_22Oct2023'!$D$312*ModelFactors!$D8</f>
        <v>39.215492096867365</v>
      </c>
      <c r="V37" s="24">
        <f>VLOOKUP($C$10&amp;"_"&amp;$C37&amp;"_"&amp;ModelFactors!$C$7,'Utility-Scale Battery Storage'!$A$62:$AJ$76,MATCH($D37,'Utility-Scale Battery Storage'!$A$42:$AJ$42,0),0)*'FRED Graph_22Oct2023'!$D$312*ModelFactors!$D8</f>
        <v>39.215492096867365</v>
      </c>
      <c r="W37" s="24">
        <f>VLOOKUP($C$10&amp;"_"&amp;$C37&amp;"_"&amp;ModelFactors!$C$7,'Utility-Scale Battery Storage'!$A$62:$AJ$76,MATCH($D37,'Utility-Scale Battery Storage'!$A$42:$AJ$42,0),0)*'FRED Graph_22Oct2023'!$D$312*ModelFactors!$D8</f>
        <v>39.215492096867365</v>
      </c>
      <c r="X37" s="24">
        <f>VLOOKUP($C$10&amp;"_"&amp;$C37&amp;"_"&amp;ModelFactors!$C$7,'Utility-Scale Battery Storage'!$A$62:$AJ$76,MATCH($D37,'Utility-Scale Battery Storage'!$A$42:$AJ$42,0),0)*'FRED Graph_22Oct2023'!$D$312*ModelFactors!$D8</f>
        <v>39.215492096867365</v>
      </c>
      <c r="Y37" s="24">
        <f>VLOOKUP($C$10&amp;"_"&amp;$C37&amp;"_"&amp;ModelFactors!$C$7,'Utility-Scale Battery Storage'!$A$62:$AJ$76,MATCH($D37,'Utility-Scale Battery Storage'!$A$42:$AJ$42,0),0)*'FRED Graph_22Oct2023'!$D$312*ModelFactors!$D8</f>
        <v>39.215492096867365</v>
      </c>
      <c r="Z37" s="24">
        <f>VLOOKUP($C$10&amp;"_"&amp;$C37&amp;"_"&amp;ModelFactors!$C$7,'Utility-Scale Battery Storage'!$A$62:$AJ$76,MATCH($D37,'Utility-Scale Battery Storage'!$A$42:$AJ$42,0),0)*'FRED Graph_22Oct2023'!$D$312*ModelFactors!$D8</f>
        <v>39.215492096867365</v>
      </c>
      <c r="AA37" s="24">
        <f>VLOOKUP($C$10&amp;"_"&amp;$C37&amp;"_"&amp;ModelFactors!$C$7,'Utility-Scale Battery Storage'!$A$62:$AJ$76,MATCH($D37,'Utility-Scale Battery Storage'!$A$42:$AJ$42,0),0)*'FRED Graph_22Oct2023'!$D$312*ModelFactors!$D8</f>
        <v>39.215492096867365</v>
      </c>
      <c r="AB37" s="24">
        <f>VLOOKUP($C$10&amp;"_"&amp;$C37&amp;"_"&amp;ModelFactors!$C$7,'Utility-Scale Battery Storage'!$A$62:$AJ$76,MATCH($D37,'Utility-Scale Battery Storage'!$A$42:$AJ$42,0),0)*'FRED Graph_22Oct2023'!$D$312*ModelFactors!$D8</f>
        <v>39.215492096867365</v>
      </c>
      <c r="AC37" s="24">
        <f>VLOOKUP($C$10&amp;"_"&amp;$C37&amp;"_"&amp;ModelFactors!$C$7,'Utility-Scale Battery Storage'!$A$62:$AJ$76,MATCH($D37,'Utility-Scale Battery Storage'!$A$42:$AJ$42,0),0)*'FRED Graph_22Oct2023'!$D$312*ModelFactors!$D8</f>
        <v>39.215492096867365</v>
      </c>
      <c r="AD37" s="24">
        <f>VLOOKUP($C$10&amp;"_"&amp;$C37&amp;"_"&amp;ModelFactors!$C$7,'Utility-Scale Battery Storage'!$A$62:$AJ$76,MATCH($D37,'Utility-Scale Battery Storage'!$A$42:$AJ$42,0),0)*'FRED Graph_22Oct2023'!$D$312*ModelFactors!$D8</f>
        <v>39.215492096867365</v>
      </c>
      <c r="AE37" s="24">
        <f>VLOOKUP($C$10&amp;"_"&amp;$C37&amp;"_"&amp;ModelFactors!$C$7,'Utility-Scale Battery Storage'!$A$62:$AJ$76,MATCH($D37,'Utility-Scale Battery Storage'!$A$42:$AJ$42,0),0)*'FRED Graph_22Oct2023'!$D$312*ModelFactors!$D8</f>
        <v>39.215492096867365</v>
      </c>
    </row>
    <row r="38" spans="2:31" x14ac:dyDescent="0.25">
      <c r="B38" s="4" t="s">
        <v>119</v>
      </c>
      <c r="C38" s="4" t="s">
        <v>126</v>
      </c>
      <c r="D38" s="23">
        <f>D37</f>
        <v>2034</v>
      </c>
      <c r="E38" s="23"/>
      <c r="F38" s="23"/>
      <c r="G38" s="24"/>
      <c r="H38" s="24"/>
      <c r="I38" s="24"/>
      <c r="J38" s="24"/>
      <c r="K38" s="24">
        <f>VLOOKUP($C$10&amp;"_"&amp;$C38&amp;"_"&amp;ModelFactors!$C$7,'Utility-Scale Battery Storage'!$A$62:$AJ$76,MATCH($D38,'Utility-Scale Battery Storage'!$A$42:$AJ$42,0),0)*'FRED Graph_22Oct2023'!$D$312*ModelFactors!$D9</f>
        <v>85.039219636621624</v>
      </c>
      <c r="L38" s="24">
        <f>VLOOKUP($C$10&amp;"_"&amp;$C38&amp;"_"&amp;ModelFactors!$C$7,'Utility-Scale Battery Storage'!$A$62:$AJ$76,MATCH($D38,'Utility-Scale Battery Storage'!$A$42:$AJ$42,0),0)*'FRED Graph_22Oct2023'!$D$312*ModelFactors!$D9</f>
        <v>85.039219636621624</v>
      </c>
      <c r="M38" s="24">
        <f>VLOOKUP($C$10&amp;"_"&amp;$C38&amp;"_"&amp;ModelFactors!$C$7,'Utility-Scale Battery Storage'!$A$62:$AJ$76,MATCH($D38,'Utility-Scale Battery Storage'!$A$42:$AJ$42,0),0)*'FRED Graph_22Oct2023'!$D$312*ModelFactors!$D9</f>
        <v>85.039219636621624</v>
      </c>
      <c r="N38" s="24">
        <f>VLOOKUP($C$10&amp;"_"&amp;$C38&amp;"_"&amp;ModelFactors!$C$7,'Utility-Scale Battery Storage'!$A$62:$AJ$76,MATCH($D38,'Utility-Scale Battery Storage'!$A$42:$AJ$42,0),0)*'FRED Graph_22Oct2023'!$D$312*ModelFactors!$D9</f>
        <v>85.039219636621624</v>
      </c>
      <c r="O38" s="24">
        <f>VLOOKUP($C$10&amp;"_"&amp;$C38&amp;"_"&amp;ModelFactors!$C$7,'Utility-Scale Battery Storage'!$A$62:$AJ$76,MATCH($D38,'Utility-Scale Battery Storage'!$A$42:$AJ$42,0),0)*'FRED Graph_22Oct2023'!$D$312*ModelFactors!$D9</f>
        <v>85.039219636621624</v>
      </c>
      <c r="P38" s="24">
        <f>VLOOKUP($C$10&amp;"_"&amp;$C38&amp;"_"&amp;ModelFactors!$C$7,'Utility-Scale Battery Storage'!$A$62:$AJ$76,MATCH($D38,'Utility-Scale Battery Storage'!$A$42:$AJ$42,0),0)*'FRED Graph_22Oct2023'!$D$312*ModelFactors!$D9</f>
        <v>85.039219636621624</v>
      </c>
      <c r="Q38" s="24">
        <f>VLOOKUP($C$10&amp;"_"&amp;$C38&amp;"_"&amp;ModelFactors!$C$7,'Utility-Scale Battery Storage'!$A$62:$AJ$76,MATCH($D38,'Utility-Scale Battery Storage'!$A$42:$AJ$42,0),0)*'FRED Graph_22Oct2023'!$D$312*ModelFactors!$D9</f>
        <v>85.039219636621624</v>
      </c>
      <c r="R38" s="24">
        <f>VLOOKUP($C$10&amp;"_"&amp;$C38&amp;"_"&amp;ModelFactors!$C$7,'Utility-Scale Battery Storage'!$A$62:$AJ$76,MATCH($D38,'Utility-Scale Battery Storage'!$A$42:$AJ$42,0),0)*'FRED Graph_22Oct2023'!$D$312*ModelFactors!$D9</f>
        <v>85.039219636621624</v>
      </c>
      <c r="S38" s="24">
        <f>VLOOKUP($C$10&amp;"_"&amp;$C38&amp;"_"&amp;ModelFactors!$C$7,'Utility-Scale Battery Storage'!$A$62:$AJ$76,MATCH($D38,'Utility-Scale Battery Storage'!$A$42:$AJ$42,0),0)*'FRED Graph_22Oct2023'!$D$312*ModelFactors!$D9</f>
        <v>85.039219636621624</v>
      </c>
      <c r="T38" s="24">
        <f>VLOOKUP($C$10&amp;"_"&amp;$C38&amp;"_"&amp;ModelFactors!$C$7,'Utility-Scale Battery Storage'!$A$62:$AJ$76,MATCH($D38,'Utility-Scale Battery Storage'!$A$42:$AJ$42,0),0)*'FRED Graph_22Oct2023'!$D$312*ModelFactors!$D9</f>
        <v>85.039219636621624</v>
      </c>
      <c r="U38" s="24">
        <f>VLOOKUP($C$10&amp;"_"&amp;$C38&amp;"_"&amp;ModelFactors!$C$7,'Utility-Scale Battery Storage'!$A$62:$AJ$76,MATCH($D38,'Utility-Scale Battery Storage'!$A$42:$AJ$42,0),0)*'FRED Graph_22Oct2023'!$D$312*ModelFactors!$D9</f>
        <v>85.039219636621624</v>
      </c>
      <c r="V38" s="24">
        <f>VLOOKUP($C$10&amp;"_"&amp;$C38&amp;"_"&amp;ModelFactors!$C$7,'Utility-Scale Battery Storage'!$A$62:$AJ$76,MATCH($D38,'Utility-Scale Battery Storage'!$A$42:$AJ$42,0),0)*'FRED Graph_22Oct2023'!$D$312*ModelFactors!$D9</f>
        <v>85.039219636621624</v>
      </c>
      <c r="W38" s="24">
        <f>VLOOKUP($C$10&amp;"_"&amp;$C38&amp;"_"&amp;ModelFactors!$C$7,'Utility-Scale Battery Storage'!$A$62:$AJ$76,MATCH($D38,'Utility-Scale Battery Storage'!$A$42:$AJ$42,0),0)*'FRED Graph_22Oct2023'!$D$312*ModelFactors!$D9</f>
        <v>85.039219636621624</v>
      </c>
      <c r="X38" s="24">
        <f>VLOOKUP($C$10&amp;"_"&amp;$C38&amp;"_"&amp;ModelFactors!$C$7,'Utility-Scale Battery Storage'!$A$62:$AJ$76,MATCH($D38,'Utility-Scale Battery Storage'!$A$42:$AJ$42,0),0)*'FRED Graph_22Oct2023'!$D$312*ModelFactors!$D9</f>
        <v>85.039219636621624</v>
      </c>
      <c r="Y38" s="24">
        <f>VLOOKUP($C$10&amp;"_"&amp;$C38&amp;"_"&amp;ModelFactors!$C$7,'Utility-Scale Battery Storage'!$A$62:$AJ$76,MATCH($D38,'Utility-Scale Battery Storage'!$A$42:$AJ$42,0),0)*'FRED Graph_22Oct2023'!$D$312*ModelFactors!$D9</f>
        <v>85.039219636621624</v>
      </c>
      <c r="Z38" s="24">
        <f>VLOOKUP($C$10&amp;"_"&amp;$C38&amp;"_"&amp;ModelFactors!$C$7,'Utility-Scale Battery Storage'!$A$62:$AJ$76,MATCH($D38,'Utility-Scale Battery Storage'!$A$42:$AJ$42,0),0)*'FRED Graph_22Oct2023'!$D$312*ModelFactors!$D9</f>
        <v>85.039219636621624</v>
      </c>
      <c r="AA38" s="24">
        <f>VLOOKUP($C$10&amp;"_"&amp;$C38&amp;"_"&amp;ModelFactors!$C$7,'Utility-Scale Battery Storage'!$A$62:$AJ$76,MATCH($D38,'Utility-Scale Battery Storage'!$A$42:$AJ$42,0),0)*'FRED Graph_22Oct2023'!$D$312*ModelFactors!$D9</f>
        <v>85.039219636621624</v>
      </c>
      <c r="AB38" s="24">
        <f>VLOOKUP($C$10&amp;"_"&amp;$C38&amp;"_"&amp;ModelFactors!$C$7,'Utility-Scale Battery Storage'!$A$62:$AJ$76,MATCH($D38,'Utility-Scale Battery Storage'!$A$42:$AJ$42,0),0)*'FRED Graph_22Oct2023'!$D$312*ModelFactors!$D9</f>
        <v>85.039219636621624</v>
      </c>
      <c r="AC38" s="24">
        <f>VLOOKUP($C$10&amp;"_"&amp;$C38&amp;"_"&amp;ModelFactors!$C$7,'Utility-Scale Battery Storage'!$A$62:$AJ$76,MATCH($D38,'Utility-Scale Battery Storage'!$A$42:$AJ$42,0),0)*'FRED Graph_22Oct2023'!$D$312*ModelFactors!$D9</f>
        <v>85.039219636621624</v>
      </c>
      <c r="AD38" s="24">
        <f>VLOOKUP($C$10&amp;"_"&amp;$C38&amp;"_"&amp;ModelFactors!$C$7,'Utility-Scale Battery Storage'!$A$62:$AJ$76,MATCH($D38,'Utility-Scale Battery Storage'!$A$42:$AJ$42,0),0)*'FRED Graph_22Oct2023'!$D$312*ModelFactors!$D9</f>
        <v>85.039219636621624</v>
      </c>
      <c r="AE38" s="24">
        <f>VLOOKUP($C$10&amp;"_"&amp;$C38&amp;"_"&amp;ModelFactors!$C$7,'Utility-Scale Battery Storage'!$A$62:$AJ$76,MATCH($D38,'Utility-Scale Battery Storage'!$A$42:$AJ$42,0),0)*'FRED Graph_22Oct2023'!$D$312*ModelFactors!$D9</f>
        <v>85.039219636621624</v>
      </c>
    </row>
    <row r="39" spans="2:31" x14ac:dyDescent="0.25">
      <c r="B39" s="4" t="s">
        <v>118</v>
      </c>
      <c r="C39" s="4" t="s">
        <v>126</v>
      </c>
      <c r="D39" s="23">
        <f>D38</f>
        <v>2034</v>
      </c>
      <c r="E39" s="23"/>
      <c r="F39" s="23"/>
      <c r="G39" s="24"/>
      <c r="H39" s="24"/>
      <c r="I39" s="24"/>
      <c r="J39" s="24"/>
      <c r="K39" s="24">
        <f>VLOOKUP($C$10&amp;"_"&amp;$C39&amp;"_"&amp;ModelFactors!$C$7,'Utility-Scale Battery Storage'!$A$62:$AJ$76,MATCH($D39,'Utility-Scale Battery Storage'!$A$42:$AJ$42,0),0)*'FRED Graph_22Oct2023'!$D$312*ModelFactors!$D10</f>
        <v>85.707241786163024</v>
      </c>
      <c r="L39" s="24">
        <f>VLOOKUP($C$10&amp;"_"&amp;$C39&amp;"_"&amp;ModelFactors!$C$7,'Utility-Scale Battery Storage'!$A$62:$AJ$76,MATCH($D39,'Utility-Scale Battery Storage'!$A$42:$AJ$42,0),0)*'FRED Graph_22Oct2023'!$D$312*ModelFactors!$D10</f>
        <v>85.707241786163024</v>
      </c>
      <c r="M39" s="24">
        <f>VLOOKUP($C$10&amp;"_"&amp;$C39&amp;"_"&amp;ModelFactors!$C$7,'Utility-Scale Battery Storage'!$A$62:$AJ$76,MATCH($D39,'Utility-Scale Battery Storage'!$A$42:$AJ$42,0),0)*'FRED Graph_22Oct2023'!$D$312*ModelFactors!$D10</f>
        <v>85.707241786163024</v>
      </c>
      <c r="N39" s="24">
        <f>VLOOKUP($C$10&amp;"_"&amp;$C39&amp;"_"&amp;ModelFactors!$C$7,'Utility-Scale Battery Storage'!$A$62:$AJ$76,MATCH($D39,'Utility-Scale Battery Storage'!$A$42:$AJ$42,0),0)*'FRED Graph_22Oct2023'!$D$312*ModelFactors!$D10</f>
        <v>85.707241786163024</v>
      </c>
      <c r="O39" s="24">
        <f>VLOOKUP($C$10&amp;"_"&amp;$C39&amp;"_"&amp;ModelFactors!$C$7,'Utility-Scale Battery Storage'!$A$62:$AJ$76,MATCH($D39,'Utility-Scale Battery Storage'!$A$42:$AJ$42,0),0)*'FRED Graph_22Oct2023'!$D$312*ModelFactors!$D10</f>
        <v>85.707241786163024</v>
      </c>
      <c r="P39" s="24">
        <f>VLOOKUP($C$10&amp;"_"&amp;$C39&amp;"_"&amp;ModelFactors!$C$7,'Utility-Scale Battery Storage'!$A$62:$AJ$76,MATCH($D39,'Utility-Scale Battery Storage'!$A$42:$AJ$42,0),0)*'FRED Graph_22Oct2023'!$D$312*ModelFactors!$D10</f>
        <v>85.707241786163024</v>
      </c>
      <c r="Q39" s="24">
        <f>VLOOKUP($C$10&amp;"_"&amp;$C39&amp;"_"&amp;ModelFactors!$C$7,'Utility-Scale Battery Storage'!$A$62:$AJ$76,MATCH($D39,'Utility-Scale Battery Storage'!$A$42:$AJ$42,0),0)*'FRED Graph_22Oct2023'!$D$312*ModelFactors!$D10</f>
        <v>85.707241786163024</v>
      </c>
      <c r="R39" s="24">
        <f>VLOOKUP($C$10&amp;"_"&amp;$C39&amp;"_"&amp;ModelFactors!$C$7,'Utility-Scale Battery Storage'!$A$62:$AJ$76,MATCH($D39,'Utility-Scale Battery Storage'!$A$42:$AJ$42,0),0)*'FRED Graph_22Oct2023'!$D$312*ModelFactors!$D10</f>
        <v>85.707241786163024</v>
      </c>
      <c r="S39" s="24">
        <f>VLOOKUP($C$10&amp;"_"&amp;$C39&amp;"_"&amp;ModelFactors!$C$7,'Utility-Scale Battery Storage'!$A$62:$AJ$76,MATCH($D39,'Utility-Scale Battery Storage'!$A$42:$AJ$42,0),0)*'FRED Graph_22Oct2023'!$D$312*ModelFactors!$D10</f>
        <v>85.707241786163024</v>
      </c>
      <c r="T39" s="24">
        <f>VLOOKUP($C$10&amp;"_"&amp;$C39&amp;"_"&amp;ModelFactors!$C$7,'Utility-Scale Battery Storage'!$A$62:$AJ$76,MATCH($D39,'Utility-Scale Battery Storage'!$A$42:$AJ$42,0),0)*'FRED Graph_22Oct2023'!$D$312*ModelFactors!$D10</f>
        <v>85.707241786163024</v>
      </c>
      <c r="U39" s="24">
        <f>VLOOKUP($C$10&amp;"_"&amp;$C39&amp;"_"&amp;ModelFactors!$C$7,'Utility-Scale Battery Storage'!$A$62:$AJ$76,MATCH($D39,'Utility-Scale Battery Storage'!$A$42:$AJ$42,0),0)*'FRED Graph_22Oct2023'!$D$312*ModelFactors!$D10</f>
        <v>85.707241786163024</v>
      </c>
      <c r="V39" s="24">
        <f>VLOOKUP($C$10&amp;"_"&amp;$C39&amp;"_"&amp;ModelFactors!$C$7,'Utility-Scale Battery Storage'!$A$62:$AJ$76,MATCH($D39,'Utility-Scale Battery Storage'!$A$42:$AJ$42,0),0)*'FRED Graph_22Oct2023'!$D$312*ModelFactors!$D10</f>
        <v>85.707241786163024</v>
      </c>
      <c r="W39" s="24">
        <f>VLOOKUP($C$10&amp;"_"&amp;$C39&amp;"_"&amp;ModelFactors!$C$7,'Utility-Scale Battery Storage'!$A$62:$AJ$76,MATCH($D39,'Utility-Scale Battery Storage'!$A$42:$AJ$42,0),0)*'FRED Graph_22Oct2023'!$D$312*ModelFactors!$D10</f>
        <v>85.707241786163024</v>
      </c>
      <c r="X39" s="24">
        <f>VLOOKUP($C$10&amp;"_"&amp;$C39&amp;"_"&amp;ModelFactors!$C$7,'Utility-Scale Battery Storage'!$A$62:$AJ$76,MATCH($D39,'Utility-Scale Battery Storage'!$A$42:$AJ$42,0),0)*'FRED Graph_22Oct2023'!$D$312*ModelFactors!$D10</f>
        <v>85.707241786163024</v>
      </c>
      <c r="Y39" s="24">
        <f>VLOOKUP($C$10&amp;"_"&amp;$C39&amp;"_"&amp;ModelFactors!$C$7,'Utility-Scale Battery Storage'!$A$62:$AJ$76,MATCH($D39,'Utility-Scale Battery Storage'!$A$42:$AJ$42,0),0)*'FRED Graph_22Oct2023'!$D$312*ModelFactors!$D10</f>
        <v>85.707241786163024</v>
      </c>
      <c r="Z39" s="24">
        <f>VLOOKUP($C$10&amp;"_"&amp;$C39&amp;"_"&amp;ModelFactors!$C$7,'Utility-Scale Battery Storage'!$A$62:$AJ$76,MATCH($D39,'Utility-Scale Battery Storage'!$A$42:$AJ$42,0),0)*'FRED Graph_22Oct2023'!$D$312*ModelFactors!$D10</f>
        <v>85.707241786163024</v>
      </c>
      <c r="AA39" s="24">
        <f>VLOOKUP($C$10&amp;"_"&amp;$C39&amp;"_"&amp;ModelFactors!$C$7,'Utility-Scale Battery Storage'!$A$62:$AJ$76,MATCH($D39,'Utility-Scale Battery Storage'!$A$42:$AJ$42,0),0)*'FRED Graph_22Oct2023'!$D$312*ModelFactors!$D10</f>
        <v>85.707241786163024</v>
      </c>
      <c r="AB39" s="24">
        <f>VLOOKUP($C$10&amp;"_"&amp;$C39&amp;"_"&amp;ModelFactors!$C$7,'Utility-Scale Battery Storage'!$A$62:$AJ$76,MATCH($D39,'Utility-Scale Battery Storage'!$A$42:$AJ$42,0),0)*'FRED Graph_22Oct2023'!$D$312*ModelFactors!$D10</f>
        <v>85.707241786163024</v>
      </c>
      <c r="AC39" s="24">
        <f>VLOOKUP($C$10&amp;"_"&amp;$C39&amp;"_"&amp;ModelFactors!$C$7,'Utility-Scale Battery Storage'!$A$62:$AJ$76,MATCH($D39,'Utility-Scale Battery Storage'!$A$42:$AJ$42,0),0)*'FRED Graph_22Oct2023'!$D$312*ModelFactors!$D10</f>
        <v>85.707241786163024</v>
      </c>
      <c r="AD39" s="24">
        <f>VLOOKUP($C$10&amp;"_"&amp;$C39&amp;"_"&amp;ModelFactors!$C$7,'Utility-Scale Battery Storage'!$A$62:$AJ$76,MATCH($D39,'Utility-Scale Battery Storage'!$A$42:$AJ$42,0),0)*'FRED Graph_22Oct2023'!$D$312*ModelFactors!$D10</f>
        <v>85.707241786163024</v>
      </c>
      <c r="AE39" s="24">
        <f>VLOOKUP($C$10&amp;"_"&amp;$C39&amp;"_"&amp;ModelFactors!$C$7,'Utility-Scale Battery Storage'!$A$62:$AJ$76,MATCH($D39,'Utility-Scale Battery Storage'!$A$42:$AJ$42,0),0)*'FRED Graph_22Oct2023'!$D$312*ModelFactors!$D10</f>
        <v>85.707241786163024</v>
      </c>
    </row>
    <row r="40" spans="2:31" x14ac:dyDescent="0.25">
      <c r="B40" s="23"/>
      <c r="C40" s="23"/>
      <c r="D40" s="23"/>
      <c r="E40" s="23"/>
      <c r="F40" s="23"/>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row>
    <row r="41" spans="2:31" x14ac:dyDescent="0.25">
      <c r="B41" s="20" t="s">
        <v>135</v>
      </c>
      <c r="C41" s="23"/>
      <c r="D41" s="23" t="s">
        <v>133</v>
      </c>
      <c r="E41" s="23"/>
      <c r="F41" s="23"/>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row>
    <row r="42" spans="2:31" x14ac:dyDescent="0.25">
      <c r="B42" s="4" t="s">
        <v>121</v>
      </c>
      <c r="C42" s="3" t="s">
        <v>125</v>
      </c>
      <c r="D42" s="23">
        <f>1+D36</f>
        <v>2035</v>
      </c>
      <c r="E42" s="23"/>
      <c r="F42" s="23"/>
      <c r="G42" s="24"/>
      <c r="H42" s="24"/>
      <c r="I42" s="24"/>
      <c r="J42" s="24"/>
      <c r="K42" s="24"/>
      <c r="L42" s="24">
        <f>VLOOKUP($C$10&amp;"_"&amp;$C42&amp;"_"&amp;ModelFactors!$C$7,'Utility-Scale Battery Storage'!$A$62:$AJ$76,MATCH($D42,'Utility-Scale Battery Storage'!$A$42:$AJ$42,0),0)*'FRED Graph_22Oct2023'!$D$312*ModelFactors!$D7</f>
        <v>38.635928671329793</v>
      </c>
      <c r="M42" s="24">
        <f>VLOOKUP($C$10&amp;"_"&amp;$C42&amp;"_"&amp;ModelFactors!$C$7,'Utility-Scale Battery Storage'!$A$62:$AJ$76,MATCH($D42,'Utility-Scale Battery Storage'!$A$42:$AJ$42,0),0)*'FRED Graph_22Oct2023'!$D$312*ModelFactors!$D7</f>
        <v>38.635928671329793</v>
      </c>
      <c r="N42" s="24">
        <f>VLOOKUP($C$10&amp;"_"&amp;$C42&amp;"_"&amp;ModelFactors!$C$7,'Utility-Scale Battery Storage'!$A$62:$AJ$76,MATCH($D42,'Utility-Scale Battery Storage'!$A$42:$AJ$42,0),0)*'FRED Graph_22Oct2023'!$D$312*ModelFactors!$D7</f>
        <v>38.635928671329793</v>
      </c>
      <c r="O42" s="24">
        <f>VLOOKUP($C$10&amp;"_"&amp;$C42&amp;"_"&amp;ModelFactors!$C$7,'Utility-Scale Battery Storage'!$A$62:$AJ$76,MATCH($D42,'Utility-Scale Battery Storage'!$A$42:$AJ$42,0),0)*'FRED Graph_22Oct2023'!$D$312*ModelFactors!$D7</f>
        <v>38.635928671329793</v>
      </c>
      <c r="P42" s="24">
        <f>VLOOKUP($C$10&amp;"_"&amp;$C42&amp;"_"&amp;ModelFactors!$C$7,'Utility-Scale Battery Storage'!$A$62:$AJ$76,MATCH($D42,'Utility-Scale Battery Storage'!$A$42:$AJ$42,0),0)*'FRED Graph_22Oct2023'!$D$312*ModelFactors!$D7</f>
        <v>38.635928671329793</v>
      </c>
      <c r="Q42" s="24">
        <f>VLOOKUP($C$10&amp;"_"&amp;$C42&amp;"_"&amp;ModelFactors!$C$7,'Utility-Scale Battery Storage'!$A$62:$AJ$76,MATCH($D42,'Utility-Scale Battery Storage'!$A$42:$AJ$42,0),0)*'FRED Graph_22Oct2023'!$D$312*ModelFactors!$D7</f>
        <v>38.635928671329793</v>
      </c>
      <c r="R42" s="24">
        <f>VLOOKUP($C$10&amp;"_"&amp;$C42&amp;"_"&amp;ModelFactors!$C$7,'Utility-Scale Battery Storage'!$A$62:$AJ$76,MATCH($D42,'Utility-Scale Battery Storage'!$A$42:$AJ$42,0),0)*'FRED Graph_22Oct2023'!$D$312*ModelFactors!$D7</f>
        <v>38.635928671329793</v>
      </c>
      <c r="S42" s="24">
        <f>VLOOKUP($C$10&amp;"_"&amp;$C42&amp;"_"&amp;ModelFactors!$C$7,'Utility-Scale Battery Storage'!$A$62:$AJ$76,MATCH($D42,'Utility-Scale Battery Storage'!$A$42:$AJ$42,0),0)*'FRED Graph_22Oct2023'!$D$312*ModelFactors!$D7</f>
        <v>38.635928671329793</v>
      </c>
      <c r="T42" s="24">
        <f>VLOOKUP($C$10&amp;"_"&amp;$C42&amp;"_"&amp;ModelFactors!$C$7,'Utility-Scale Battery Storage'!$A$62:$AJ$76,MATCH($D42,'Utility-Scale Battery Storage'!$A$42:$AJ$42,0),0)*'FRED Graph_22Oct2023'!$D$312*ModelFactors!$D7</f>
        <v>38.635928671329793</v>
      </c>
      <c r="U42" s="24">
        <f>VLOOKUP($C$10&amp;"_"&amp;$C42&amp;"_"&amp;ModelFactors!$C$7,'Utility-Scale Battery Storage'!$A$62:$AJ$76,MATCH($D42,'Utility-Scale Battery Storage'!$A$42:$AJ$42,0),0)*'FRED Graph_22Oct2023'!$D$312*ModelFactors!$D7</f>
        <v>38.635928671329793</v>
      </c>
      <c r="V42" s="24">
        <f>VLOOKUP($C$10&amp;"_"&amp;$C42&amp;"_"&amp;ModelFactors!$C$7,'Utility-Scale Battery Storage'!$A$62:$AJ$76,MATCH($D42,'Utility-Scale Battery Storage'!$A$42:$AJ$42,0),0)*'FRED Graph_22Oct2023'!$D$312*ModelFactors!$D7</f>
        <v>38.635928671329793</v>
      </c>
      <c r="W42" s="24">
        <f>VLOOKUP($C$10&amp;"_"&amp;$C42&amp;"_"&amp;ModelFactors!$C$7,'Utility-Scale Battery Storage'!$A$62:$AJ$76,MATCH($D42,'Utility-Scale Battery Storage'!$A$42:$AJ$42,0),0)*'FRED Graph_22Oct2023'!$D$312*ModelFactors!$D7</f>
        <v>38.635928671329793</v>
      </c>
      <c r="X42" s="24">
        <f>VLOOKUP($C$10&amp;"_"&amp;$C42&amp;"_"&amp;ModelFactors!$C$7,'Utility-Scale Battery Storage'!$A$62:$AJ$76,MATCH($D42,'Utility-Scale Battery Storage'!$A$42:$AJ$42,0),0)*'FRED Graph_22Oct2023'!$D$312*ModelFactors!$D7</f>
        <v>38.635928671329793</v>
      </c>
      <c r="Y42" s="24">
        <f>VLOOKUP($C$10&amp;"_"&amp;$C42&amp;"_"&amp;ModelFactors!$C$7,'Utility-Scale Battery Storage'!$A$62:$AJ$76,MATCH($D42,'Utility-Scale Battery Storage'!$A$42:$AJ$42,0),0)*'FRED Graph_22Oct2023'!$D$312*ModelFactors!$D7</f>
        <v>38.635928671329793</v>
      </c>
      <c r="Z42" s="24">
        <f>VLOOKUP($C$10&amp;"_"&amp;$C42&amp;"_"&amp;ModelFactors!$C$7,'Utility-Scale Battery Storage'!$A$62:$AJ$76,MATCH($D42,'Utility-Scale Battery Storage'!$A$42:$AJ$42,0),0)*'FRED Graph_22Oct2023'!$D$312*ModelFactors!$D7</f>
        <v>38.635928671329793</v>
      </c>
      <c r="AA42" s="24">
        <f>VLOOKUP($C$10&amp;"_"&amp;$C42&amp;"_"&amp;ModelFactors!$C$7,'Utility-Scale Battery Storage'!$A$62:$AJ$76,MATCH($D42,'Utility-Scale Battery Storage'!$A$42:$AJ$42,0),0)*'FRED Graph_22Oct2023'!$D$312*ModelFactors!$D7</f>
        <v>38.635928671329793</v>
      </c>
      <c r="AB42" s="24">
        <f>VLOOKUP($C$10&amp;"_"&amp;$C42&amp;"_"&amp;ModelFactors!$C$7,'Utility-Scale Battery Storage'!$A$62:$AJ$76,MATCH($D42,'Utility-Scale Battery Storage'!$A$42:$AJ$42,0),0)*'FRED Graph_22Oct2023'!$D$312*ModelFactors!$D7</f>
        <v>38.635928671329793</v>
      </c>
      <c r="AC42" s="24">
        <f>VLOOKUP($C$10&amp;"_"&amp;$C42&amp;"_"&amp;ModelFactors!$C$7,'Utility-Scale Battery Storage'!$A$62:$AJ$76,MATCH($D42,'Utility-Scale Battery Storage'!$A$42:$AJ$42,0),0)*'FRED Graph_22Oct2023'!$D$312*ModelFactors!$D7</f>
        <v>38.635928671329793</v>
      </c>
      <c r="AD42" s="24">
        <f>VLOOKUP($C$10&amp;"_"&amp;$C42&amp;"_"&amp;ModelFactors!$C$7,'Utility-Scale Battery Storage'!$A$62:$AJ$76,MATCH($D42,'Utility-Scale Battery Storage'!$A$42:$AJ$42,0),0)*'FRED Graph_22Oct2023'!$D$312*ModelFactors!$D7</f>
        <v>38.635928671329793</v>
      </c>
      <c r="AE42" s="24">
        <f>VLOOKUP($C$10&amp;"_"&amp;$C42&amp;"_"&amp;ModelFactors!$C$7,'Utility-Scale Battery Storage'!$A$62:$AJ$76,MATCH($D42,'Utility-Scale Battery Storage'!$A$42:$AJ$42,0),0)*'FRED Graph_22Oct2023'!$D$312*ModelFactors!$D7</f>
        <v>38.635928671329793</v>
      </c>
    </row>
    <row r="43" spans="2:31" x14ac:dyDescent="0.25">
      <c r="B43" s="4" t="s">
        <v>120</v>
      </c>
      <c r="C43" s="3" t="s">
        <v>125</v>
      </c>
      <c r="D43" s="23">
        <f>D42</f>
        <v>2035</v>
      </c>
      <c r="E43" s="23"/>
      <c r="F43" s="23"/>
      <c r="G43" s="24"/>
      <c r="H43" s="24"/>
      <c r="I43" s="24"/>
      <c r="J43" s="24"/>
      <c r="K43" s="24"/>
      <c r="L43" s="24">
        <f>VLOOKUP($C$10&amp;"_"&amp;$C43&amp;"_"&amp;ModelFactors!$C$7,'Utility-Scale Battery Storage'!$A$62:$AJ$76,MATCH($D43,'Utility-Scale Battery Storage'!$A$42:$AJ$42,0),0)*'FRED Graph_22Oct2023'!$D$312*ModelFactors!$D8</f>
        <v>38.939431645967105</v>
      </c>
      <c r="M43" s="24">
        <f>VLOOKUP($C$10&amp;"_"&amp;$C43&amp;"_"&amp;ModelFactors!$C$7,'Utility-Scale Battery Storage'!$A$62:$AJ$76,MATCH($D43,'Utility-Scale Battery Storage'!$A$42:$AJ$42,0),0)*'FRED Graph_22Oct2023'!$D$312*ModelFactors!$D8</f>
        <v>38.939431645967105</v>
      </c>
      <c r="N43" s="24">
        <f>VLOOKUP($C$10&amp;"_"&amp;$C43&amp;"_"&amp;ModelFactors!$C$7,'Utility-Scale Battery Storage'!$A$62:$AJ$76,MATCH($D43,'Utility-Scale Battery Storage'!$A$42:$AJ$42,0),0)*'FRED Graph_22Oct2023'!$D$312*ModelFactors!$D8</f>
        <v>38.939431645967105</v>
      </c>
      <c r="O43" s="24">
        <f>VLOOKUP($C$10&amp;"_"&amp;$C43&amp;"_"&amp;ModelFactors!$C$7,'Utility-Scale Battery Storage'!$A$62:$AJ$76,MATCH($D43,'Utility-Scale Battery Storage'!$A$42:$AJ$42,0),0)*'FRED Graph_22Oct2023'!$D$312*ModelFactors!$D8</f>
        <v>38.939431645967105</v>
      </c>
      <c r="P43" s="24">
        <f>VLOOKUP($C$10&amp;"_"&amp;$C43&amp;"_"&amp;ModelFactors!$C$7,'Utility-Scale Battery Storage'!$A$62:$AJ$76,MATCH($D43,'Utility-Scale Battery Storage'!$A$42:$AJ$42,0),0)*'FRED Graph_22Oct2023'!$D$312*ModelFactors!$D8</f>
        <v>38.939431645967105</v>
      </c>
      <c r="Q43" s="24">
        <f>VLOOKUP($C$10&amp;"_"&amp;$C43&amp;"_"&amp;ModelFactors!$C$7,'Utility-Scale Battery Storage'!$A$62:$AJ$76,MATCH($D43,'Utility-Scale Battery Storage'!$A$42:$AJ$42,0),0)*'FRED Graph_22Oct2023'!$D$312*ModelFactors!$D8</f>
        <v>38.939431645967105</v>
      </c>
      <c r="R43" s="24">
        <f>VLOOKUP($C$10&amp;"_"&amp;$C43&amp;"_"&amp;ModelFactors!$C$7,'Utility-Scale Battery Storage'!$A$62:$AJ$76,MATCH($D43,'Utility-Scale Battery Storage'!$A$42:$AJ$42,0),0)*'FRED Graph_22Oct2023'!$D$312*ModelFactors!$D8</f>
        <v>38.939431645967105</v>
      </c>
      <c r="S43" s="24">
        <f>VLOOKUP($C$10&amp;"_"&amp;$C43&amp;"_"&amp;ModelFactors!$C$7,'Utility-Scale Battery Storage'!$A$62:$AJ$76,MATCH($D43,'Utility-Scale Battery Storage'!$A$42:$AJ$42,0),0)*'FRED Graph_22Oct2023'!$D$312*ModelFactors!$D8</f>
        <v>38.939431645967105</v>
      </c>
      <c r="T43" s="24">
        <f>VLOOKUP($C$10&amp;"_"&amp;$C43&amp;"_"&amp;ModelFactors!$C$7,'Utility-Scale Battery Storage'!$A$62:$AJ$76,MATCH($D43,'Utility-Scale Battery Storage'!$A$42:$AJ$42,0),0)*'FRED Graph_22Oct2023'!$D$312*ModelFactors!$D8</f>
        <v>38.939431645967105</v>
      </c>
      <c r="U43" s="24">
        <f>VLOOKUP($C$10&amp;"_"&amp;$C43&amp;"_"&amp;ModelFactors!$C$7,'Utility-Scale Battery Storage'!$A$62:$AJ$76,MATCH($D43,'Utility-Scale Battery Storage'!$A$42:$AJ$42,0),0)*'FRED Graph_22Oct2023'!$D$312*ModelFactors!$D8</f>
        <v>38.939431645967105</v>
      </c>
      <c r="V43" s="24">
        <f>VLOOKUP($C$10&amp;"_"&amp;$C43&amp;"_"&amp;ModelFactors!$C$7,'Utility-Scale Battery Storage'!$A$62:$AJ$76,MATCH($D43,'Utility-Scale Battery Storage'!$A$42:$AJ$42,0),0)*'FRED Graph_22Oct2023'!$D$312*ModelFactors!$D8</f>
        <v>38.939431645967105</v>
      </c>
      <c r="W43" s="24">
        <f>VLOOKUP($C$10&amp;"_"&amp;$C43&amp;"_"&amp;ModelFactors!$C$7,'Utility-Scale Battery Storage'!$A$62:$AJ$76,MATCH($D43,'Utility-Scale Battery Storage'!$A$42:$AJ$42,0),0)*'FRED Graph_22Oct2023'!$D$312*ModelFactors!$D8</f>
        <v>38.939431645967105</v>
      </c>
      <c r="X43" s="24">
        <f>VLOOKUP($C$10&amp;"_"&amp;$C43&amp;"_"&amp;ModelFactors!$C$7,'Utility-Scale Battery Storage'!$A$62:$AJ$76,MATCH($D43,'Utility-Scale Battery Storage'!$A$42:$AJ$42,0),0)*'FRED Graph_22Oct2023'!$D$312*ModelFactors!$D8</f>
        <v>38.939431645967105</v>
      </c>
      <c r="Y43" s="24">
        <f>VLOOKUP($C$10&amp;"_"&amp;$C43&amp;"_"&amp;ModelFactors!$C$7,'Utility-Scale Battery Storage'!$A$62:$AJ$76,MATCH($D43,'Utility-Scale Battery Storage'!$A$42:$AJ$42,0),0)*'FRED Graph_22Oct2023'!$D$312*ModelFactors!$D8</f>
        <v>38.939431645967105</v>
      </c>
      <c r="Z43" s="24">
        <f>VLOOKUP($C$10&amp;"_"&amp;$C43&amp;"_"&amp;ModelFactors!$C$7,'Utility-Scale Battery Storage'!$A$62:$AJ$76,MATCH($D43,'Utility-Scale Battery Storage'!$A$42:$AJ$42,0),0)*'FRED Graph_22Oct2023'!$D$312*ModelFactors!$D8</f>
        <v>38.939431645967105</v>
      </c>
      <c r="AA43" s="24">
        <f>VLOOKUP($C$10&amp;"_"&amp;$C43&amp;"_"&amp;ModelFactors!$C$7,'Utility-Scale Battery Storage'!$A$62:$AJ$76,MATCH($D43,'Utility-Scale Battery Storage'!$A$42:$AJ$42,0),0)*'FRED Graph_22Oct2023'!$D$312*ModelFactors!$D8</f>
        <v>38.939431645967105</v>
      </c>
      <c r="AB43" s="24">
        <f>VLOOKUP($C$10&amp;"_"&amp;$C43&amp;"_"&amp;ModelFactors!$C$7,'Utility-Scale Battery Storage'!$A$62:$AJ$76,MATCH($D43,'Utility-Scale Battery Storage'!$A$42:$AJ$42,0),0)*'FRED Graph_22Oct2023'!$D$312*ModelFactors!$D8</f>
        <v>38.939431645967105</v>
      </c>
      <c r="AC43" s="24">
        <f>VLOOKUP($C$10&amp;"_"&amp;$C43&amp;"_"&amp;ModelFactors!$C$7,'Utility-Scale Battery Storage'!$A$62:$AJ$76,MATCH($D43,'Utility-Scale Battery Storage'!$A$42:$AJ$42,0),0)*'FRED Graph_22Oct2023'!$D$312*ModelFactors!$D8</f>
        <v>38.939431645967105</v>
      </c>
      <c r="AD43" s="24">
        <f>VLOOKUP($C$10&amp;"_"&amp;$C43&amp;"_"&amp;ModelFactors!$C$7,'Utility-Scale Battery Storage'!$A$62:$AJ$76,MATCH($D43,'Utility-Scale Battery Storage'!$A$42:$AJ$42,0),0)*'FRED Graph_22Oct2023'!$D$312*ModelFactors!$D8</f>
        <v>38.939431645967105</v>
      </c>
      <c r="AE43" s="24">
        <f>VLOOKUP($C$10&amp;"_"&amp;$C43&amp;"_"&amp;ModelFactors!$C$7,'Utility-Scale Battery Storage'!$A$62:$AJ$76,MATCH($D43,'Utility-Scale Battery Storage'!$A$42:$AJ$42,0),0)*'FRED Graph_22Oct2023'!$D$312*ModelFactors!$D8</f>
        <v>38.939431645967105</v>
      </c>
    </row>
    <row r="44" spans="2:31" x14ac:dyDescent="0.25">
      <c r="B44" s="4" t="s">
        <v>119</v>
      </c>
      <c r="C44" s="4" t="s">
        <v>126</v>
      </c>
      <c r="D44" s="23">
        <f>D43</f>
        <v>2035</v>
      </c>
      <c r="E44" s="23"/>
      <c r="F44" s="23"/>
      <c r="G44" s="24"/>
      <c r="H44" s="24"/>
      <c r="I44" s="24"/>
      <c r="J44" s="24"/>
      <c r="K44" s="24"/>
      <c r="L44" s="24">
        <f>VLOOKUP($C$10&amp;"_"&amp;$C44&amp;"_"&amp;ModelFactors!$C$7,'Utility-Scale Battery Storage'!$A$62:$AJ$76,MATCH($D44,'Utility-Scale Battery Storage'!$A$42:$AJ$42,0),0)*'FRED Graph_22Oct2023'!$D$312*ModelFactors!$D9</f>
        <v>84.440579556851532</v>
      </c>
      <c r="M44" s="24">
        <f>VLOOKUP($C$10&amp;"_"&amp;$C44&amp;"_"&amp;ModelFactors!$C$7,'Utility-Scale Battery Storage'!$A$62:$AJ$76,MATCH($D44,'Utility-Scale Battery Storage'!$A$42:$AJ$42,0),0)*'FRED Graph_22Oct2023'!$D$312*ModelFactors!$D9</f>
        <v>84.440579556851532</v>
      </c>
      <c r="N44" s="24">
        <f>VLOOKUP($C$10&amp;"_"&amp;$C44&amp;"_"&amp;ModelFactors!$C$7,'Utility-Scale Battery Storage'!$A$62:$AJ$76,MATCH($D44,'Utility-Scale Battery Storage'!$A$42:$AJ$42,0),0)*'FRED Graph_22Oct2023'!$D$312*ModelFactors!$D9</f>
        <v>84.440579556851532</v>
      </c>
      <c r="O44" s="24">
        <f>VLOOKUP($C$10&amp;"_"&amp;$C44&amp;"_"&amp;ModelFactors!$C$7,'Utility-Scale Battery Storage'!$A$62:$AJ$76,MATCH($D44,'Utility-Scale Battery Storage'!$A$42:$AJ$42,0),0)*'FRED Graph_22Oct2023'!$D$312*ModelFactors!$D9</f>
        <v>84.440579556851532</v>
      </c>
      <c r="P44" s="24">
        <f>VLOOKUP($C$10&amp;"_"&amp;$C44&amp;"_"&amp;ModelFactors!$C$7,'Utility-Scale Battery Storage'!$A$62:$AJ$76,MATCH($D44,'Utility-Scale Battery Storage'!$A$42:$AJ$42,0),0)*'FRED Graph_22Oct2023'!$D$312*ModelFactors!$D9</f>
        <v>84.440579556851532</v>
      </c>
      <c r="Q44" s="24">
        <f>VLOOKUP($C$10&amp;"_"&amp;$C44&amp;"_"&amp;ModelFactors!$C$7,'Utility-Scale Battery Storage'!$A$62:$AJ$76,MATCH($D44,'Utility-Scale Battery Storage'!$A$42:$AJ$42,0),0)*'FRED Graph_22Oct2023'!$D$312*ModelFactors!$D9</f>
        <v>84.440579556851532</v>
      </c>
      <c r="R44" s="24">
        <f>VLOOKUP($C$10&amp;"_"&amp;$C44&amp;"_"&amp;ModelFactors!$C$7,'Utility-Scale Battery Storage'!$A$62:$AJ$76,MATCH($D44,'Utility-Scale Battery Storage'!$A$42:$AJ$42,0),0)*'FRED Graph_22Oct2023'!$D$312*ModelFactors!$D9</f>
        <v>84.440579556851532</v>
      </c>
      <c r="S44" s="24">
        <f>VLOOKUP($C$10&amp;"_"&amp;$C44&amp;"_"&amp;ModelFactors!$C$7,'Utility-Scale Battery Storage'!$A$62:$AJ$76,MATCH($D44,'Utility-Scale Battery Storage'!$A$42:$AJ$42,0),0)*'FRED Graph_22Oct2023'!$D$312*ModelFactors!$D9</f>
        <v>84.440579556851532</v>
      </c>
      <c r="T44" s="24">
        <f>VLOOKUP($C$10&amp;"_"&amp;$C44&amp;"_"&amp;ModelFactors!$C$7,'Utility-Scale Battery Storage'!$A$62:$AJ$76,MATCH($D44,'Utility-Scale Battery Storage'!$A$42:$AJ$42,0),0)*'FRED Graph_22Oct2023'!$D$312*ModelFactors!$D9</f>
        <v>84.440579556851532</v>
      </c>
      <c r="U44" s="24">
        <f>VLOOKUP($C$10&amp;"_"&amp;$C44&amp;"_"&amp;ModelFactors!$C$7,'Utility-Scale Battery Storage'!$A$62:$AJ$76,MATCH($D44,'Utility-Scale Battery Storage'!$A$42:$AJ$42,0),0)*'FRED Graph_22Oct2023'!$D$312*ModelFactors!$D9</f>
        <v>84.440579556851532</v>
      </c>
      <c r="V44" s="24">
        <f>VLOOKUP($C$10&amp;"_"&amp;$C44&amp;"_"&amp;ModelFactors!$C$7,'Utility-Scale Battery Storage'!$A$62:$AJ$76,MATCH($D44,'Utility-Scale Battery Storage'!$A$42:$AJ$42,0),0)*'FRED Graph_22Oct2023'!$D$312*ModelFactors!$D9</f>
        <v>84.440579556851532</v>
      </c>
      <c r="W44" s="24">
        <f>VLOOKUP($C$10&amp;"_"&amp;$C44&amp;"_"&amp;ModelFactors!$C$7,'Utility-Scale Battery Storage'!$A$62:$AJ$76,MATCH($D44,'Utility-Scale Battery Storage'!$A$42:$AJ$42,0),0)*'FRED Graph_22Oct2023'!$D$312*ModelFactors!$D9</f>
        <v>84.440579556851532</v>
      </c>
      <c r="X44" s="24">
        <f>VLOOKUP($C$10&amp;"_"&amp;$C44&amp;"_"&amp;ModelFactors!$C$7,'Utility-Scale Battery Storage'!$A$62:$AJ$76,MATCH($D44,'Utility-Scale Battery Storage'!$A$42:$AJ$42,0),0)*'FRED Graph_22Oct2023'!$D$312*ModelFactors!$D9</f>
        <v>84.440579556851532</v>
      </c>
      <c r="Y44" s="24">
        <f>VLOOKUP($C$10&amp;"_"&amp;$C44&amp;"_"&amp;ModelFactors!$C$7,'Utility-Scale Battery Storage'!$A$62:$AJ$76,MATCH($D44,'Utility-Scale Battery Storage'!$A$42:$AJ$42,0),0)*'FRED Graph_22Oct2023'!$D$312*ModelFactors!$D9</f>
        <v>84.440579556851532</v>
      </c>
      <c r="Z44" s="24">
        <f>VLOOKUP($C$10&amp;"_"&amp;$C44&amp;"_"&amp;ModelFactors!$C$7,'Utility-Scale Battery Storage'!$A$62:$AJ$76,MATCH($D44,'Utility-Scale Battery Storage'!$A$42:$AJ$42,0),0)*'FRED Graph_22Oct2023'!$D$312*ModelFactors!$D9</f>
        <v>84.440579556851532</v>
      </c>
      <c r="AA44" s="24">
        <f>VLOOKUP($C$10&amp;"_"&amp;$C44&amp;"_"&amp;ModelFactors!$C$7,'Utility-Scale Battery Storage'!$A$62:$AJ$76,MATCH($D44,'Utility-Scale Battery Storage'!$A$42:$AJ$42,0),0)*'FRED Graph_22Oct2023'!$D$312*ModelFactors!$D9</f>
        <v>84.440579556851532</v>
      </c>
      <c r="AB44" s="24">
        <f>VLOOKUP($C$10&amp;"_"&amp;$C44&amp;"_"&amp;ModelFactors!$C$7,'Utility-Scale Battery Storage'!$A$62:$AJ$76,MATCH($D44,'Utility-Scale Battery Storage'!$A$42:$AJ$42,0),0)*'FRED Graph_22Oct2023'!$D$312*ModelFactors!$D9</f>
        <v>84.440579556851532</v>
      </c>
      <c r="AC44" s="24">
        <f>VLOOKUP($C$10&amp;"_"&amp;$C44&amp;"_"&amp;ModelFactors!$C$7,'Utility-Scale Battery Storage'!$A$62:$AJ$76,MATCH($D44,'Utility-Scale Battery Storage'!$A$42:$AJ$42,0),0)*'FRED Graph_22Oct2023'!$D$312*ModelFactors!$D9</f>
        <v>84.440579556851532</v>
      </c>
      <c r="AD44" s="24">
        <f>VLOOKUP($C$10&amp;"_"&amp;$C44&amp;"_"&amp;ModelFactors!$C$7,'Utility-Scale Battery Storage'!$A$62:$AJ$76,MATCH($D44,'Utility-Scale Battery Storage'!$A$42:$AJ$42,0),0)*'FRED Graph_22Oct2023'!$D$312*ModelFactors!$D9</f>
        <v>84.440579556851532</v>
      </c>
      <c r="AE44" s="24">
        <f>VLOOKUP($C$10&amp;"_"&amp;$C44&amp;"_"&amp;ModelFactors!$C$7,'Utility-Scale Battery Storage'!$A$62:$AJ$76,MATCH($D44,'Utility-Scale Battery Storage'!$A$42:$AJ$42,0),0)*'FRED Graph_22Oct2023'!$D$312*ModelFactors!$D9</f>
        <v>84.440579556851532</v>
      </c>
    </row>
    <row r="45" spans="2:31" x14ac:dyDescent="0.25">
      <c r="B45" s="4" t="s">
        <v>118</v>
      </c>
      <c r="C45" s="4" t="s">
        <v>126</v>
      </c>
      <c r="D45" s="23">
        <f>D44</f>
        <v>2035</v>
      </c>
      <c r="E45" s="23"/>
      <c r="F45" s="23"/>
      <c r="G45" s="24"/>
      <c r="H45" s="24"/>
      <c r="I45" s="24"/>
      <c r="J45" s="24"/>
      <c r="K45" s="24"/>
      <c r="L45" s="24">
        <f>VLOOKUP($C$10&amp;"_"&amp;$C45&amp;"_"&amp;ModelFactors!$C$7,'Utility-Scale Battery Storage'!$A$62:$AJ$76,MATCH($D45,'Utility-Scale Battery Storage'!$A$42:$AJ$42,0),0)*'FRED Graph_22Oct2023'!$D$312*ModelFactors!$D10</f>
        <v>85.103899113464664</v>
      </c>
      <c r="M45" s="24">
        <f>VLOOKUP($C$10&amp;"_"&amp;$C45&amp;"_"&amp;ModelFactors!$C$7,'Utility-Scale Battery Storage'!$A$62:$AJ$76,MATCH($D45,'Utility-Scale Battery Storage'!$A$42:$AJ$42,0),0)*'FRED Graph_22Oct2023'!$D$312*ModelFactors!$D10</f>
        <v>85.103899113464664</v>
      </c>
      <c r="N45" s="24">
        <f>VLOOKUP($C$10&amp;"_"&amp;$C45&amp;"_"&amp;ModelFactors!$C$7,'Utility-Scale Battery Storage'!$A$62:$AJ$76,MATCH($D45,'Utility-Scale Battery Storage'!$A$42:$AJ$42,0),0)*'FRED Graph_22Oct2023'!$D$312*ModelFactors!$D10</f>
        <v>85.103899113464664</v>
      </c>
      <c r="O45" s="24">
        <f>VLOOKUP($C$10&amp;"_"&amp;$C45&amp;"_"&amp;ModelFactors!$C$7,'Utility-Scale Battery Storage'!$A$62:$AJ$76,MATCH($D45,'Utility-Scale Battery Storage'!$A$42:$AJ$42,0),0)*'FRED Graph_22Oct2023'!$D$312*ModelFactors!$D10</f>
        <v>85.103899113464664</v>
      </c>
      <c r="P45" s="24">
        <f>VLOOKUP($C$10&amp;"_"&amp;$C45&amp;"_"&amp;ModelFactors!$C$7,'Utility-Scale Battery Storage'!$A$62:$AJ$76,MATCH($D45,'Utility-Scale Battery Storage'!$A$42:$AJ$42,0),0)*'FRED Graph_22Oct2023'!$D$312*ModelFactors!$D10</f>
        <v>85.103899113464664</v>
      </c>
      <c r="Q45" s="24">
        <f>VLOOKUP($C$10&amp;"_"&amp;$C45&amp;"_"&amp;ModelFactors!$C$7,'Utility-Scale Battery Storage'!$A$62:$AJ$76,MATCH($D45,'Utility-Scale Battery Storage'!$A$42:$AJ$42,0),0)*'FRED Graph_22Oct2023'!$D$312*ModelFactors!$D10</f>
        <v>85.103899113464664</v>
      </c>
      <c r="R45" s="24">
        <f>VLOOKUP($C$10&amp;"_"&amp;$C45&amp;"_"&amp;ModelFactors!$C$7,'Utility-Scale Battery Storage'!$A$62:$AJ$76,MATCH($D45,'Utility-Scale Battery Storage'!$A$42:$AJ$42,0),0)*'FRED Graph_22Oct2023'!$D$312*ModelFactors!$D10</f>
        <v>85.103899113464664</v>
      </c>
      <c r="S45" s="24">
        <f>VLOOKUP($C$10&amp;"_"&amp;$C45&amp;"_"&amp;ModelFactors!$C$7,'Utility-Scale Battery Storage'!$A$62:$AJ$76,MATCH($D45,'Utility-Scale Battery Storage'!$A$42:$AJ$42,0),0)*'FRED Graph_22Oct2023'!$D$312*ModelFactors!$D10</f>
        <v>85.103899113464664</v>
      </c>
      <c r="T45" s="24">
        <f>VLOOKUP($C$10&amp;"_"&amp;$C45&amp;"_"&amp;ModelFactors!$C$7,'Utility-Scale Battery Storage'!$A$62:$AJ$76,MATCH($D45,'Utility-Scale Battery Storage'!$A$42:$AJ$42,0),0)*'FRED Graph_22Oct2023'!$D$312*ModelFactors!$D10</f>
        <v>85.103899113464664</v>
      </c>
      <c r="U45" s="24">
        <f>VLOOKUP($C$10&amp;"_"&amp;$C45&amp;"_"&amp;ModelFactors!$C$7,'Utility-Scale Battery Storage'!$A$62:$AJ$76,MATCH($D45,'Utility-Scale Battery Storage'!$A$42:$AJ$42,0),0)*'FRED Graph_22Oct2023'!$D$312*ModelFactors!$D10</f>
        <v>85.103899113464664</v>
      </c>
      <c r="V45" s="24">
        <f>VLOOKUP($C$10&amp;"_"&amp;$C45&amp;"_"&amp;ModelFactors!$C$7,'Utility-Scale Battery Storage'!$A$62:$AJ$76,MATCH($D45,'Utility-Scale Battery Storage'!$A$42:$AJ$42,0),0)*'FRED Graph_22Oct2023'!$D$312*ModelFactors!$D10</f>
        <v>85.103899113464664</v>
      </c>
      <c r="W45" s="24">
        <f>VLOOKUP($C$10&amp;"_"&amp;$C45&amp;"_"&amp;ModelFactors!$C$7,'Utility-Scale Battery Storage'!$A$62:$AJ$76,MATCH($D45,'Utility-Scale Battery Storage'!$A$42:$AJ$42,0),0)*'FRED Graph_22Oct2023'!$D$312*ModelFactors!$D10</f>
        <v>85.103899113464664</v>
      </c>
      <c r="X45" s="24">
        <f>VLOOKUP($C$10&amp;"_"&amp;$C45&amp;"_"&amp;ModelFactors!$C$7,'Utility-Scale Battery Storage'!$A$62:$AJ$76,MATCH($D45,'Utility-Scale Battery Storage'!$A$42:$AJ$42,0),0)*'FRED Graph_22Oct2023'!$D$312*ModelFactors!$D10</f>
        <v>85.103899113464664</v>
      </c>
      <c r="Y45" s="24">
        <f>VLOOKUP($C$10&amp;"_"&amp;$C45&amp;"_"&amp;ModelFactors!$C$7,'Utility-Scale Battery Storage'!$A$62:$AJ$76,MATCH($D45,'Utility-Scale Battery Storage'!$A$42:$AJ$42,0),0)*'FRED Graph_22Oct2023'!$D$312*ModelFactors!$D10</f>
        <v>85.103899113464664</v>
      </c>
      <c r="Z45" s="24">
        <f>VLOOKUP($C$10&amp;"_"&amp;$C45&amp;"_"&amp;ModelFactors!$C$7,'Utility-Scale Battery Storage'!$A$62:$AJ$76,MATCH($D45,'Utility-Scale Battery Storage'!$A$42:$AJ$42,0),0)*'FRED Graph_22Oct2023'!$D$312*ModelFactors!$D10</f>
        <v>85.103899113464664</v>
      </c>
      <c r="AA45" s="24">
        <f>VLOOKUP($C$10&amp;"_"&amp;$C45&amp;"_"&amp;ModelFactors!$C$7,'Utility-Scale Battery Storage'!$A$62:$AJ$76,MATCH($D45,'Utility-Scale Battery Storage'!$A$42:$AJ$42,0),0)*'FRED Graph_22Oct2023'!$D$312*ModelFactors!$D10</f>
        <v>85.103899113464664</v>
      </c>
      <c r="AB45" s="24">
        <f>VLOOKUP($C$10&amp;"_"&amp;$C45&amp;"_"&amp;ModelFactors!$C$7,'Utility-Scale Battery Storage'!$A$62:$AJ$76,MATCH($D45,'Utility-Scale Battery Storage'!$A$42:$AJ$42,0),0)*'FRED Graph_22Oct2023'!$D$312*ModelFactors!$D10</f>
        <v>85.103899113464664</v>
      </c>
      <c r="AC45" s="24">
        <f>VLOOKUP($C$10&amp;"_"&amp;$C45&amp;"_"&amp;ModelFactors!$C$7,'Utility-Scale Battery Storage'!$A$62:$AJ$76,MATCH($D45,'Utility-Scale Battery Storage'!$A$42:$AJ$42,0),0)*'FRED Graph_22Oct2023'!$D$312*ModelFactors!$D10</f>
        <v>85.103899113464664</v>
      </c>
      <c r="AD45" s="24">
        <f>VLOOKUP($C$10&amp;"_"&amp;$C45&amp;"_"&amp;ModelFactors!$C$7,'Utility-Scale Battery Storage'!$A$62:$AJ$76,MATCH($D45,'Utility-Scale Battery Storage'!$A$42:$AJ$42,0),0)*'FRED Graph_22Oct2023'!$D$312*ModelFactors!$D10</f>
        <v>85.103899113464664</v>
      </c>
      <c r="AE45" s="24">
        <f>VLOOKUP($C$10&amp;"_"&amp;$C45&amp;"_"&amp;ModelFactors!$C$7,'Utility-Scale Battery Storage'!$A$62:$AJ$76,MATCH($D45,'Utility-Scale Battery Storage'!$A$42:$AJ$42,0),0)*'FRED Graph_22Oct2023'!$D$312*ModelFactors!$D10</f>
        <v>85.103899113464664</v>
      </c>
    </row>
    <row r="46" spans="2:31" x14ac:dyDescent="0.25">
      <c r="B46" s="4"/>
      <c r="C46" s="4"/>
      <c r="D46" s="23"/>
      <c r="E46" s="23"/>
      <c r="F46" s="23"/>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row>
    <row r="47" spans="2:31" x14ac:dyDescent="0.25">
      <c r="B47" s="20" t="s">
        <v>134</v>
      </c>
      <c r="C47" s="23"/>
      <c r="D47" s="23" t="s">
        <v>133</v>
      </c>
      <c r="E47" s="23"/>
      <c r="F47" s="23"/>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row>
    <row r="48" spans="2:31" x14ac:dyDescent="0.25">
      <c r="B48" s="4" t="s">
        <v>121</v>
      </c>
      <c r="C48" s="3" t="s">
        <v>125</v>
      </c>
      <c r="D48" s="23">
        <v>2030</v>
      </c>
      <c r="E48" s="23"/>
      <c r="F48" s="23"/>
      <c r="G48" s="462">
        <f>G96</f>
        <v>1030</v>
      </c>
      <c r="H48" s="462">
        <f t="shared" ref="H48:AE48" si="1">G48</f>
        <v>1030</v>
      </c>
      <c r="I48" s="462">
        <f t="shared" si="1"/>
        <v>1030</v>
      </c>
      <c r="J48" s="462">
        <f t="shared" si="1"/>
        <v>1030</v>
      </c>
      <c r="K48" s="462">
        <f t="shared" si="1"/>
        <v>1030</v>
      </c>
      <c r="L48" s="462">
        <f t="shared" si="1"/>
        <v>1030</v>
      </c>
      <c r="M48" s="462">
        <f t="shared" si="1"/>
        <v>1030</v>
      </c>
      <c r="N48" s="462">
        <f t="shared" si="1"/>
        <v>1030</v>
      </c>
      <c r="O48" s="462">
        <f t="shared" si="1"/>
        <v>1030</v>
      </c>
      <c r="P48" s="462">
        <f t="shared" si="1"/>
        <v>1030</v>
      </c>
      <c r="Q48" s="462">
        <f t="shared" si="1"/>
        <v>1030</v>
      </c>
      <c r="R48" s="462">
        <f t="shared" si="1"/>
        <v>1030</v>
      </c>
      <c r="S48" s="462">
        <f t="shared" si="1"/>
        <v>1030</v>
      </c>
      <c r="T48" s="462">
        <f t="shared" si="1"/>
        <v>1030</v>
      </c>
      <c r="U48" s="462">
        <f t="shared" si="1"/>
        <v>1030</v>
      </c>
      <c r="V48" s="462">
        <f t="shared" si="1"/>
        <v>1030</v>
      </c>
      <c r="W48" s="462">
        <f t="shared" si="1"/>
        <v>1030</v>
      </c>
      <c r="X48" s="462">
        <f t="shared" si="1"/>
        <v>1030</v>
      </c>
      <c r="Y48" s="462">
        <f t="shared" si="1"/>
        <v>1030</v>
      </c>
      <c r="Z48" s="462">
        <f t="shared" si="1"/>
        <v>1030</v>
      </c>
      <c r="AA48" s="462">
        <f t="shared" si="1"/>
        <v>1030</v>
      </c>
      <c r="AB48" s="462">
        <f t="shared" si="1"/>
        <v>1030</v>
      </c>
      <c r="AC48" s="462">
        <f t="shared" si="1"/>
        <v>1030</v>
      </c>
      <c r="AD48" s="462">
        <f t="shared" si="1"/>
        <v>1030</v>
      </c>
      <c r="AE48" s="462">
        <f t="shared" si="1"/>
        <v>1030</v>
      </c>
    </row>
    <row r="49" spans="2:31" x14ac:dyDescent="0.25">
      <c r="B49" s="4" t="s">
        <v>120</v>
      </c>
      <c r="C49" s="3" t="s">
        <v>125</v>
      </c>
      <c r="D49" s="23">
        <f>D48</f>
        <v>2030</v>
      </c>
      <c r="E49" s="23"/>
      <c r="F49" s="23"/>
      <c r="G49" s="462">
        <f>G97</f>
        <v>430</v>
      </c>
      <c r="H49" s="462">
        <f t="shared" ref="H49:AE49" si="2">G49</f>
        <v>430</v>
      </c>
      <c r="I49" s="462">
        <f t="shared" si="2"/>
        <v>430</v>
      </c>
      <c r="J49" s="462">
        <f t="shared" si="2"/>
        <v>430</v>
      </c>
      <c r="K49" s="462">
        <f t="shared" si="2"/>
        <v>430</v>
      </c>
      <c r="L49" s="462">
        <f t="shared" si="2"/>
        <v>430</v>
      </c>
      <c r="M49" s="462">
        <f t="shared" si="2"/>
        <v>430</v>
      </c>
      <c r="N49" s="462">
        <f t="shared" si="2"/>
        <v>430</v>
      </c>
      <c r="O49" s="462">
        <f t="shared" si="2"/>
        <v>430</v>
      </c>
      <c r="P49" s="462">
        <f t="shared" si="2"/>
        <v>430</v>
      </c>
      <c r="Q49" s="462">
        <f t="shared" si="2"/>
        <v>430</v>
      </c>
      <c r="R49" s="462">
        <f t="shared" si="2"/>
        <v>430</v>
      </c>
      <c r="S49" s="462">
        <f t="shared" si="2"/>
        <v>430</v>
      </c>
      <c r="T49" s="462">
        <f t="shared" si="2"/>
        <v>430</v>
      </c>
      <c r="U49" s="462">
        <f t="shared" si="2"/>
        <v>430</v>
      </c>
      <c r="V49" s="462">
        <f t="shared" si="2"/>
        <v>430</v>
      </c>
      <c r="W49" s="462">
        <f t="shared" si="2"/>
        <v>430</v>
      </c>
      <c r="X49" s="462">
        <f t="shared" si="2"/>
        <v>430</v>
      </c>
      <c r="Y49" s="462">
        <f t="shared" si="2"/>
        <v>430</v>
      </c>
      <c r="Z49" s="462">
        <f t="shared" si="2"/>
        <v>430</v>
      </c>
      <c r="AA49" s="462">
        <f t="shared" si="2"/>
        <v>430</v>
      </c>
      <c r="AB49" s="462">
        <f t="shared" si="2"/>
        <v>430</v>
      </c>
      <c r="AC49" s="462">
        <f t="shared" si="2"/>
        <v>430</v>
      </c>
      <c r="AD49" s="462">
        <f t="shared" si="2"/>
        <v>430</v>
      </c>
      <c r="AE49" s="462">
        <f t="shared" si="2"/>
        <v>430</v>
      </c>
    </row>
    <row r="50" spans="2:31" x14ac:dyDescent="0.25">
      <c r="B50" s="4" t="s">
        <v>119</v>
      </c>
      <c r="C50" s="4" t="s">
        <v>126</v>
      </c>
      <c r="D50" s="23">
        <f>D49</f>
        <v>2030</v>
      </c>
      <c r="E50" s="23"/>
      <c r="F50" s="23"/>
      <c r="G50" s="462">
        <f>G98</f>
        <v>20</v>
      </c>
      <c r="H50" s="462">
        <f t="shared" ref="H50:AE50" si="3">G50</f>
        <v>20</v>
      </c>
      <c r="I50" s="462">
        <f t="shared" si="3"/>
        <v>20</v>
      </c>
      <c r="J50" s="462">
        <f t="shared" si="3"/>
        <v>20</v>
      </c>
      <c r="K50" s="462">
        <f t="shared" si="3"/>
        <v>20</v>
      </c>
      <c r="L50" s="462">
        <f t="shared" si="3"/>
        <v>20</v>
      </c>
      <c r="M50" s="462">
        <f t="shared" si="3"/>
        <v>20</v>
      </c>
      <c r="N50" s="462">
        <f t="shared" si="3"/>
        <v>20</v>
      </c>
      <c r="O50" s="462">
        <f t="shared" si="3"/>
        <v>20</v>
      </c>
      <c r="P50" s="462">
        <f t="shared" si="3"/>
        <v>20</v>
      </c>
      <c r="Q50" s="462">
        <f t="shared" si="3"/>
        <v>20</v>
      </c>
      <c r="R50" s="462">
        <f t="shared" si="3"/>
        <v>20</v>
      </c>
      <c r="S50" s="462">
        <f t="shared" si="3"/>
        <v>20</v>
      </c>
      <c r="T50" s="462">
        <f t="shared" si="3"/>
        <v>20</v>
      </c>
      <c r="U50" s="462">
        <f t="shared" si="3"/>
        <v>20</v>
      </c>
      <c r="V50" s="462">
        <f t="shared" si="3"/>
        <v>20</v>
      </c>
      <c r="W50" s="462">
        <f t="shared" si="3"/>
        <v>20</v>
      </c>
      <c r="X50" s="462">
        <f t="shared" si="3"/>
        <v>20</v>
      </c>
      <c r="Y50" s="462">
        <f t="shared" si="3"/>
        <v>20</v>
      </c>
      <c r="Z50" s="462">
        <f t="shared" si="3"/>
        <v>20</v>
      </c>
      <c r="AA50" s="462">
        <f t="shared" si="3"/>
        <v>20</v>
      </c>
      <c r="AB50" s="462">
        <f t="shared" si="3"/>
        <v>20</v>
      </c>
      <c r="AC50" s="462">
        <f t="shared" si="3"/>
        <v>20</v>
      </c>
      <c r="AD50" s="462">
        <f t="shared" si="3"/>
        <v>20</v>
      </c>
      <c r="AE50" s="462">
        <f t="shared" si="3"/>
        <v>20</v>
      </c>
    </row>
    <row r="51" spans="2:31" x14ac:dyDescent="0.25">
      <c r="B51" s="4" t="s">
        <v>118</v>
      </c>
      <c r="C51" s="4" t="s">
        <v>126</v>
      </c>
      <c r="D51" s="23">
        <f>D50</f>
        <v>2030</v>
      </c>
      <c r="E51" s="23"/>
      <c r="F51" s="23"/>
      <c r="G51" s="462">
        <f>G99</f>
        <v>20</v>
      </c>
      <c r="H51" s="462">
        <f t="shared" ref="H51:AE51" si="4">G51</f>
        <v>20</v>
      </c>
      <c r="I51" s="462">
        <f t="shared" si="4"/>
        <v>20</v>
      </c>
      <c r="J51" s="462">
        <f t="shared" si="4"/>
        <v>20</v>
      </c>
      <c r="K51" s="462">
        <f t="shared" si="4"/>
        <v>20</v>
      </c>
      <c r="L51" s="462">
        <f t="shared" si="4"/>
        <v>20</v>
      </c>
      <c r="M51" s="462">
        <f t="shared" si="4"/>
        <v>20</v>
      </c>
      <c r="N51" s="462">
        <f t="shared" si="4"/>
        <v>20</v>
      </c>
      <c r="O51" s="462">
        <f t="shared" si="4"/>
        <v>20</v>
      </c>
      <c r="P51" s="462">
        <f t="shared" si="4"/>
        <v>20</v>
      </c>
      <c r="Q51" s="462">
        <f t="shared" si="4"/>
        <v>20</v>
      </c>
      <c r="R51" s="462">
        <f t="shared" si="4"/>
        <v>20</v>
      </c>
      <c r="S51" s="462">
        <f t="shared" si="4"/>
        <v>20</v>
      </c>
      <c r="T51" s="462">
        <f t="shared" si="4"/>
        <v>20</v>
      </c>
      <c r="U51" s="462">
        <f t="shared" si="4"/>
        <v>20</v>
      </c>
      <c r="V51" s="462">
        <f t="shared" si="4"/>
        <v>20</v>
      </c>
      <c r="W51" s="462">
        <f t="shared" si="4"/>
        <v>20</v>
      </c>
      <c r="X51" s="462">
        <f t="shared" si="4"/>
        <v>20</v>
      </c>
      <c r="Y51" s="462">
        <f t="shared" si="4"/>
        <v>20</v>
      </c>
      <c r="Z51" s="462">
        <f t="shared" si="4"/>
        <v>20</v>
      </c>
      <c r="AA51" s="462">
        <f t="shared" si="4"/>
        <v>20</v>
      </c>
      <c r="AB51" s="462">
        <f t="shared" si="4"/>
        <v>20</v>
      </c>
      <c r="AC51" s="462">
        <f t="shared" si="4"/>
        <v>20</v>
      </c>
      <c r="AD51" s="462">
        <f t="shared" si="4"/>
        <v>20</v>
      </c>
      <c r="AE51" s="462">
        <f t="shared" si="4"/>
        <v>20</v>
      </c>
    </row>
    <row r="52" spans="2:31" x14ac:dyDescent="0.25">
      <c r="B52" s="4"/>
      <c r="C52" s="4"/>
      <c r="D52" s="23"/>
      <c r="E52" s="23"/>
      <c r="F52" s="23"/>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row>
    <row r="53" spans="2:31" x14ac:dyDescent="0.25">
      <c r="B53" s="20" t="str">
        <f>B47</f>
        <v>Annual MW</v>
      </c>
      <c r="C53" s="23"/>
      <c r="D53" s="23" t="s">
        <v>133</v>
      </c>
      <c r="E53" s="23"/>
      <c r="F53" s="23"/>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row>
    <row r="54" spans="2:31" x14ac:dyDescent="0.25">
      <c r="B54" s="4" t="s">
        <v>121</v>
      </c>
      <c r="C54" s="3" t="s">
        <v>125</v>
      </c>
      <c r="D54" s="23">
        <f>1+D48</f>
        <v>2031</v>
      </c>
      <c r="E54" s="23"/>
      <c r="F54" s="23"/>
      <c r="G54" s="462"/>
      <c r="H54" s="462">
        <f>H96</f>
        <v>1050</v>
      </c>
      <c r="I54" s="462">
        <f t="shared" ref="I54:AE54" si="5">H54</f>
        <v>1050</v>
      </c>
      <c r="J54" s="462">
        <f t="shared" si="5"/>
        <v>1050</v>
      </c>
      <c r="K54" s="462">
        <f t="shared" si="5"/>
        <v>1050</v>
      </c>
      <c r="L54" s="462">
        <f t="shared" si="5"/>
        <v>1050</v>
      </c>
      <c r="M54" s="462">
        <f t="shared" si="5"/>
        <v>1050</v>
      </c>
      <c r="N54" s="462">
        <f t="shared" si="5"/>
        <v>1050</v>
      </c>
      <c r="O54" s="462">
        <f t="shared" si="5"/>
        <v>1050</v>
      </c>
      <c r="P54" s="462">
        <f t="shared" si="5"/>
        <v>1050</v>
      </c>
      <c r="Q54" s="462">
        <f t="shared" si="5"/>
        <v>1050</v>
      </c>
      <c r="R54" s="462">
        <f t="shared" si="5"/>
        <v>1050</v>
      </c>
      <c r="S54" s="462">
        <f t="shared" si="5"/>
        <v>1050</v>
      </c>
      <c r="T54" s="462">
        <f t="shared" si="5"/>
        <v>1050</v>
      </c>
      <c r="U54" s="462">
        <f t="shared" si="5"/>
        <v>1050</v>
      </c>
      <c r="V54" s="462">
        <f t="shared" si="5"/>
        <v>1050</v>
      </c>
      <c r="W54" s="462">
        <f t="shared" si="5"/>
        <v>1050</v>
      </c>
      <c r="X54" s="462">
        <f t="shared" si="5"/>
        <v>1050</v>
      </c>
      <c r="Y54" s="462">
        <f t="shared" si="5"/>
        <v>1050</v>
      </c>
      <c r="Z54" s="462">
        <f t="shared" si="5"/>
        <v>1050</v>
      </c>
      <c r="AA54" s="462">
        <f t="shared" si="5"/>
        <v>1050</v>
      </c>
      <c r="AB54" s="462">
        <f t="shared" si="5"/>
        <v>1050</v>
      </c>
      <c r="AC54" s="462">
        <f t="shared" si="5"/>
        <v>1050</v>
      </c>
      <c r="AD54" s="462">
        <f t="shared" si="5"/>
        <v>1050</v>
      </c>
      <c r="AE54" s="462">
        <f t="shared" si="5"/>
        <v>1050</v>
      </c>
    </row>
    <row r="55" spans="2:31" x14ac:dyDescent="0.25">
      <c r="B55" s="4" t="s">
        <v>120</v>
      </c>
      <c r="C55" s="3" t="s">
        <v>125</v>
      </c>
      <c r="D55" s="23">
        <f>D54</f>
        <v>2031</v>
      </c>
      <c r="E55" s="23"/>
      <c r="F55" s="23"/>
      <c r="G55" s="462"/>
      <c r="H55" s="462">
        <f>H97</f>
        <v>450</v>
      </c>
      <c r="I55" s="462">
        <f t="shared" ref="I55:AE55" si="6">H55</f>
        <v>450</v>
      </c>
      <c r="J55" s="462">
        <f t="shared" si="6"/>
        <v>450</v>
      </c>
      <c r="K55" s="462">
        <f t="shared" si="6"/>
        <v>450</v>
      </c>
      <c r="L55" s="462">
        <f t="shared" si="6"/>
        <v>450</v>
      </c>
      <c r="M55" s="462">
        <f t="shared" si="6"/>
        <v>450</v>
      </c>
      <c r="N55" s="462">
        <f t="shared" si="6"/>
        <v>450</v>
      </c>
      <c r="O55" s="462">
        <f t="shared" si="6"/>
        <v>450</v>
      </c>
      <c r="P55" s="462">
        <f t="shared" si="6"/>
        <v>450</v>
      </c>
      <c r="Q55" s="462">
        <f t="shared" si="6"/>
        <v>450</v>
      </c>
      <c r="R55" s="462">
        <f t="shared" si="6"/>
        <v>450</v>
      </c>
      <c r="S55" s="462">
        <f t="shared" si="6"/>
        <v>450</v>
      </c>
      <c r="T55" s="462">
        <f t="shared" si="6"/>
        <v>450</v>
      </c>
      <c r="U55" s="462">
        <f t="shared" si="6"/>
        <v>450</v>
      </c>
      <c r="V55" s="462">
        <f t="shared" si="6"/>
        <v>450</v>
      </c>
      <c r="W55" s="462">
        <f t="shared" si="6"/>
        <v>450</v>
      </c>
      <c r="X55" s="462">
        <f t="shared" si="6"/>
        <v>450</v>
      </c>
      <c r="Y55" s="462">
        <f t="shared" si="6"/>
        <v>450</v>
      </c>
      <c r="Z55" s="462">
        <f t="shared" si="6"/>
        <v>450</v>
      </c>
      <c r="AA55" s="462">
        <f t="shared" si="6"/>
        <v>450</v>
      </c>
      <c r="AB55" s="462">
        <f t="shared" si="6"/>
        <v>450</v>
      </c>
      <c r="AC55" s="462">
        <f t="shared" si="6"/>
        <v>450</v>
      </c>
      <c r="AD55" s="462">
        <f t="shared" si="6"/>
        <v>450</v>
      </c>
      <c r="AE55" s="462">
        <f t="shared" si="6"/>
        <v>450</v>
      </c>
    </row>
    <row r="56" spans="2:31" x14ac:dyDescent="0.25">
      <c r="B56" s="4" t="s">
        <v>119</v>
      </c>
      <c r="C56" s="4" t="s">
        <v>126</v>
      </c>
      <c r="D56" s="23">
        <f>D55</f>
        <v>2031</v>
      </c>
      <c r="E56" s="23"/>
      <c r="F56" s="23"/>
      <c r="G56" s="462"/>
      <c r="H56" s="462">
        <f>H98</f>
        <v>0</v>
      </c>
      <c r="I56" s="462">
        <f t="shared" ref="I56:AE56" si="7">H56</f>
        <v>0</v>
      </c>
      <c r="J56" s="462">
        <f t="shared" si="7"/>
        <v>0</v>
      </c>
      <c r="K56" s="462">
        <f t="shared" si="7"/>
        <v>0</v>
      </c>
      <c r="L56" s="462">
        <f t="shared" si="7"/>
        <v>0</v>
      </c>
      <c r="M56" s="462">
        <f t="shared" si="7"/>
        <v>0</v>
      </c>
      <c r="N56" s="462">
        <f t="shared" si="7"/>
        <v>0</v>
      </c>
      <c r="O56" s="462">
        <f t="shared" si="7"/>
        <v>0</v>
      </c>
      <c r="P56" s="462">
        <f t="shared" si="7"/>
        <v>0</v>
      </c>
      <c r="Q56" s="462">
        <f t="shared" si="7"/>
        <v>0</v>
      </c>
      <c r="R56" s="462">
        <f t="shared" si="7"/>
        <v>0</v>
      </c>
      <c r="S56" s="462">
        <f t="shared" si="7"/>
        <v>0</v>
      </c>
      <c r="T56" s="462">
        <f t="shared" si="7"/>
        <v>0</v>
      </c>
      <c r="U56" s="462">
        <f t="shared" si="7"/>
        <v>0</v>
      </c>
      <c r="V56" s="462">
        <f t="shared" si="7"/>
        <v>0</v>
      </c>
      <c r="W56" s="462">
        <f t="shared" si="7"/>
        <v>0</v>
      </c>
      <c r="X56" s="462">
        <f t="shared" si="7"/>
        <v>0</v>
      </c>
      <c r="Y56" s="462">
        <f t="shared" si="7"/>
        <v>0</v>
      </c>
      <c r="Z56" s="462">
        <f t="shared" si="7"/>
        <v>0</v>
      </c>
      <c r="AA56" s="462">
        <f t="shared" si="7"/>
        <v>0</v>
      </c>
      <c r="AB56" s="462">
        <f t="shared" si="7"/>
        <v>0</v>
      </c>
      <c r="AC56" s="462">
        <f t="shared" si="7"/>
        <v>0</v>
      </c>
      <c r="AD56" s="462">
        <f t="shared" si="7"/>
        <v>0</v>
      </c>
      <c r="AE56" s="462">
        <f t="shared" si="7"/>
        <v>0</v>
      </c>
    </row>
    <row r="57" spans="2:31" x14ac:dyDescent="0.25">
      <c r="B57" s="4" t="s">
        <v>118</v>
      </c>
      <c r="C57" s="4" t="s">
        <v>126</v>
      </c>
      <c r="D57" s="23">
        <f>D56</f>
        <v>2031</v>
      </c>
      <c r="E57" s="23"/>
      <c r="F57" s="23"/>
      <c r="G57" s="462"/>
      <c r="H57" s="462">
        <f>H99</f>
        <v>0</v>
      </c>
      <c r="I57" s="462">
        <f t="shared" ref="I57:AE57" si="8">H57</f>
        <v>0</v>
      </c>
      <c r="J57" s="462">
        <f t="shared" si="8"/>
        <v>0</v>
      </c>
      <c r="K57" s="462">
        <f t="shared" si="8"/>
        <v>0</v>
      </c>
      <c r="L57" s="462">
        <f t="shared" si="8"/>
        <v>0</v>
      </c>
      <c r="M57" s="462">
        <f t="shared" si="8"/>
        <v>0</v>
      </c>
      <c r="N57" s="462">
        <f t="shared" si="8"/>
        <v>0</v>
      </c>
      <c r="O57" s="462">
        <f t="shared" si="8"/>
        <v>0</v>
      </c>
      <c r="P57" s="462">
        <f t="shared" si="8"/>
        <v>0</v>
      </c>
      <c r="Q57" s="462">
        <f t="shared" si="8"/>
        <v>0</v>
      </c>
      <c r="R57" s="462">
        <f t="shared" si="8"/>
        <v>0</v>
      </c>
      <c r="S57" s="462">
        <f t="shared" si="8"/>
        <v>0</v>
      </c>
      <c r="T57" s="462">
        <f t="shared" si="8"/>
        <v>0</v>
      </c>
      <c r="U57" s="462">
        <f t="shared" si="8"/>
        <v>0</v>
      </c>
      <c r="V57" s="462">
        <f t="shared" si="8"/>
        <v>0</v>
      </c>
      <c r="W57" s="462">
        <f t="shared" si="8"/>
        <v>0</v>
      </c>
      <c r="X57" s="462">
        <f t="shared" si="8"/>
        <v>0</v>
      </c>
      <c r="Y57" s="462">
        <f t="shared" si="8"/>
        <v>0</v>
      </c>
      <c r="Z57" s="462">
        <f t="shared" si="8"/>
        <v>0</v>
      </c>
      <c r="AA57" s="462">
        <f t="shared" si="8"/>
        <v>0</v>
      </c>
      <c r="AB57" s="462">
        <f t="shared" si="8"/>
        <v>0</v>
      </c>
      <c r="AC57" s="462">
        <f t="shared" si="8"/>
        <v>0</v>
      </c>
      <c r="AD57" s="462">
        <f t="shared" si="8"/>
        <v>0</v>
      </c>
      <c r="AE57" s="462">
        <f t="shared" si="8"/>
        <v>0</v>
      </c>
    </row>
    <row r="58" spans="2:31" x14ac:dyDescent="0.25">
      <c r="B58" s="4"/>
      <c r="C58" s="4"/>
      <c r="D58" s="23"/>
      <c r="E58" s="23"/>
      <c r="F58" s="23"/>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row>
    <row r="59" spans="2:31" x14ac:dyDescent="0.25">
      <c r="B59" s="20" t="str">
        <f>B53</f>
        <v>Annual MW</v>
      </c>
      <c r="C59" s="23"/>
      <c r="D59" s="23" t="s">
        <v>133</v>
      </c>
      <c r="E59" s="23"/>
      <c r="F59" s="23"/>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row>
    <row r="60" spans="2:31" x14ac:dyDescent="0.25">
      <c r="B60" s="4" t="s">
        <v>121</v>
      </c>
      <c r="C60" s="3" t="s">
        <v>125</v>
      </c>
      <c r="D60" s="23">
        <f>1+D54</f>
        <v>2032</v>
      </c>
      <c r="E60" s="23"/>
      <c r="F60" s="23"/>
      <c r="G60" s="462"/>
      <c r="H60" s="462"/>
      <c r="I60" s="462">
        <f>I96</f>
        <v>700</v>
      </c>
      <c r="J60" s="462">
        <f t="shared" ref="J60:AE60" si="9">I60</f>
        <v>700</v>
      </c>
      <c r="K60" s="462">
        <f t="shared" si="9"/>
        <v>700</v>
      </c>
      <c r="L60" s="462">
        <f t="shared" si="9"/>
        <v>700</v>
      </c>
      <c r="M60" s="462">
        <f t="shared" si="9"/>
        <v>700</v>
      </c>
      <c r="N60" s="462">
        <f t="shared" si="9"/>
        <v>700</v>
      </c>
      <c r="O60" s="462">
        <f t="shared" si="9"/>
        <v>700</v>
      </c>
      <c r="P60" s="462">
        <f t="shared" si="9"/>
        <v>700</v>
      </c>
      <c r="Q60" s="462">
        <f t="shared" si="9"/>
        <v>700</v>
      </c>
      <c r="R60" s="462">
        <f t="shared" si="9"/>
        <v>700</v>
      </c>
      <c r="S60" s="462">
        <f t="shared" si="9"/>
        <v>700</v>
      </c>
      <c r="T60" s="462">
        <f t="shared" si="9"/>
        <v>700</v>
      </c>
      <c r="U60" s="462">
        <f t="shared" si="9"/>
        <v>700</v>
      </c>
      <c r="V60" s="462">
        <f t="shared" si="9"/>
        <v>700</v>
      </c>
      <c r="W60" s="462">
        <f t="shared" si="9"/>
        <v>700</v>
      </c>
      <c r="X60" s="462">
        <f t="shared" si="9"/>
        <v>700</v>
      </c>
      <c r="Y60" s="462">
        <f t="shared" si="9"/>
        <v>700</v>
      </c>
      <c r="Z60" s="462">
        <f t="shared" si="9"/>
        <v>700</v>
      </c>
      <c r="AA60" s="462">
        <f t="shared" si="9"/>
        <v>700</v>
      </c>
      <c r="AB60" s="462">
        <f t="shared" si="9"/>
        <v>700</v>
      </c>
      <c r="AC60" s="462">
        <f t="shared" si="9"/>
        <v>700</v>
      </c>
      <c r="AD60" s="462">
        <f t="shared" si="9"/>
        <v>700</v>
      </c>
      <c r="AE60" s="462">
        <f t="shared" si="9"/>
        <v>700</v>
      </c>
    </row>
    <row r="61" spans="2:31" x14ac:dyDescent="0.25">
      <c r="B61" s="4" t="s">
        <v>120</v>
      </c>
      <c r="C61" s="3" t="s">
        <v>125</v>
      </c>
      <c r="D61" s="23">
        <f>D60</f>
        <v>2032</v>
      </c>
      <c r="E61" s="23"/>
      <c r="F61" s="23"/>
      <c r="G61" s="462"/>
      <c r="H61" s="462"/>
      <c r="I61" s="462">
        <f>I97</f>
        <v>300</v>
      </c>
      <c r="J61" s="462">
        <f t="shared" ref="J61:AE61" si="10">I61</f>
        <v>300</v>
      </c>
      <c r="K61" s="462">
        <f t="shared" si="10"/>
        <v>300</v>
      </c>
      <c r="L61" s="462">
        <f t="shared" si="10"/>
        <v>300</v>
      </c>
      <c r="M61" s="462">
        <f t="shared" si="10"/>
        <v>300</v>
      </c>
      <c r="N61" s="462">
        <f t="shared" si="10"/>
        <v>300</v>
      </c>
      <c r="O61" s="462">
        <f t="shared" si="10"/>
        <v>300</v>
      </c>
      <c r="P61" s="462">
        <f t="shared" si="10"/>
        <v>300</v>
      </c>
      <c r="Q61" s="462">
        <f t="shared" si="10"/>
        <v>300</v>
      </c>
      <c r="R61" s="462">
        <f t="shared" si="10"/>
        <v>300</v>
      </c>
      <c r="S61" s="462">
        <f t="shared" si="10"/>
        <v>300</v>
      </c>
      <c r="T61" s="462">
        <f t="shared" si="10"/>
        <v>300</v>
      </c>
      <c r="U61" s="462">
        <f t="shared" si="10"/>
        <v>300</v>
      </c>
      <c r="V61" s="462">
        <f t="shared" si="10"/>
        <v>300</v>
      </c>
      <c r="W61" s="462">
        <f t="shared" si="10"/>
        <v>300</v>
      </c>
      <c r="X61" s="462">
        <f t="shared" si="10"/>
        <v>300</v>
      </c>
      <c r="Y61" s="462">
        <f t="shared" si="10"/>
        <v>300</v>
      </c>
      <c r="Z61" s="462">
        <f t="shared" si="10"/>
        <v>300</v>
      </c>
      <c r="AA61" s="462">
        <f t="shared" si="10"/>
        <v>300</v>
      </c>
      <c r="AB61" s="462">
        <f t="shared" si="10"/>
        <v>300</v>
      </c>
      <c r="AC61" s="462">
        <f t="shared" si="10"/>
        <v>300</v>
      </c>
      <c r="AD61" s="462">
        <f t="shared" si="10"/>
        <v>300</v>
      </c>
      <c r="AE61" s="462">
        <f t="shared" si="10"/>
        <v>300</v>
      </c>
    </row>
    <row r="62" spans="2:31" x14ac:dyDescent="0.25">
      <c r="B62" s="4" t="s">
        <v>119</v>
      </c>
      <c r="C62" s="4" t="s">
        <v>126</v>
      </c>
      <c r="D62" s="23">
        <f>D61</f>
        <v>2032</v>
      </c>
      <c r="E62" s="23"/>
      <c r="F62" s="23"/>
      <c r="G62" s="462"/>
      <c r="H62" s="462"/>
      <c r="I62" s="462">
        <f>I98</f>
        <v>0</v>
      </c>
      <c r="J62" s="462">
        <f t="shared" ref="J62:AE62" si="11">I62</f>
        <v>0</v>
      </c>
      <c r="K62" s="462">
        <f t="shared" si="11"/>
        <v>0</v>
      </c>
      <c r="L62" s="462">
        <f t="shared" si="11"/>
        <v>0</v>
      </c>
      <c r="M62" s="462">
        <f t="shared" si="11"/>
        <v>0</v>
      </c>
      <c r="N62" s="462">
        <f t="shared" si="11"/>
        <v>0</v>
      </c>
      <c r="O62" s="462">
        <f t="shared" si="11"/>
        <v>0</v>
      </c>
      <c r="P62" s="462">
        <f t="shared" si="11"/>
        <v>0</v>
      </c>
      <c r="Q62" s="462">
        <f t="shared" si="11"/>
        <v>0</v>
      </c>
      <c r="R62" s="462">
        <f t="shared" si="11"/>
        <v>0</v>
      </c>
      <c r="S62" s="462">
        <f t="shared" si="11"/>
        <v>0</v>
      </c>
      <c r="T62" s="462">
        <f t="shared" si="11"/>
        <v>0</v>
      </c>
      <c r="U62" s="462">
        <f t="shared" si="11"/>
        <v>0</v>
      </c>
      <c r="V62" s="462">
        <f t="shared" si="11"/>
        <v>0</v>
      </c>
      <c r="W62" s="462">
        <f t="shared" si="11"/>
        <v>0</v>
      </c>
      <c r="X62" s="462">
        <f t="shared" si="11"/>
        <v>0</v>
      </c>
      <c r="Y62" s="462">
        <f t="shared" si="11"/>
        <v>0</v>
      </c>
      <c r="Z62" s="462">
        <f t="shared" si="11"/>
        <v>0</v>
      </c>
      <c r="AA62" s="462">
        <f t="shared" si="11"/>
        <v>0</v>
      </c>
      <c r="AB62" s="462">
        <f t="shared" si="11"/>
        <v>0</v>
      </c>
      <c r="AC62" s="462">
        <f t="shared" si="11"/>
        <v>0</v>
      </c>
      <c r="AD62" s="462">
        <f t="shared" si="11"/>
        <v>0</v>
      </c>
      <c r="AE62" s="462">
        <f t="shared" si="11"/>
        <v>0</v>
      </c>
    </row>
    <row r="63" spans="2:31" x14ac:dyDescent="0.25">
      <c r="B63" s="4" t="s">
        <v>118</v>
      </c>
      <c r="C63" s="4" t="s">
        <v>126</v>
      </c>
      <c r="D63" s="23">
        <f>D62</f>
        <v>2032</v>
      </c>
      <c r="E63" s="23"/>
      <c r="F63" s="23"/>
      <c r="G63" s="462"/>
      <c r="H63" s="462"/>
      <c r="I63" s="462">
        <f>I99</f>
        <v>0</v>
      </c>
      <c r="J63" s="462">
        <f t="shared" ref="J63:AE63" si="12">I63</f>
        <v>0</v>
      </c>
      <c r="K63" s="462">
        <f t="shared" si="12"/>
        <v>0</v>
      </c>
      <c r="L63" s="462">
        <f t="shared" si="12"/>
        <v>0</v>
      </c>
      <c r="M63" s="462">
        <f t="shared" si="12"/>
        <v>0</v>
      </c>
      <c r="N63" s="462">
        <f t="shared" si="12"/>
        <v>0</v>
      </c>
      <c r="O63" s="462">
        <f t="shared" si="12"/>
        <v>0</v>
      </c>
      <c r="P63" s="462">
        <f t="shared" si="12"/>
        <v>0</v>
      </c>
      <c r="Q63" s="462">
        <f t="shared" si="12"/>
        <v>0</v>
      </c>
      <c r="R63" s="462">
        <f t="shared" si="12"/>
        <v>0</v>
      </c>
      <c r="S63" s="462">
        <f t="shared" si="12"/>
        <v>0</v>
      </c>
      <c r="T63" s="462">
        <f t="shared" si="12"/>
        <v>0</v>
      </c>
      <c r="U63" s="462">
        <f t="shared" si="12"/>
        <v>0</v>
      </c>
      <c r="V63" s="462">
        <f t="shared" si="12"/>
        <v>0</v>
      </c>
      <c r="W63" s="462">
        <f t="shared" si="12"/>
        <v>0</v>
      </c>
      <c r="X63" s="462">
        <f t="shared" si="12"/>
        <v>0</v>
      </c>
      <c r="Y63" s="462">
        <f t="shared" si="12"/>
        <v>0</v>
      </c>
      <c r="Z63" s="462">
        <f t="shared" si="12"/>
        <v>0</v>
      </c>
      <c r="AA63" s="462">
        <f t="shared" si="12"/>
        <v>0</v>
      </c>
      <c r="AB63" s="462">
        <f t="shared" si="12"/>
        <v>0</v>
      </c>
      <c r="AC63" s="462">
        <f t="shared" si="12"/>
        <v>0</v>
      </c>
      <c r="AD63" s="462">
        <f t="shared" si="12"/>
        <v>0</v>
      </c>
      <c r="AE63" s="462">
        <f t="shared" si="12"/>
        <v>0</v>
      </c>
    </row>
    <row r="64" spans="2:31" x14ac:dyDescent="0.25">
      <c r="B64" s="4"/>
      <c r="C64" s="4"/>
      <c r="D64" s="23"/>
      <c r="E64" s="23"/>
      <c r="F64" s="23"/>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row>
    <row r="65" spans="2:31" x14ac:dyDescent="0.25">
      <c r="B65" s="20" t="str">
        <f>B59</f>
        <v>Annual MW</v>
      </c>
      <c r="C65" s="23"/>
      <c r="D65" s="23" t="s">
        <v>133</v>
      </c>
      <c r="E65" s="23"/>
      <c r="F65" s="23"/>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row>
    <row r="66" spans="2:31" x14ac:dyDescent="0.25">
      <c r="B66" s="4" t="s">
        <v>121</v>
      </c>
      <c r="C66" s="3" t="s">
        <v>125</v>
      </c>
      <c r="D66" s="23">
        <f>1+D60</f>
        <v>2033</v>
      </c>
      <c r="E66" s="23"/>
      <c r="F66" s="23"/>
      <c r="G66" s="462"/>
      <c r="H66" s="462"/>
      <c r="I66" s="462"/>
      <c r="J66" s="462">
        <f>J96</f>
        <v>700</v>
      </c>
      <c r="K66" s="462">
        <f t="shared" ref="K66:AE66" si="13">J66</f>
        <v>700</v>
      </c>
      <c r="L66" s="462">
        <f t="shared" si="13"/>
        <v>700</v>
      </c>
      <c r="M66" s="462">
        <f t="shared" si="13"/>
        <v>700</v>
      </c>
      <c r="N66" s="462">
        <f t="shared" si="13"/>
        <v>700</v>
      </c>
      <c r="O66" s="462">
        <f t="shared" si="13"/>
        <v>700</v>
      </c>
      <c r="P66" s="462">
        <f t="shared" si="13"/>
        <v>700</v>
      </c>
      <c r="Q66" s="462">
        <f t="shared" si="13"/>
        <v>700</v>
      </c>
      <c r="R66" s="462">
        <f t="shared" si="13"/>
        <v>700</v>
      </c>
      <c r="S66" s="462">
        <f t="shared" si="13"/>
        <v>700</v>
      </c>
      <c r="T66" s="462">
        <f t="shared" si="13"/>
        <v>700</v>
      </c>
      <c r="U66" s="462">
        <f t="shared" si="13"/>
        <v>700</v>
      </c>
      <c r="V66" s="462">
        <f t="shared" si="13"/>
        <v>700</v>
      </c>
      <c r="W66" s="462">
        <f t="shared" si="13"/>
        <v>700</v>
      </c>
      <c r="X66" s="462">
        <f t="shared" si="13"/>
        <v>700</v>
      </c>
      <c r="Y66" s="462">
        <f t="shared" si="13"/>
        <v>700</v>
      </c>
      <c r="Z66" s="462">
        <f t="shared" si="13"/>
        <v>700</v>
      </c>
      <c r="AA66" s="462">
        <f t="shared" si="13"/>
        <v>700</v>
      </c>
      <c r="AB66" s="462">
        <f t="shared" si="13"/>
        <v>700</v>
      </c>
      <c r="AC66" s="462">
        <f t="shared" si="13"/>
        <v>700</v>
      </c>
      <c r="AD66" s="462">
        <f t="shared" si="13"/>
        <v>700</v>
      </c>
      <c r="AE66" s="462">
        <f t="shared" si="13"/>
        <v>700</v>
      </c>
    </row>
    <row r="67" spans="2:31" x14ac:dyDescent="0.25">
      <c r="B67" s="4" t="s">
        <v>120</v>
      </c>
      <c r="C67" s="3" t="s">
        <v>125</v>
      </c>
      <c r="D67" s="23">
        <f>D66</f>
        <v>2033</v>
      </c>
      <c r="E67" s="23"/>
      <c r="F67" s="23"/>
      <c r="G67" s="462"/>
      <c r="H67" s="462"/>
      <c r="I67" s="462"/>
      <c r="J67" s="462">
        <f>J97</f>
        <v>300</v>
      </c>
      <c r="K67" s="462">
        <f t="shared" ref="K67:AE67" si="14">J67</f>
        <v>300</v>
      </c>
      <c r="L67" s="462">
        <f t="shared" si="14"/>
        <v>300</v>
      </c>
      <c r="M67" s="462">
        <f t="shared" si="14"/>
        <v>300</v>
      </c>
      <c r="N67" s="462">
        <f t="shared" si="14"/>
        <v>300</v>
      </c>
      <c r="O67" s="462">
        <f t="shared" si="14"/>
        <v>300</v>
      </c>
      <c r="P67" s="462">
        <f t="shared" si="14"/>
        <v>300</v>
      </c>
      <c r="Q67" s="462">
        <f t="shared" si="14"/>
        <v>300</v>
      </c>
      <c r="R67" s="462">
        <f t="shared" si="14"/>
        <v>300</v>
      </c>
      <c r="S67" s="462">
        <f t="shared" si="14"/>
        <v>300</v>
      </c>
      <c r="T67" s="462">
        <f t="shared" si="14"/>
        <v>300</v>
      </c>
      <c r="U67" s="462">
        <f t="shared" si="14"/>
        <v>300</v>
      </c>
      <c r="V67" s="462">
        <f t="shared" si="14"/>
        <v>300</v>
      </c>
      <c r="W67" s="462">
        <f t="shared" si="14"/>
        <v>300</v>
      </c>
      <c r="X67" s="462">
        <f t="shared" si="14"/>
        <v>300</v>
      </c>
      <c r="Y67" s="462">
        <f t="shared" si="14"/>
        <v>300</v>
      </c>
      <c r="Z67" s="462">
        <f t="shared" si="14"/>
        <v>300</v>
      </c>
      <c r="AA67" s="462">
        <f t="shared" si="14"/>
        <v>300</v>
      </c>
      <c r="AB67" s="462">
        <f t="shared" si="14"/>
        <v>300</v>
      </c>
      <c r="AC67" s="462">
        <f t="shared" si="14"/>
        <v>300</v>
      </c>
      <c r="AD67" s="462">
        <f t="shared" si="14"/>
        <v>300</v>
      </c>
      <c r="AE67" s="462">
        <f t="shared" si="14"/>
        <v>300</v>
      </c>
    </row>
    <row r="68" spans="2:31" x14ac:dyDescent="0.25">
      <c r="B68" s="4" t="s">
        <v>119</v>
      </c>
      <c r="C68" s="4" t="s">
        <v>126</v>
      </c>
      <c r="D68" s="23">
        <f>D67</f>
        <v>2033</v>
      </c>
      <c r="E68" s="23"/>
      <c r="F68" s="23"/>
      <c r="G68" s="462"/>
      <c r="H68" s="462"/>
      <c r="I68" s="462"/>
      <c r="J68" s="462">
        <f>J98</f>
        <v>0</v>
      </c>
      <c r="K68" s="462">
        <f t="shared" ref="K68:AE68" si="15">J68</f>
        <v>0</v>
      </c>
      <c r="L68" s="462">
        <f t="shared" si="15"/>
        <v>0</v>
      </c>
      <c r="M68" s="462">
        <f t="shared" si="15"/>
        <v>0</v>
      </c>
      <c r="N68" s="462">
        <f t="shared" si="15"/>
        <v>0</v>
      </c>
      <c r="O68" s="462">
        <f t="shared" si="15"/>
        <v>0</v>
      </c>
      <c r="P68" s="462">
        <f t="shared" si="15"/>
        <v>0</v>
      </c>
      <c r="Q68" s="462">
        <f t="shared" si="15"/>
        <v>0</v>
      </c>
      <c r="R68" s="462">
        <f t="shared" si="15"/>
        <v>0</v>
      </c>
      <c r="S68" s="462">
        <f t="shared" si="15"/>
        <v>0</v>
      </c>
      <c r="T68" s="462">
        <f t="shared" si="15"/>
        <v>0</v>
      </c>
      <c r="U68" s="462">
        <f t="shared" si="15"/>
        <v>0</v>
      </c>
      <c r="V68" s="462">
        <f t="shared" si="15"/>
        <v>0</v>
      </c>
      <c r="W68" s="462">
        <f t="shared" si="15"/>
        <v>0</v>
      </c>
      <c r="X68" s="462">
        <f t="shared" si="15"/>
        <v>0</v>
      </c>
      <c r="Y68" s="462">
        <f t="shared" si="15"/>
        <v>0</v>
      </c>
      <c r="Z68" s="462">
        <f t="shared" si="15"/>
        <v>0</v>
      </c>
      <c r="AA68" s="462">
        <f t="shared" si="15"/>
        <v>0</v>
      </c>
      <c r="AB68" s="462">
        <f t="shared" si="15"/>
        <v>0</v>
      </c>
      <c r="AC68" s="462">
        <f t="shared" si="15"/>
        <v>0</v>
      </c>
      <c r="AD68" s="462">
        <f t="shared" si="15"/>
        <v>0</v>
      </c>
      <c r="AE68" s="462">
        <f t="shared" si="15"/>
        <v>0</v>
      </c>
    </row>
    <row r="69" spans="2:31" x14ac:dyDescent="0.25">
      <c r="B69" s="4" t="s">
        <v>118</v>
      </c>
      <c r="C69" s="4" t="s">
        <v>126</v>
      </c>
      <c r="D69" s="23">
        <f>D68</f>
        <v>2033</v>
      </c>
      <c r="E69" s="23"/>
      <c r="F69" s="23"/>
      <c r="G69" s="462"/>
      <c r="H69" s="462"/>
      <c r="I69" s="462"/>
      <c r="J69" s="462">
        <f>J99</f>
        <v>0</v>
      </c>
      <c r="K69" s="462">
        <f t="shared" ref="K69:AE69" si="16">J69</f>
        <v>0</v>
      </c>
      <c r="L69" s="462">
        <f t="shared" si="16"/>
        <v>0</v>
      </c>
      <c r="M69" s="462">
        <f t="shared" si="16"/>
        <v>0</v>
      </c>
      <c r="N69" s="462">
        <f t="shared" si="16"/>
        <v>0</v>
      </c>
      <c r="O69" s="462">
        <f t="shared" si="16"/>
        <v>0</v>
      </c>
      <c r="P69" s="462">
        <f t="shared" si="16"/>
        <v>0</v>
      </c>
      <c r="Q69" s="462">
        <f t="shared" si="16"/>
        <v>0</v>
      </c>
      <c r="R69" s="462">
        <f t="shared" si="16"/>
        <v>0</v>
      </c>
      <c r="S69" s="462">
        <f t="shared" si="16"/>
        <v>0</v>
      </c>
      <c r="T69" s="462">
        <f t="shared" si="16"/>
        <v>0</v>
      </c>
      <c r="U69" s="462">
        <f t="shared" si="16"/>
        <v>0</v>
      </c>
      <c r="V69" s="462">
        <f t="shared" si="16"/>
        <v>0</v>
      </c>
      <c r="W69" s="462">
        <f t="shared" si="16"/>
        <v>0</v>
      </c>
      <c r="X69" s="462">
        <f t="shared" si="16"/>
        <v>0</v>
      </c>
      <c r="Y69" s="462">
        <f t="shared" si="16"/>
        <v>0</v>
      </c>
      <c r="Z69" s="462">
        <f t="shared" si="16"/>
        <v>0</v>
      </c>
      <c r="AA69" s="462">
        <f t="shared" si="16"/>
        <v>0</v>
      </c>
      <c r="AB69" s="462">
        <f t="shared" si="16"/>
        <v>0</v>
      </c>
      <c r="AC69" s="462">
        <f t="shared" si="16"/>
        <v>0</v>
      </c>
      <c r="AD69" s="462">
        <f t="shared" si="16"/>
        <v>0</v>
      </c>
      <c r="AE69" s="462">
        <f t="shared" si="16"/>
        <v>0</v>
      </c>
    </row>
    <row r="70" spans="2:31" x14ac:dyDescent="0.25">
      <c r="B70" s="4"/>
      <c r="C70" s="4"/>
      <c r="D70" s="23"/>
      <c r="E70" s="23"/>
      <c r="F70" s="23"/>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row>
    <row r="71" spans="2:31" x14ac:dyDescent="0.25">
      <c r="B71" s="20" t="str">
        <f>B65</f>
        <v>Annual MW</v>
      </c>
      <c r="C71" s="23"/>
      <c r="D71" s="23" t="s">
        <v>133</v>
      </c>
      <c r="E71" s="23"/>
      <c r="F71" s="23"/>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row>
    <row r="72" spans="2:31" x14ac:dyDescent="0.25">
      <c r="B72" s="4" t="s">
        <v>121</v>
      </c>
      <c r="C72" s="3" t="s">
        <v>125</v>
      </c>
      <c r="D72" s="23">
        <f>1+D66</f>
        <v>2034</v>
      </c>
      <c r="E72" s="23"/>
      <c r="F72" s="23"/>
      <c r="G72" s="462"/>
      <c r="H72" s="462"/>
      <c r="I72" s="462"/>
      <c r="J72" s="462"/>
      <c r="K72" s="462">
        <f>K96</f>
        <v>875</v>
      </c>
      <c r="L72" s="462">
        <f t="shared" ref="L72:AE72" si="17">K72</f>
        <v>875</v>
      </c>
      <c r="M72" s="462">
        <f t="shared" si="17"/>
        <v>875</v>
      </c>
      <c r="N72" s="462">
        <f t="shared" si="17"/>
        <v>875</v>
      </c>
      <c r="O72" s="462">
        <f t="shared" si="17"/>
        <v>875</v>
      </c>
      <c r="P72" s="462">
        <f t="shared" si="17"/>
        <v>875</v>
      </c>
      <c r="Q72" s="462">
        <f t="shared" si="17"/>
        <v>875</v>
      </c>
      <c r="R72" s="462">
        <f t="shared" si="17"/>
        <v>875</v>
      </c>
      <c r="S72" s="462">
        <f t="shared" si="17"/>
        <v>875</v>
      </c>
      <c r="T72" s="462">
        <f t="shared" si="17"/>
        <v>875</v>
      </c>
      <c r="U72" s="462">
        <f t="shared" si="17"/>
        <v>875</v>
      </c>
      <c r="V72" s="462">
        <f t="shared" si="17"/>
        <v>875</v>
      </c>
      <c r="W72" s="462">
        <f t="shared" si="17"/>
        <v>875</v>
      </c>
      <c r="X72" s="462">
        <f t="shared" si="17"/>
        <v>875</v>
      </c>
      <c r="Y72" s="462">
        <f t="shared" si="17"/>
        <v>875</v>
      </c>
      <c r="Z72" s="462">
        <f t="shared" si="17"/>
        <v>875</v>
      </c>
      <c r="AA72" s="462">
        <f t="shared" si="17"/>
        <v>875</v>
      </c>
      <c r="AB72" s="462">
        <f t="shared" si="17"/>
        <v>875</v>
      </c>
      <c r="AC72" s="462">
        <f t="shared" si="17"/>
        <v>875</v>
      </c>
      <c r="AD72" s="462">
        <f t="shared" si="17"/>
        <v>875</v>
      </c>
      <c r="AE72" s="462">
        <f t="shared" si="17"/>
        <v>875</v>
      </c>
    </row>
    <row r="73" spans="2:31" x14ac:dyDescent="0.25">
      <c r="B73" s="4" t="s">
        <v>120</v>
      </c>
      <c r="C73" s="3" t="s">
        <v>125</v>
      </c>
      <c r="D73" s="23">
        <f>D72</f>
        <v>2034</v>
      </c>
      <c r="E73" s="23"/>
      <c r="F73" s="23"/>
      <c r="G73" s="462"/>
      <c r="H73" s="462"/>
      <c r="I73" s="462"/>
      <c r="J73" s="462"/>
      <c r="K73" s="462">
        <f>K97</f>
        <v>375</v>
      </c>
      <c r="L73" s="462">
        <f t="shared" ref="L73:AE73" si="18">K73</f>
        <v>375</v>
      </c>
      <c r="M73" s="462">
        <f t="shared" si="18"/>
        <v>375</v>
      </c>
      <c r="N73" s="462">
        <f t="shared" si="18"/>
        <v>375</v>
      </c>
      <c r="O73" s="462">
        <f t="shared" si="18"/>
        <v>375</v>
      </c>
      <c r="P73" s="462">
        <f t="shared" si="18"/>
        <v>375</v>
      </c>
      <c r="Q73" s="462">
        <f t="shared" si="18"/>
        <v>375</v>
      </c>
      <c r="R73" s="462">
        <f t="shared" si="18"/>
        <v>375</v>
      </c>
      <c r="S73" s="462">
        <f t="shared" si="18"/>
        <v>375</v>
      </c>
      <c r="T73" s="462">
        <f t="shared" si="18"/>
        <v>375</v>
      </c>
      <c r="U73" s="462">
        <f t="shared" si="18"/>
        <v>375</v>
      </c>
      <c r="V73" s="462">
        <f t="shared" si="18"/>
        <v>375</v>
      </c>
      <c r="W73" s="462">
        <f t="shared" si="18"/>
        <v>375</v>
      </c>
      <c r="X73" s="462">
        <f t="shared" si="18"/>
        <v>375</v>
      </c>
      <c r="Y73" s="462">
        <f t="shared" si="18"/>
        <v>375</v>
      </c>
      <c r="Z73" s="462">
        <f t="shared" si="18"/>
        <v>375</v>
      </c>
      <c r="AA73" s="462">
        <f t="shared" si="18"/>
        <v>375</v>
      </c>
      <c r="AB73" s="462">
        <f t="shared" si="18"/>
        <v>375</v>
      </c>
      <c r="AC73" s="462">
        <f t="shared" si="18"/>
        <v>375</v>
      </c>
      <c r="AD73" s="462">
        <f t="shared" si="18"/>
        <v>375</v>
      </c>
      <c r="AE73" s="462">
        <f t="shared" si="18"/>
        <v>375</v>
      </c>
    </row>
    <row r="74" spans="2:31" x14ac:dyDescent="0.25">
      <c r="B74" s="4" t="s">
        <v>119</v>
      </c>
      <c r="C74" s="4" t="s">
        <v>126</v>
      </c>
      <c r="D74" s="23">
        <f>D73</f>
        <v>2034</v>
      </c>
      <c r="E74" s="23"/>
      <c r="F74" s="23"/>
      <c r="G74" s="462"/>
      <c r="H74" s="462"/>
      <c r="I74" s="462"/>
      <c r="J74" s="462"/>
      <c r="K74" s="462">
        <f>K98</f>
        <v>0</v>
      </c>
      <c r="L74" s="462">
        <f t="shared" ref="L74:AE74" si="19">K74</f>
        <v>0</v>
      </c>
      <c r="M74" s="462">
        <f t="shared" si="19"/>
        <v>0</v>
      </c>
      <c r="N74" s="462">
        <f t="shared" si="19"/>
        <v>0</v>
      </c>
      <c r="O74" s="462">
        <f t="shared" si="19"/>
        <v>0</v>
      </c>
      <c r="P74" s="462">
        <f t="shared" si="19"/>
        <v>0</v>
      </c>
      <c r="Q74" s="462">
        <f t="shared" si="19"/>
        <v>0</v>
      </c>
      <c r="R74" s="462">
        <f t="shared" si="19"/>
        <v>0</v>
      </c>
      <c r="S74" s="462">
        <f t="shared" si="19"/>
        <v>0</v>
      </c>
      <c r="T74" s="462">
        <f t="shared" si="19"/>
        <v>0</v>
      </c>
      <c r="U74" s="462">
        <f t="shared" si="19"/>
        <v>0</v>
      </c>
      <c r="V74" s="462">
        <f t="shared" si="19"/>
        <v>0</v>
      </c>
      <c r="W74" s="462">
        <f t="shared" si="19"/>
        <v>0</v>
      </c>
      <c r="X74" s="462">
        <f t="shared" si="19"/>
        <v>0</v>
      </c>
      <c r="Y74" s="462">
        <f t="shared" si="19"/>
        <v>0</v>
      </c>
      <c r="Z74" s="462">
        <f t="shared" si="19"/>
        <v>0</v>
      </c>
      <c r="AA74" s="462">
        <f t="shared" si="19"/>
        <v>0</v>
      </c>
      <c r="AB74" s="462">
        <f t="shared" si="19"/>
        <v>0</v>
      </c>
      <c r="AC74" s="462">
        <f t="shared" si="19"/>
        <v>0</v>
      </c>
      <c r="AD74" s="462">
        <f t="shared" si="19"/>
        <v>0</v>
      </c>
      <c r="AE74" s="462">
        <f t="shared" si="19"/>
        <v>0</v>
      </c>
    </row>
    <row r="75" spans="2:31" x14ac:dyDescent="0.25">
      <c r="B75" s="4" t="s">
        <v>118</v>
      </c>
      <c r="C75" s="4" t="s">
        <v>126</v>
      </c>
      <c r="D75" s="23">
        <f>D74</f>
        <v>2034</v>
      </c>
      <c r="E75" s="23"/>
      <c r="F75" s="23"/>
      <c r="G75" s="462"/>
      <c r="H75" s="462"/>
      <c r="I75" s="462"/>
      <c r="J75" s="462"/>
      <c r="K75" s="462">
        <f>K99</f>
        <v>0</v>
      </c>
      <c r="L75" s="462">
        <f t="shared" ref="L75:AE75" si="20">K75</f>
        <v>0</v>
      </c>
      <c r="M75" s="462">
        <f t="shared" si="20"/>
        <v>0</v>
      </c>
      <c r="N75" s="462">
        <f t="shared" si="20"/>
        <v>0</v>
      </c>
      <c r="O75" s="462">
        <f t="shared" si="20"/>
        <v>0</v>
      </c>
      <c r="P75" s="462">
        <f t="shared" si="20"/>
        <v>0</v>
      </c>
      <c r="Q75" s="462">
        <f t="shared" si="20"/>
        <v>0</v>
      </c>
      <c r="R75" s="462">
        <f t="shared" si="20"/>
        <v>0</v>
      </c>
      <c r="S75" s="462">
        <f t="shared" si="20"/>
        <v>0</v>
      </c>
      <c r="T75" s="462">
        <f t="shared" si="20"/>
        <v>0</v>
      </c>
      <c r="U75" s="462">
        <f t="shared" si="20"/>
        <v>0</v>
      </c>
      <c r="V75" s="462">
        <f t="shared" si="20"/>
        <v>0</v>
      </c>
      <c r="W75" s="462">
        <f t="shared" si="20"/>
        <v>0</v>
      </c>
      <c r="X75" s="462">
        <f t="shared" si="20"/>
        <v>0</v>
      </c>
      <c r="Y75" s="462">
        <f t="shared" si="20"/>
        <v>0</v>
      </c>
      <c r="Z75" s="462">
        <f t="shared" si="20"/>
        <v>0</v>
      </c>
      <c r="AA75" s="462">
        <f t="shared" si="20"/>
        <v>0</v>
      </c>
      <c r="AB75" s="462">
        <f t="shared" si="20"/>
        <v>0</v>
      </c>
      <c r="AC75" s="462">
        <f t="shared" si="20"/>
        <v>0</v>
      </c>
      <c r="AD75" s="462">
        <f t="shared" si="20"/>
        <v>0</v>
      </c>
      <c r="AE75" s="462">
        <f t="shared" si="20"/>
        <v>0</v>
      </c>
    </row>
    <row r="76" spans="2:31" x14ac:dyDescent="0.25">
      <c r="B76" s="4"/>
      <c r="C76" s="4"/>
      <c r="D76" s="23"/>
      <c r="E76" s="23"/>
      <c r="F76" s="23"/>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row>
    <row r="77" spans="2:31" x14ac:dyDescent="0.25">
      <c r="B77" s="20" t="str">
        <f>B71</f>
        <v>Annual MW</v>
      </c>
      <c r="C77" s="23"/>
      <c r="D77" s="23" t="s">
        <v>133</v>
      </c>
      <c r="E77" s="23"/>
      <c r="F77" s="23"/>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row>
    <row r="78" spans="2:31" x14ac:dyDescent="0.25">
      <c r="B78" s="4" t="s">
        <v>121</v>
      </c>
      <c r="C78" s="3" t="s">
        <v>125</v>
      </c>
      <c r="D78" s="23">
        <f>1+D72</f>
        <v>2035</v>
      </c>
      <c r="E78" s="23"/>
      <c r="F78" s="23"/>
      <c r="G78" s="462"/>
      <c r="H78" s="462"/>
      <c r="I78" s="462"/>
      <c r="J78" s="462"/>
      <c r="K78" s="462"/>
      <c r="L78" s="462">
        <f>L96</f>
        <v>875</v>
      </c>
      <c r="M78" s="462">
        <f t="shared" ref="M78:AE78" si="21">L78</f>
        <v>875</v>
      </c>
      <c r="N78" s="462">
        <f t="shared" si="21"/>
        <v>875</v>
      </c>
      <c r="O78" s="462">
        <f t="shared" si="21"/>
        <v>875</v>
      </c>
      <c r="P78" s="462">
        <f t="shared" si="21"/>
        <v>875</v>
      </c>
      <c r="Q78" s="462">
        <f t="shared" si="21"/>
        <v>875</v>
      </c>
      <c r="R78" s="462">
        <f t="shared" si="21"/>
        <v>875</v>
      </c>
      <c r="S78" s="462">
        <f t="shared" si="21"/>
        <v>875</v>
      </c>
      <c r="T78" s="462">
        <f t="shared" si="21"/>
        <v>875</v>
      </c>
      <c r="U78" s="462">
        <f t="shared" si="21"/>
        <v>875</v>
      </c>
      <c r="V78" s="462">
        <f t="shared" si="21"/>
        <v>875</v>
      </c>
      <c r="W78" s="462">
        <f t="shared" si="21"/>
        <v>875</v>
      </c>
      <c r="X78" s="462">
        <f t="shared" si="21"/>
        <v>875</v>
      </c>
      <c r="Y78" s="462">
        <f t="shared" si="21"/>
        <v>875</v>
      </c>
      <c r="Z78" s="462">
        <f t="shared" si="21"/>
        <v>875</v>
      </c>
      <c r="AA78" s="462">
        <f t="shared" si="21"/>
        <v>875</v>
      </c>
      <c r="AB78" s="462">
        <f t="shared" si="21"/>
        <v>875</v>
      </c>
      <c r="AC78" s="462">
        <f t="shared" si="21"/>
        <v>875</v>
      </c>
      <c r="AD78" s="462">
        <f t="shared" si="21"/>
        <v>875</v>
      </c>
      <c r="AE78" s="462">
        <f t="shared" si="21"/>
        <v>875</v>
      </c>
    </row>
    <row r="79" spans="2:31" x14ac:dyDescent="0.25">
      <c r="B79" s="4" t="s">
        <v>120</v>
      </c>
      <c r="C79" s="3" t="s">
        <v>125</v>
      </c>
      <c r="D79" s="23">
        <f>D78</f>
        <v>2035</v>
      </c>
      <c r="E79" s="23"/>
      <c r="F79" s="23"/>
      <c r="G79" s="462"/>
      <c r="H79" s="462"/>
      <c r="I79" s="462"/>
      <c r="J79" s="462"/>
      <c r="K79" s="462"/>
      <c r="L79" s="462">
        <f>L97</f>
        <v>375</v>
      </c>
      <c r="M79" s="462">
        <f t="shared" ref="M79:AE79" si="22">L79</f>
        <v>375</v>
      </c>
      <c r="N79" s="462">
        <f t="shared" si="22"/>
        <v>375</v>
      </c>
      <c r="O79" s="462">
        <f t="shared" si="22"/>
        <v>375</v>
      </c>
      <c r="P79" s="462">
        <f t="shared" si="22"/>
        <v>375</v>
      </c>
      <c r="Q79" s="462">
        <f t="shared" si="22"/>
        <v>375</v>
      </c>
      <c r="R79" s="462">
        <f t="shared" si="22"/>
        <v>375</v>
      </c>
      <c r="S79" s="462">
        <f t="shared" si="22"/>
        <v>375</v>
      </c>
      <c r="T79" s="462">
        <f t="shared" si="22"/>
        <v>375</v>
      </c>
      <c r="U79" s="462">
        <f t="shared" si="22"/>
        <v>375</v>
      </c>
      <c r="V79" s="462">
        <f t="shared" si="22"/>
        <v>375</v>
      </c>
      <c r="W79" s="462">
        <f t="shared" si="22"/>
        <v>375</v>
      </c>
      <c r="X79" s="462">
        <f t="shared" si="22"/>
        <v>375</v>
      </c>
      <c r="Y79" s="462">
        <f t="shared" si="22"/>
        <v>375</v>
      </c>
      <c r="Z79" s="462">
        <f t="shared" si="22"/>
        <v>375</v>
      </c>
      <c r="AA79" s="462">
        <f t="shared" si="22"/>
        <v>375</v>
      </c>
      <c r="AB79" s="462">
        <f t="shared" si="22"/>
        <v>375</v>
      </c>
      <c r="AC79" s="462">
        <f t="shared" si="22"/>
        <v>375</v>
      </c>
      <c r="AD79" s="462">
        <f t="shared" si="22"/>
        <v>375</v>
      </c>
      <c r="AE79" s="462">
        <f t="shared" si="22"/>
        <v>375</v>
      </c>
    </row>
    <row r="80" spans="2:31" x14ac:dyDescent="0.25">
      <c r="B80" s="4" t="s">
        <v>119</v>
      </c>
      <c r="C80" s="4" t="s">
        <v>126</v>
      </c>
      <c r="D80" s="23">
        <f>D79</f>
        <v>2035</v>
      </c>
      <c r="E80" s="23"/>
      <c r="F80" s="23"/>
      <c r="G80" s="462"/>
      <c r="H80" s="462"/>
      <c r="I80" s="462"/>
      <c r="J80" s="462"/>
      <c r="K80" s="462"/>
      <c r="L80" s="462">
        <f>L98</f>
        <v>0</v>
      </c>
      <c r="M80" s="462">
        <f t="shared" ref="M80:AE80" si="23">L80</f>
        <v>0</v>
      </c>
      <c r="N80" s="462">
        <f t="shared" si="23"/>
        <v>0</v>
      </c>
      <c r="O80" s="462">
        <f t="shared" si="23"/>
        <v>0</v>
      </c>
      <c r="P80" s="462">
        <f t="shared" si="23"/>
        <v>0</v>
      </c>
      <c r="Q80" s="462">
        <f t="shared" si="23"/>
        <v>0</v>
      </c>
      <c r="R80" s="462">
        <f t="shared" si="23"/>
        <v>0</v>
      </c>
      <c r="S80" s="462">
        <f t="shared" si="23"/>
        <v>0</v>
      </c>
      <c r="T80" s="462">
        <f t="shared" si="23"/>
        <v>0</v>
      </c>
      <c r="U80" s="462">
        <f t="shared" si="23"/>
        <v>0</v>
      </c>
      <c r="V80" s="462">
        <f t="shared" si="23"/>
        <v>0</v>
      </c>
      <c r="W80" s="462">
        <f t="shared" si="23"/>
        <v>0</v>
      </c>
      <c r="X80" s="462">
        <f t="shared" si="23"/>
        <v>0</v>
      </c>
      <c r="Y80" s="462">
        <f t="shared" si="23"/>
        <v>0</v>
      </c>
      <c r="Z80" s="462">
        <f t="shared" si="23"/>
        <v>0</v>
      </c>
      <c r="AA80" s="462">
        <f t="shared" si="23"/>
        <v>0</v>
      </c>
      <c r="AB80" s="462">
        <f t="shared" si="23"/>
        <v>0</v>
      </c>
      <c r="AC80" s="462">
        <f t="shared" si="23"/>
        <v>0</v>
      </c>
      <c r="AD80" s="462">
        <f t="shared" si="23"/>
        <v>0</v>
      </c>
      <c r="AE80" s="462">
        <f t="shared" si="23"/>
        <v>0</v>
      </c>
    </row>
    <row r="81" spans="2:31" x14ac:dyDescent="0.25">
      <c r="B81" s="4" t="s">
        <v>118</v>
      </c>
      <c r="C81" s="4" t="s">
        <v>126</v>
      </c>
      <c r="D81" s="23">
        <f>D80</f>
        <v>2035</v>
      </c>
      <c r="E81" s="23"/>
      <c r="F81" s="23"/>
      <c r="G81" s="462"/>
      <c r="H81" s="462"/>
      <c r="I81" s="462"/>
      <c r="J81" s="462"/>
      <c r="K81" s="462"/>
      <c r="L81" s="462">
        <f>L99</f>
        <v>0</v>
      </c>
      <c r="M81" s="462">
        <f t="shared" ref="M81:AE81" si="24">L81</f>
        <v>0</v>
      </c>
      <c r="N81" s="462">
        <f t="shared" si="24"/>
        <v>0</v>
      </c>
      <c r="O81" s="462">
        <f t="shared" si="24"/>
        <v>0</v>
      </c>
      <c r="P81" s="462">
        <f t="shared" si="24"/>
        <v>0</v>
      </c>
      <c r="Q81" s="462">
        <f t="shared" si="24"/>
        <v>0</v>
      </c>
      <c r="R81" s="462">
        <f t="shared" si="24"/>
        <v>0</v>
      </c>
      <c r="S81" s="462">
        <f t="shared" si="24"/>
        <v>0</v>
      </c>
      <c r="T81" s="462">
        <f t="shared" si="24"/>
        <v>0</v>
      </c>
      <c r="U81" s="462">
        <f t="shared" si="24"/>
        <v>0</v>
      </c>
      <c r="V81" s="462">
        <f t="shared" si="24"/>
        <v>0</v>
      </c>
      <c r="W81" s="462">
        <f t="shared" si="24"/>
        <v>0</v>
      </c>
      <c r="X81" s="462">
        <f t="shared" si="24"/>
        <v>0</v>
      </c>
      <c r="Y81" s="462">
        <f t="shared" si="24"/>
        <v>0</v>
      </c>
      <c r="Z81" s="462">
        <f t="shared" si="24"/>
        <v>0</v>
      </c>
      <c r="AA81" s="462">
        <f t="shared" si="24"/>
        <v>0</v>
      </c>
      <c r="AB81" s="462">
        <f t="shared" si="24"/>
        <v>0</v>
      </c>
      <c r="AC81" s="462">
        <f t="shared" si="24"/>
        <v>0</v>
      </c>
      <c r="AD81" s="462">
        <f t="shared" si="24"/>
        <v>0</v>
      </c>
      <c r="AE81" s="462">
        <f t="shared" si="24"/>
        <v>0</v>
      </c>
    </row>
    <row r="82" spans="2:31" x14ac:dyDescent="0.25">
      <c r="B82" s="4"/>
      <c r="C82" s="4"/>
      <c r="D82" s="23"/>
      <c r="E82" s="23"/>
      <c r="F82" s="23"/>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row>
    <row r="83" spans="2:31" x14ac:dyDescent="0.25">
      <c r="B83" s="4"/>
      <c r="C83" s="4"/>
      <c r="D83" s="23"/>
      <c r="E83" s="23"/>
      <c r="F83" s="23"/>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row>
    <row r="84" spans="2:31" x14ac:dyDescent="0.25">
      <c r="B84" s="4"/>
      <c r="C84" s="4"/>
      <c r="D84" s="23"/>
      <c r="E84" s="23"/>
      <c r="F84" s="23"/>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row>
    <row r="85" spans="2:31" x14ac:dyDescent="0.25">
      <c r="B85" s="4"/>
      <c r="C85" s="4"/>
      <c r="D85" s="23"/>
      <c r="E85" s="23"/>
      <c r="F85" s="23"/>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row>
    <row r="86" spans="2:31" x14ac:dyDescent="0.25">
      <c r="D86" s="438"/>
      <c r="E86" s="438"/>
      <c r="F86" s="438"/>
      <c r="G86" s="22"/>
    </row>
    <row r="87" spans="2:31" x14ac:dyDescent="0.25">
      <c r="B87" s="20" t="s">
        <v>132</v>
      </c>
      <c r="C87" s="10"/>
      <c r="D87" s="438"/>
      <c r="E87" s="438"/>
      <c r="F87" s="438"/>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row>
    <row r="88" spans="2:31" x14ac:dyDescent="0.25">
      <c r="B88" s="4" t="s">
        <v>121</v>
      </c>
      <c r="C88" s="4"/>
      <c r="D88" s="438"/>
      <c r="E88" s="438"/>
      <c r="F88" s="438"/>
      <c r="G88" s="11">
        <f t="shared" ref="G88:AE88" si="25">(G12*G48+G18*G54+G24*G60+G30*G66+G36*G72+G42*G78)*Expense_Scale*thousand</f>
        <v>41205636.70534309</v>
      </c>
      <c r="H88" s="11">
        <f t="shared" si="25"/>
        <v>82923778.651068166</v>
      </c>
      <c r="I88" s="11">
        <f t="shared" si="25"/>
        <v>110544137.14141341</v>
      </c>
      <c r="J88" s="11">
        <f t="shared" si="25"/>
        <v>137972759.49162054</v>
      </c>
      <c r="K88" s="11">
        <f t="shared" si="25"/>
        <v>172018867.25420678</v>
      </c>
      <c r="L88" s="11">
        <f t="shared" si="25"/>
        <v>205825304.84162033</v>
      </c>
      <c r="M88" s="11">
        <f t="shared" si="25"/>
        <v>205825304.84162033</v>
      </c>
      <c r="N88" s="11">
        <f t="shared" si="25"/>
        <v>205825304.84162033</v>
      </c>
      <c r="O88" s="11">
        <f t="shared" si="25"/>
        <v>205825304.84162033</v>
      </c>
      <c r="P88" s="11">
        <f t="shared" si="25"/>
        <v>205825304.84162033</v>
      </c>
      <c r="Q88" s="11">
        <f t="shared" si="25"/>
        <v>205825304.84162033</v>
      </c>
      <c r="R88" s="11">
        <f t="shared" si="25"/>
        <v>205825304.84162033</v>
      </c>
      <c r="S88" s="11">
        <f t="shared" si="25"/>
        <v>205825304.84162033</v>
      </c>
      <c r="T88" s="11">
        <f t="shared" si="25"/>
        <v>205825304.84162033</v>
      </c>
      <c r="U88" s="11">
        <f t="shared" si="25"/>
        <v>205825304.84162033</v>
      </c>
      <c r="V88" s="11">
        <f t="shared" si="25"/>
        <v>205825304.84162033</v>
      </c>
      <c r="W88" s="11">
        <f t="shared" si="25"/>
        <v>205825304.84162033</v>
      </c>
      <c r="X88" s="11">
        <f t="shared" si="25"/>
        <v>205825304.84162033</v>
      </c>
      <c r="Y88" s="11">
        <f t="shared" si="25"/>
        <v>205825304.84162033</v>
      </c>
      <c r="Z88" s="11">
        <f t="shared" si="25"/>
        <v>205825304.84162033</v>
      </c>
      <c r="AA88" s="11">
        <f t="shared" si="25"/>
        <v>205825304.84162033</v>
      </c>
      <c r="AB88" s="11">
        <f t="shared" si="25"/>
        <v>205825304.84162033</v>
      </c>
      <c r="AC88" s="11">
        <f t="shared" si="25"/>
        <v>205825304.84162033</v>
      </c>
      <c r="AD88" s="11">
        <f t="shared" si="25"/>
        <v>205825304.84162033</v>
      </c>
      <c r="AE88" s="11">
        <f t="shared" si="25"/>
        <v>205825304.84162033</v>
      </c>
    </row>
    <row r="89" spans="2:31" x14ac:dyDescent="0.25">
      <c r="B89" s="4" t="s">
        <v>120</v>
      </c>
      <c r="C89" s="4"/>
      <c r="D89" s="438"/>
      <c r="E89" s="438"/>
      <c r="F89" s="438"/>
      <c r="G89" s="11">
        <f t="shared" ref="G89:AE89" si="26">(G13*G49+G19*G55+G25*G61+G31*G67+G37*G73+G43*G79)*Expense_Scale*thousand</f>
        <v>17337485.577201415</v>
      </c>
      <c r="H89" s="11">
        <f t="shared" si="26"/>
        <v>35357138.629507087</v>
      </c>
      <c r="I89" s="11">
        <f t="shared" si="26"/>
        <v>47287422.529107451</v>
      </c>
      <c r="J89" s="11">
        <f t="shared" si="26"/>
        <v>59134888.293437742</v>
      </c>
      <c r="K89" s="11">
        <f t="shared" si="26"/>
        <v>73840697.829762995</v>
      </c>
      <c r="L89" s="11">
        <f t="shared" si="26"/>
        <v>88442984.697000667</v>
      </c>
      <c r="M89" s="11">
        <f t="shared" si="26"/>
        <v>88442984.697000667</v>
      </c>
      <c r="N89" s="11">
        <f t="shared" si="26"/>
        <v>88442984.697000667</v>
      </c>
      <c r="O89" s="11">
        <f t="shared" si="26"/>
        <v>88442984.697000667</v>
      </c>
      <c r="P89" s="11">
        <f t="shared" si="26"/>
        <v>88442984.697000667</v>
      </c>
      <c r="Q89" s="11">
        <f t="shared" si="26"/>
        <v>88442984.697000667</v>
      </c>
      <c r="R89" s="11">
        <f t="shared" si="26"/>
        <v>88442984.697000667</v>
      </c>
      <c r="S89" s="11">
        <f t="shared" si="26"/>
        <v>88442984.697000667</v>
      </c>
      <c r="T89" s="11">
        <f t="shared" si="26"/>
        <v>88442984.697000667</v>
      </c>
      <c r="U89" s="11">
        <f t="shared" si="26"/>
        <v>88442984.697000667</v>
      </c>
      <c r="V89" s="11">
        <f t="shared" si="26"/>
        <v>88442984.697000667</v>
      </c>
      <c r="W89" s="11">
        <f t="shared" si="26"/>
        <v>88442984.697000667</v>
      </c>
      <c r="X89" s="11">
        <f t="shared" si="26"/>
        <v>88442984.697000667</v>
      </c>
      <c r="Y89" s="11">
        <f t="shared" si="26"/>
        <v>88442984.697000667</v>
      </c>
      <c r="Z89" s="11">
        <f t="shared" si="26"/>
        <v>88442984.697000667</v>
      </c>
      <c r="AA89" s="11">
        <f t="shared" si="26"/>
        <v>88442984.697000667</v>
      </c>
      <c r="AB89" s="11">
        <f t="shared" si="26"/>
        <v>88442984.697000667</v>
      </c>
      <c r="AC89" s="11">
        <f t="shared" si="26"/>
        <v>88442984.697000667</v>
      </c>
      <c r="AD89" s="11">
        <f t="shared" si="26"/>
        <v>88442984.697000667</v>
      </c>
      <c r="AE89" s="11">
        <f t="shared" si="26"/>
        <v>88442984.697000667</v>
      </c>
    </row>
    <row r="90" spans="2:31" x14ac:dyDescent="0.25">
      <c r="B90" s="4" t="s">
        <v>119</v>
      </c>
      <c r="C90" s="4"/>
      <c r="D90" s="438"/>
      <c r="E90" s="438"/>
      <c r="F90" s="438"/>
      <c r="G90" s="11">
        <f t="shared" ref="G90:AE90" si="27">(G14*G50+G20*G56+G26*G62+G32*G68+G38*G74+G44*G80)*Expense_Scale*thousand</f>
        <v>1748675.5991140401</v>
      </c>
      <c r="H90" s="11">
        <f t="shared" si="27"/>
        <v>1748675.5991140401</v>
      </c>
      <c r="I90" s="11">
        <f t="shared" si="27"/>
        <v>1748675.5991140401</v>
      </c>
      <c r="J90" s="11">
        <f t="shared" si="27"/>
        <v>1748675.5991140401</v>
      </c>
      <c r="K90" s="11">
        <f t="shared" si="27"/>
        <v>1748675.5991140401</v>
      </c>
      <c r="L90" s="11">
        <f t="shared" si="27"/>
        <v>1748675.5991140401</v>
      </c>
      <c r="M90" s="11">
        <f t="shared" si="27"/>
        <v>1748675.5991140401</v>
      </c>
      <c r="N90" s="11">
        <f t="shared" si="27"/>
        <v>1748675.5991140401</v>
      </c>
      <c r="O90" s="11">
        <f t="shared" si="27"/>
        <v>1748675.5991140401</v>
      </c>
      <c r="P90" s="11">
        <f t="shared" si="27"/>
        <v>1748675.5991140401</v>
      </c>
      <c r="Q90" s="11">
        <f t="shared" si="27"/>
        <v>1748675.5991140401</v>
      </c>
      <c r="R90" s="11">
        <f t="shared" si="27"/>
        <v>1748675.5991140401</v>
      </c>
      <c r="S90" s="11">
        <f t="shared" si="27"/>
        <v>1748675.5991140401</v>
      </c>
      <c r="T90" s="11">
        <f t="shared" si="27"/>
        <v>1748675.5991140401</v>
      </c>
      <c r="U90" s="11">
        <f t="shared" si="27"/>
        <v>1748675.5991140401</v>
      </c>
      <c r="V90" s="11">
        <f t="shared" si="27"/>
        <v>1748675.5991140401</v>
      </c>
      <c r="W90" s="11">
        <f t="shared" si="27"/>
        <v>1748675.5991140401</v>
      </c>
      <c r="X90" s="11">
        <f t="shared" si="27"/>
        <v>1748675.5991140401</v>
      </c>
      <c r="Y90" s="11">
        <f t="shared" si="27"/>
        <v>1748675.5991140401</v>
      </c>
      <c r="Z90" s="11">
        <f t="shared" si="27"/>
        <v>1748675.5991140401</v>
      </c>
      <c r="AA90" s="11">
        <f t="shared" si="27"/>
        <v>1748675.5991140401</v>
      </c>
      <c r="AB90" s="11">
        <f t="shared" si="27"/>
        <v>1748675.5991140401</v>
      </c>
      <c r="AC90" s="11">
        <f t="shared" si="27"/>
        <v>1748675.5991140401</v>
      </c>
      <c r="AD90" s="11">
        <f t="shared" si="27"/>
        <v>1748675.5991140401</v>
      </c>
      <c r="AE90" s="11">
        <f t="shared" si="27"/>
        <v>1748675.5991140401</v>
      </c>
    </row>
    <row r="91" spans="2:31" x14ac:dyDescent="0.25">
      <c r="B91" s="4" t="s">
        <v>118</v>
      </c>
      <c r="C91" s="4"/>
      <c r="D91" s="438"/>
      <c r="E91" s="438"/>
      <c r="F91" s="438"/>
      <c r="G91" s="11">
        <f t="shared" ref="G91:AE91" si="28">(G15*G51+G21*G57+G27*G63+G33*G69+G39*G75+G45*G81)*Expense_Scale*thousand</f>
        <v>1762412.2495391306</v>
      </c>
      <c r="H91" s="11">
        <f t="shared" si="28"/>
        <v>1762412.2495391306</v>
      </c>
      <c r="I91" s="11">
        <f t="shared" si="28"/>
        <v>1762412.2495391306</v>
      </c>
      <c r="J91" s="11">
        <f t="shared" si="28"/>
        <v>1762412.2495391306</v>
      </c>
      <c r="K91" s="11">
        <f t="shared" si="28"/>
        <v>1762412.2495391306</v>
      </c>
      <c r="L91" s="11">
        <f t="shared" si="28"/>
        <v>1762412.2495391306</v>
      </c>
      <c r="M91" s="11">
        <f t="shared" si="28"/>
        <v>1762412.2495391306</v>
      </c>
      <c r="N91" s="11">
        <f t="shared" si="28"/>
        <v>1762412.2495391306</v>
      </c>
      <c r="O91" s="11">
        <f t="shared" si="28"/>
        <v>1762412.2495391306</v>
      </c>
      <c r="P91" s="11">
        <f t="shared" si="28"/>
        <v>1762412.2495391306</v>
      </c>
      <c r="Q91" s="11">
        <f t="shared" si="28"/>
        <v>1762412.2495391306</v>
      </c>
      <c r="R91" s="11">
        <f t="shared" si="28"/>
        <v>1762412.2495391306</v>
      </c>
      <c r="S91" s="11">
        <f t="shared" si="28"/>
        <v>1762412.2495391306</v>
      </c>
      <c r="T91" s="11">
        <f t="shared" si="28"/>
        <v>1762412.2495391306</v>
      </c>
      <c r="U91" s="11">
        <f t="shared" si="28"/>
        <v>1762412.2495391306</v>
      </c>
      <c r="V91" s="11">
        <f t="shared" si="28"/>
        <v>1762412.2495391306</v>
      </c>
      <c r="W91" s="11">
        <f t="shared" si="28"/>
        <v>1762412.2495391306</v>
      </c>
      <c r="X91" s="11">
        <f t="shared" si="28"/>
        <v>1762412.2495391306</v>
      </c>
      <c r="Y91" s="11">
        <f t="shared" si="28"/>
        <v>1762412.2495391306</v>
      </c>
      <c r="Z91" s="11">
        <f t="shared" si="28"/>
        <v>1762412.2495391306</v>
      </c>
      <c r="AA91" s="11">
        <f t="shared" si="28"/>
        <v>1762412.2495391306</v>
      </c>
      <c r="AB91" s="11">
        <f t="shared" si="28"/>
        <v>1762412.2495391306</v>
      </c>
      <c r="AC91" s="11">
        <f t="shared" si="28"/>
        <v>1762412.2495391306</v>
      </c>
      <c r="AD91" s="11">
        <f t="shared" si="28"/>
        <v>1762412.2495391306</v>
      </c>
      <c r="AE91" s="11">
        <f t="shared" si="28"/>
        <v>1762412.2495391306</v>
      </c>
    </row>
    <row r="92" spans="2:31" x14ac:dyDescent="0.25">
      <c r="B92" s="4"/>
      <c r="C92" s="4"/>
      <c r="D92" s="438"/>
      <c r="E92" s="438"/>
      <c r="F92" s="438"/>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row>
    <row r="93" spans="2:31" x14ac:dyDescent="0.25">
      <c r="B93" s="18"/>
      <c r="C93" s="18"/>
      <c r="D93" s="18"/>
      <c r="E93" s="18"/>
      <c r="F93" s="18"/>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row>
    <row r="94" spans="2:31" x14ac:dyDescent="0.25">
      <c r="B94" s="10" t="s">
        <v>131</v>
      </c>
      <c r="C94" s="10"/>
      <c r="D94" s="18"/>
      <c r="E94" s="18"/>
      <c r="F94" s="18"/>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row>
    <row r="95" spans="2:31" x14ac:dyDescent="0.25">
      <c r="B95" s="20" t="s">
        <v>130</v>
      </c>
      <c r="C95" s="20"/>
      <c r="D95" s="18"/>
      <c r="E95" s="18"/>
      <c r="F95" s="18"/>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row>
    <row r="96" spans="2:31" x14ac:dyDescent="0.25">
      <c r="B96" s="4" t="s">
        <v>121</v>
      </c>
      <c r="C96" s="4"/>
      <c r="D96" s="18"/>
      <c r="E96" s="18"/>
      <c r="F96" s="18"/>
      <c r="G96" s="19">
        <f>Storage_Ann_Development!B10</f>
        <v>1030</v>
      </c>
      <c r="H96" s="19">
        <f>Storage_Ann_Development!C10</f>
        <v>1050</v>
      </c>
      <c r="I96" s="19">
        <f>Storage_Ann_Development!D10</f>
        <v>700</v>
      </c>
      <c r="J96" s="19">
        <f>Storage_Ann_Development!E10</f>
        <v>700</v>
      </c>
      <c r="K96" s="19">
        <f>Storage_Ann_Development!F10</f>
        <v>875</v>
      </c>
      <c r="L96" s="19">
        <f>Storage_Ann_Development!G10</f>
        <v>875</v>
      </c>
      <c r="M96" s="19">
        <f>Storage_Ann_Development!H10</f>
        <v>0</v>
      </c>
      <c r="N96" s="19">
        <f>Storage_Ann_Development!I10</f>
        <v>0</v>
      </c>
      <c r="O96" s="19">
        <f>Storage_Ann_Development!J10</f>
        <v>0</v>
      </c>
      <c r="P96" s="19">
        <f>Storage_Ann_Development!K10</f>
        <v>0</v>
      </c>
      <c r="Q96" s="19">
        <f>Storage_Ann_Development!L10</f>
        <v>0</v>
      </c>
      <c r="R96" s="19">
        <f>Storage_Ann_Development!M10</f>
        <v>0</v>
      </c>
      <c r="S96" s="19">
        <f>Storage_Ann_Development!N10</f>
        <v>0</v>
      </c>
      <c r="T96" s="19">
        <f>Storage_Ann_Development!O10</f>
        <v>0</v>
      </c>
      <c r="U96" s="19">
        <f>Storage_Ann_Development!P10</f>
        <v>0</v>
      </c>
      <c r="V96" s="19">
        <f>Storage_Ann_Development!Q10</f>
        <v>0</v>
      </c>
      <c r="W96" s="19">
        <f>Storage_Ann_Development!R10</f>
        <v>0</v>
      </c>
      <c r="X96" s="19">
        <f>Storage_Ann_Development!S10</f>
        <v>0</v>
      </c>
      <c r="Y96" s="19">
        <f>Storage_Ann_Development!T10</f>
        <v>0</v>
      </c>
      <c r="Z96" s="19">
        <f>Storage_Ann_Development!U10</f>
        <v>0</v>
      </c>
      <c r="AA96" s="19">
        <f>Storage_Ann_Development!V10</f>
        <v>0</v>
      </c>
      <c r="AB96" s="19">
        <f>Storage_Ann_Development!W10</f>
        <v>0</v>
      </c>
      <c r="AC96" s="19">
        <f>Storage_Ann_Development!X10</f>
        <v>0</v>
      </c>
      <c r="AD96" s="19">
        <f>Storage_Ann_Development!Y10</f>
        <v>0</v>
      </c>
      <c r="AE96" s="19">
        <f>Storage_Ann_Development!Z10</f>
        <v>0</v>
      </c>
    </row>
    <row r="97" spans="1:32" x14ac:dyDescent="0.25">
      <c r="B97" s="4" t="s">
        <v>120</v>
      </c>
      <c r="C97" s="4"/>
      <c r="D97" s="18"/>
      <c r="E97" s="18"/>
      <c r="F97" s="18"/>
      <c r="G97" s="19">
        <f>Storage_Ann_Development!B11</f>
        <v>430</v>
      </c>
      <c r="H97" s="19">
        <f>Storage_Ann_Development!C11</f>
        <v>450</v>
      </c>
      <c r="I97" s="19">
        <f>Storage_Ann_Development!D11</f>
        <v>300</v>
      </c>
      <c r="J97" s="19">
        <f>Storage_Ann_Development!E11</f>
        <v>300</v>
      </c>
      <c r="K97" s="19">
        <f>Storage_Ann_Development!F11</f>
        <v>375</v>
      </c>
      <c r="L97" s="19">
        <f>Storage_Ann_Development!G11</f>
        <v>375</v>
      </c>
      <c r="M97" s="19">
        <f>Storage_Ann_Development!H11</f>
        <v>0</v>
      </c>
      <c r="N97" s="19">
        <f>Storage_Ann_Development!I11</f>
        <v>0</v>
      </c>
      <c r="O97" s="19">
        <f>Storage_Ann_Development!J11</f>
        <v>0</v>
      </c>
      <c r="P97" s="19">
        <f>Storage_Ann_Development!K11</f>
        <v>0</v>
      </c>
      <c r="Q97" s="19">
        <f>Storage_Ann_Development!L11</f>
        <v>0</v>
      </c>
      <c r="R97" s="19">
        <f>Storage_Ann_Development!M11</f>
        <v>0</v>
      </c>
      <c r="S97" s="19">
        <f>Storage_Ann_Development!N11</f>
        <v>0</v>
      </c>
      <c r="T97" s="19">
        <f>Storage_Ann_Development!O11</f>
        <v>0</v>
      </c>
      <c r="U97" s="19">
        <f>Storage_Ann_Development!P11</f>
        <v>0</v>
      </c>
      <c r="V97" s="19">
        <f>Storage_Ann_Development!Q11</f>
        <v>0</v>
      </c>
      <c r="W97" s="19">
        <f>Storage_Ann_Development!R11</f>
        <v>0</v>
      </c>
      <c r="X97" s="19">
        <f>Storage_Ann_Development!S11</f>
        <v>0</v>
      </c>
      <c r="Y97" s="19">
        <f>Storage_Ann_Development!T11</f>
        <v>0</v>
      </c>
      <c r="Z97" s="19">
        <f>Storage_Ann_Development!U11</f>
        <v>0</v>
      </c>
      <c r="AA97" s="19">
        <f>Storage_Ann_Development!V11</f>
        <v>0</v>
      </c>
      <c r="AB97" s="19">
        <f>Storage_Ann_Development!W11</f>
        <v>0</v>
      </c>
      <c r="AC97" s="19">
        <f>Storage_Ann_Development!X11</f>
        <v>0</v>
      </c>
      <c r="AD97" s="19">
        <f>Storage_Ann_Development!Y11</f>
        <v>0</v>
      </c>
      <c r="AE97" s="19">
        <f>Storage_Ann_Development!Z11</f>
        <v>0</v>
      </c>
    </row>
    <row r="98" spans="1:32" x14ac:dyDescent="0.25">
      <c r="B98" s="4" t="s">
        <v>119</v>
      </c>
      <c r="C98" s="4"/>
      <c r="D98" s="18"/>
      <c r="E98" s="18"/>
      <c r="F98" s="18"/>
      <c r="G98" s="19">
        <v>20</v>
      </c>
      <c r="H98" s="19">
        <v>0</v>
      </c>
      <c r="I98" s="19">
        <v>0</v>
      </c>
      <c r="J98" s="19">
        <v>0</v>
      </c>
      <c r="K98" s="19">
        <v>0</v>
      </c>
      <c r="L98" s="19">
        <v>0</v>
      </c>
      <c r="M98" s="19">
        <v>0</v>
      </c>
      <c r="N98" s="19">
        <v>0</v>
      </c>
      <c r="O98" s="19">
        <v>0</v>
      </c>
      <c r="P98" s="19">
        <v>0</v>
      </c>
      <c r="Q98" s="19">
        <v>0</v>
      </c>
      <c r="R98" s="19">
        <v>0</v>
      </c>
      <c r="S98" s="19">
        <v>0</v>
      </c>
      <c r="T98" s="19">
        <v>0</v>
      </c>
      <c r="U98" s="19">
        <v>0</v>
      </c>
      <c r="V98" s="19">
        <v>0</v>
      </c>
      <c r="W98" s="19">
        <v>0</v>
      </c>
      <c r="X98" s="19">
        <v>0</v>
      </c>
      <c r="Y98" s="19">
        <v>0</v>
      </c>
      <c r="Z98" s="19">
        <v>0</v>
      </c>
      <c r="AA98" s="19">
        <v>0</v>
      </c>
      <c r="AB98" s="19">
        <v>0</v>
      </c>
      <c r="AC98" s="19">
        <v>0</v>
      </c>
      <c r="AD98" s="19">
        <v>0</v>
      </c>
      <c r="AE98" s="19">
        <v>0</v>
      </c>
    </row>
    <row r="99" spans="1:32" x14ac:dyDescent="0.25">
      <c r="B99" s="4" t="s">
        <v>118</v>
      </c>
      <c r="C99" s="4"/>
      <c r="D99" s="18"/>
      <c r="E99" s="18"/>
      <c r="F99" s="18"/>
      <c r="G99" s="19">
        <v>20</v>
      </c>
      <c r="H99" s="19">
        <v>0</v>
      </c>
      <c r="I99" s="19">
        <v>0</v>
      </c>
      <c r="J99" s="19">
        <v>0</v>
      </c>
      <c r="K99" s="19">
        <v>0</v>
      </c>
      <c r="L99" s="19">
        <v>0</v>
      </c>
      <c r="M99" s="19">
        <v>0</v>
      </c>
      <c r="N99" s="19">
        <v>0</v>
      </c>
      <c r="O99" s="19">
        <v>0</v>
      </c>
      <c r="P99" s="19">
        <v>0</v>
      </c>
      <c r="Q99" s="19">
        <v>0</v>
      </c>
      <c r="R99" s="19">
        <v>0</v>
      </c>
      <c r="S99" s="19">
        <v>0</v>
      </c>
      <c r="T99" s="19">
        <v>0</v>
      </c>
      <c r="U99" s="19">
        <v>0</v>
      </c>
      <c r="V99" s="19">
        <v>0</v>
      </c>
      <c r="W99" s="19">
        <v>0</v>
      </c>
      <c r="X99" s="19">
        <v>0</v>
      </c>
      <c r="Y99" s="19">
        <v>0</v>
      </c>
      <c r="Z99" s="19">
        <v>0</v>
      </c>
      <c r="AA99" s="19">
        <v>0</v>
      </c>
      <c r="AB99" s="19">
        <v>0</v>
      </c>
      <c r="AC99" s="19">
        <v>0</v>
      </c>
      <c r="AD99" s="19">
        <v>0</v>
      </c>
      <c r="AE99" s="19">
        <v>0</v>
      </c>
    </row>
    <row r="100" spans="1:32" x14ac:dyDescent="0.25">
      <c r="B100" s="4" t="s">
        <v>84</v>
      </c>
      <c r="C100" s="4"/>
      <c r="D100" s="18"/>
      <c r="E100" s="18"/>
      <c r="F100" s="18"/>
      <c r="G100" s="19">
        <v>650</v>
      </c>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row>
    <row r="101" spans="1:32" x14ac:dyDescent="0.25">
      <c r="B101" s="4"/>
      <c r="C101" s="4"/>
      <c r="D101" s="18"/>
      <c r="E101" s="18"/>
      <c r="F101" s="18"/>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row>
    <row r="102" spans="1:32" x14ac:dyDescent="0.25">
      <c r="B102" s="18"/>
      <c r="C102" s="274" t="s">
        <v>129</v>
      </c>
      <c r="D102" s="18"/>
      <c r="E102" s="18"/>
      <c r="F102" s="18"/>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row>
    <row r="103" spans="1:32" x14ac:dyDescent="0.25">
      <c r="B103" s="439" t="s">
        <v>128</v>
      </c>
      <c r="C103" s="463" t="str">
        <f>ModelFactors!$C$7</f>
        <v>Conservative</v>
      </c>
      <c r="D103" s="17" t="s">
        <v>127</v>
      </c>
      <c r="E103" s="17"/>
      <c r="F103" s="17"/>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row>
    <row r="104" spans="1:32" x14ac:dyDescent="0.25">
      <c r="B104" s="4" t="s">
        <v>121</v>
      </c>
      <c r="C104" s="3" t="s">
        <v>125</v>
      </c>
      <c r="D104" s="464">
        <f>ModelFactors!D7</f>
        <v>1.0023622047244094</v>
      </c>
      <c r="E104" s="464"/>
      <c r="F104" s="464"/>
      <c r="G104" s="11">
        <f>VLOOKUP($C$102&amp;"_"&amp;$C104&amp;"_"&amp;$C$103,'Utility-Scale Battery Storage'!$A$42:$AJ$127,MATCH(G$2,'Utility-Scale Battery Storage'!$A$42:$AJ$42,0),0)*'FRED Graph_22Oct2023'!$D$312*$D104</f>
        <v>1600.2189011783721</v>
      </c>
      <c r="H104" s="11">
        <f>VLOOKUP($C$102&amp;"_"&amp;$C104&amp;"_"&amp;$C$103,'Utility-Scale Battery Storage'!$A$42:$AJ$127,MATCH(H$2,'Utility-Scale Battery Storage'!$A$42:$AJ$42,0),0)*'FRED Graph_22Oct2023'!$D$312*$D104</f>
        <v>1589.2625503133361</v>
      </c>
      <c r="I104" s="11">
        <f>VLOOKUP($C$102&amp;"_"&amp;$C104&amp;"_"&amp;$C$103,'Utility-Scale Battery Storage'!$A$42:$AJ$127,MATCH(I$2,'Utility-Scale Battery Storage'!$A$42:$AJ$42,0),0)*'FRED Graph_22Oct2023'!$D$312*$D104</f>
        <v>1578.3061994482998</v>
      </c>
      <c r="J104" s="11">
        <f>VLOOKUP($C$102&amp;"_"&amp;$C104&amp;"_"&amp;$C$103,'Utility-Scale Battery Storage'!$A$42:$AJ$127,MATCH(J$2,'Utility-Scale Battery Storage'!$A$42:$AJ$42,0),0)*'FRED Graph_22Oct2023'!$D$312*$D104</f>
        <v>1567.3498485832638</v>
      </c>
      <c r="K104" s="11">
        <f>VLOOKUP($C$102&amp;"_"&amp;$C104&amp;"_"&amp;$C$103,'Utility-Scale Battery Storage'!$A$42:$AJ$127,MATCH(K$2,'Utility-Scale Battery Storage'!$A$42:$AJ$42,0),0)*'FRED Graph_22Oct2023'!$D$312*$D104</f>
        <v>1556.3934977182278</v>
      </c>
      <c r="L104" s="11">
        <f>VLOOKUP($C$102&amp;"_"&amp;$C104&amp;"_"&amp;$C$103,'Utility-Scale Battery Storage'!$A$42:$AJ$127,MATCH(L$2,'Utility-Scale Battery Storage'!$A$42:$AJ$42,0),0)*'FRED Graph_22Oct2023'!$D$312*$D104</f>
        <v>1545.4371468531915</v>
      </c>
      <c r="M104" s="11"/>
      <c r="N104" s="11"/>
      <c r="O104" s="11"/>
      <c r="P104" s="11"/>
      <c r="Q104" s="11"/>
      <c r="R104" s="11"/>
      <c r="S104" s="11"/>
      <c r="T104" s="11"/>
      <c r="U104" s="11"/>
      <c r="V104" s="11"/>
      <c r="W104" s="11"/>
      <c r="X104" s="11"/>
      <c r="Y104" s="11"/>
      <c r="Z104" s="11"/>
      <c r="AA104" s="11"/>
      <c r="AB104" s="11"/>
      <c r="AC104" s="11"/>
      <c r="AD104" s="11"/>
      <c r="AE104" s="11"/>
      <c r="AF104" s="11"/>
    </row>
    <row r="105" spans="1:32" x14ac:dyDescent="0.25">
      <c r="B105" s="4" t="s">
        <v>120</v>
      </c>
      <c r="C105" s="3" t="s">
        <v>125</v>
      </c>
      <c r="D105" s="464">
        <f>ModelFactors!D8</f>
        <v>1.0102362204724409</v>
      </c>
      <c r="E105" s="464"/>
      <c r="F105" s="464"/>
      <c r="G105" s="11">
        <f>VLOOKUP($C$102&amp;"_"&amp;$C105&amp;"_"&amp;$C$103,'Utility-Scale Battery Storage'!$A$42:$AJ$127,MATCH(G$2,'Utility-Scale Battery Storage'!$A$42:$AJ$42,0),0)*'FRED Graph_22Oct2023'!$D$312*$D105</f>
        <v>1612.7893560187363</v>
      </c>
      <c r="H105" s="11">
        <f>VLOOKUP($C$102&amp;"_"&amp;$C105&amp;"_"&amp;$C$103,'Utility-Scale Battery Storage'!$A$42:$AJ$127,MATCH(H$2,'Utility-Scale Battery Storage'!$A$42:$AJ$42,0),0)*'FRED Graph_22Oct2023'!$D$312*$D105</f>
        <v>1601.746937982726</v>
      </c>
      <c r="I105" s="11">
        <f>VLOOKUP($C$102&amp;"_"&amp;$C105&amp;"_"&amp;$C$103,'Utility-Scale Battery Storage'!$A$42:$AJ$127,MATCH(I$2,'Utility-Scale Battery Storage'!$A$42:$AJ$42,0),0)*'FRED Graph_22Oct2023'!$D$312*$D105</f>
        <v>1590.7045199467154</v>
      </c>
      <c r="J105" s="11">
        <f>VLOOKUP($C$102&amp;"_"&amp;$C105&amp;"_"&amp;$C$103,'Utility-Scale Battery Storage'!$A$42:$AJ$127,MATCH(J$2,'Utility-Scale Battery Storage'!$A$42:$AJ$42,0),0)*'FRED Graph_22Oct2023'!$D$312*$D105</f>
        <v>1579.6621019107049</v>
      </c>
      <c r="K105" s="11">
        <f>VLOOKUP($C$102&amp;"_"&amp;$C105&amp;"_"&amp;$C$103,'Utility-Scale Battery Storage'!$A$42:$AJ$127,MATCH(K$2,'Utility-Scale Battery Storage'!$A$42:$AJ$42,0),0)*'FRED Graph_22Oct2023'!$D$312*$D105</f>
        <v>1568.6196838746946</v>
      </c>
      <c r="L105" s="11">
        <f>VLOOKUP($C$102&amp;"_"&amp;$C105&amp;"_"&amp;$C$103,'Utility-Scale Battery Storage'!$A$42:$AJ$127,MATCH(L$2,'Utility-Scale Battery Storage'!$A$42:$AJ$42,0),0)*'FRED Graph_22Oct2023'!$D$312*$D105</f>
        <v>1557.5772658386841</v>
      </c>
      <c r="M105" s="11"/>
      <c r="N105" s="11"/>
      <c r="O105" s="11"/>
      <c r="P105" s="11"/>
      <c r="Q105" s="11"/>
      <c r="R105" s="11"/>
      <c r="S105" s="11"/>
      <c r="T105" s="11"/>
      <c r="U105" s="11"/>
      <c r="V105" s="11"/>
      <c r="W105" s="11"/>
      <c r="X105" s="11"/>
      <c r="Y105" s="11"/>
      <c r="Z105" s="11"/>
      <c r="AA105" s="11"/>
      <c r="AB105" s="11"/>
      <c r="AC105" s="11"/>
      <c r="AD105" s="11"/>
      <c r="AE105" s="11"/>
      <c r="AF105" s="11"/>
    </row>
    <row r="106" spans="1:32" x14ac:dyDescent="0.25">
      <c r="B106" s="4" t="s">
        <v>119</v>
      </c>
      <c r="C106" s="4" t="s">
        <v>126</v>
      </c>
      <c r="D106" s="464">
        <f>ModelFactors!D9</f>
        <v>1.0023622047244094</v>
      </c>
      <c r="E106" s="464"/>
      <c r="F106" s="464"/>
      <c r="G106" s="11">
        <f>VLOOKUP($C$102&amp;"_"&amp;$C106&amp;"_"&amp;$C$103,'Utility-Scale Battery Storage'!$A$42:$AJ$127,MATCH(G$2,'Utility-Scale Battery Storage'!$A$42:$AJ$42,0),0)*'FRED Graph_22Oct2023'!$D$312*$D106</f>
        <v>3497.3511982280797</v>
      </c>
      <c r="H106" s="11">
        <f>VLOOKUP($C$102&amp;"_"&amp;$C106&amp;"_"&amp;$C$103,'Utility-Scale Battery Storage'!$A$42:$AJ$127,MATCH(H$2,'Utility-Scale Battery Storage'!$A$42:$AJ$42,0),0)*'FRED Graph_22Oct2023'!$D$312*$D106</f>
        <v>3473.4055950372763</v>
      </c>
      <c r="I106" s="11">
        <f>VLOOKUP($C$102&amp;"_"&amp;$C106&amp;"_"&amp;$C$103,'Utility-Scale Battery Storage'!$A$42:$AJ$127,MATCH(I$2,'Utility-Scale Battery Storage'!$A$42:$AJ$42,0),0)*'FRED Graph_22Oct2023'!$D$312*$D106</f>
        <v>3449.4599918464723</v>
      </c>
      <c r="J106" s="11">
        <f>VLOOKUP($C$102&amp;"_"&amp;$C106&amp;"_"&amp;$C$103,'Utility-Scale Battery Storage'!$A$42:$AJ$127,MATCH(J$2,'Utility-Scale Battery Storage'!$A$42:$AJ$42,0),0)*'FRED Graph_22Oct2023'!$D$312*$D106</f>
        <v>3425.5143886556689</v>
      </c>
      <c r="K106" s="11">
        <f>VLOOKUP($C$102&amp;"_"&amp;$C106&amp;"_"&amp;$C$103,'Utility-Scale Battery Storage'!$A$42:$AJ$127,MATCH(K$2,'Utility-Scale Battery Storage'!$A$42:$AJ$42,0),0)*'FRED Graph_22Oct2023'!$D$312*$D106</f>
        <v>3401.5687854648645</v>
      </c>
      <c r="L106" s="11">
        <f>VLOOKUP($C$102&amp;"_"&amp;$C106&amp;"_"&amp;$C$103,'Utility-Scale Battery Storage'!$A$42:$AJ$127,MATCH(L$2,'Utility-Scale Battery Storage'!$A$42:$AJ$42,0),0)*'FRED Graph_22Oct2023'!$D$312*$D106</f>
        <v>3377.623182274061</v>
      </c>
      <c r="M106" s="11"/>
      <c r="N106" s="11"/>
      <c r="O106" s="11"/>
      <c r="P106" s="11"/>
      <c r="Q106" s="11"/>
      <c r="R106" s="11"/>
      <c r="S106" s="11"/>
      <c r="T106" s="11"/>
      <c r="U106" s="11"/>
      <c r="V106" s="11"/>
      <c r="W106" s="11"/>
      <c r="X106" s="11"/>
      <c r="Y106" s="11"/>
      <c r="Z106" s="11"/>
      <c r="AA106" s="11"/>
      <c r="AB106" s="11"/>
      <c r="AC106" s="11"/>
      <c r="AD106" s="11"/>
      <c r="AE106" s="11"/>
      <c r="AF106" s="11"/>
    </row>
    <row r="107" spans="1:32" x14ac:dyDescent="0.25">
      <c r="B107" s="4" t="s">
        <v>118</v>
      </c>
      <c r="C107" s="4" t="s">
        <v>126</v>
      </c>
      <c r="D107" s="464">
        <f>ModelFactors!D10</f>
        <v>1.0102362204724409</v>
      </c>
      <c r="E107" s="464"/>
      <c r="F107" s="464"/>
      <c r="G107" s="11">
        <f>VLOOKUP($C$102&amp;"_"&amp;$C107&amp;"_"&amp;$C$103,'Utility-Scale Battery Storage'!$A$42:$AJ$127,MATCH(G$2,'Utility-Scale Battery Storage'!$A$42:$AJ$42,0),0)*'FRED Graph_22Oct2023'!$D$312*$D107</f>
        <v>3524.8244990782609</v>
      </c>
      <c r="H107" s="11">
        <f>VLOOKUP($C$102&amp;"_"&amp;$C107&amp;"_"&amp;$C$103,'Utility-Scale Battery Storage'!$A$42:$AJ$127,MATCH(H$2,'Utility-Scale Battery Storage'!$A$42:$AJ$42,0),0)*'FRED Graph_22Oct2023'!$D$312*$D107</f>
        <v>3500.6907921703264</v>
      </c>
      <c r="I107" s="11">
        <f>VLOOKUP($C$102&amp;"_"&amp;$C107&amp;"_"&amp;$C$103,'Utility-Scale Battery Storage'!$A$42:$AJ$127,MATCH(I$2,'Utility-Scale Battery Storage'!$A$42:$AJ$42,0),0)*'FRED Graph_22Oct2023'!$D$312*$D107</f>
        <v>3476.557085262391</v>
      </c>
      <c r="J107" s="11">
        <f>VLOOKUP($C$102&amp;"_"&amp;$C107&amp;"_"&amp;$C$103,'Utility-Scale Battery Storage'!$A$42:$AJ$127,MATCH(J$2,'Utility-Scale Battery Storage'!$A$42:$AJ$42,0),0)*'FRED Graph_22Oct2023'!$D$312*$D107</f>
        <v>3452.4233783544564</v>
      </c>
      <c r="K107" s="11">
        <f>VLOOKUP($C$102&amp;"_"&amp;$C107&amp;"_"&amp;$C$103,'Utility-Scale Battery Storage'!$A$42:$AJ$127,MATCH(K$2,'Utility-Scale Battery Storage'!$A$42:$AJ$42,0),0)*'FRED Graph_22Oct2023'!$D$312*$D107</f>
        <v>3428.289671446521</v>
      </c>
      <c r="L107" s="11">
        <f>VLOOKUP($C$102&amp;"_"&amp;$C107&amp;"_"&amp;$C$103,'Utility-Scale Battery Storage'!$A$42:$AJ$127,MATCH(L$2,'Utility-Scale Battery Storage'!$A$42:$AJ$42,0),0)*'FRED Graph_22Oct2023'!$D$312*$D107</f>
        <v>3404.1559645385864</v>
      </c>
      <c r="M107" s="11"/>
      <c r="N107" s="11"/>
      <c r="O107" s="11"/>
      <c r="P107" s="11"/>
      <c r="Q107" s="11"/>
      <c r="R107" s="11"/>
      <c r="S107" s="11"/>
      <c r="T107" s="11"/>
      <c r="U107" s="11"/>
      <c r="V107" s="11"/>
      <c r="W107" s="11"/>
      <c r="X107" s="11"/>
      <c r="Y107" s="11"/>
      <c r="Z107" s="11"/>
      <c r="AA107" s="11"/>
      <c r="AB107" s="11"/>
      <c r="AC107" s="11"/>
      <c r="AD107" s="11"/>
      <c r="AE107" s="11"/>
      <c r="AF107" s="11"/>
    </row>
    <row r="108" spans="1:32" x14ac:dyDescent="0.25">
      <c r="B108" s="4" t="s">
        <v>84</v>
      </c>
      <c r="C108" s="3" t="s">
        <v>125</v>
      </c>
      <c r="D108" s="464">
        <f>D104</f>
        <v>1.0023622047244094</v>
      </c>
      <c r="E108" s="464"/>
      <c r="F108" s="464"/>
      <c r="G108" s="11">
        <f>VLOOKUP($C$102&amp;"_"&amp;$C108&amp;"_"&amp;$C$103,'Utility-Scale Battery Storage'!$A$42:$AJ$127,MATCH(G$2,'Utility-Scale Battery Storage'!$A$42:$AJ$42,0),0)*'FRED Graph_22Oct2023'!$D$312*$D108</f>
        <v>1600.2189011783721</v>
      </c>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row>
    <row r="109" spans="1:32" x14ac:dyDescent="0.25">
      <c r="B109" s="4"/>
      <c r="C109" s="441"/>
      <c r="D109" s="441"/>
      <c r="E109" s="4"/>
      <c r="F109" s="4"/>
      <c r="G109" s="4"/>
    </row>
    <row r="110" spans="1:32" x14ac:dyDescent="0.25">
      <c r="B110" s="439" t="s">
        <v>122</v>
      </c>
      <c r="C110" s="4"/>
      <c r="D110" s="4"/>
      <c r="E110" s="4"/>
      <c r="F110" s="4"/>
      <c r="G110" s="4"/>
    </row>
    <row r="111" spans="1:32" ht="30" x14ac:dyDescent="0.25">
      <c r="B111" s="439" t="s">
        <v>124</v>
      </c>
      <c r="C111" s="442" t="s">
        <v>116</v>
      </c>
      <c r="D111" s="278" t="s">
        <v>123</v>
      </c>
      <c r="E111" s="278" t="s">
        <v>82</v>
      </c>
      <c r="F111" s="278" t="s">
        <v>122</v>
      </c>
      <c r="G111" s="4"/>
    </row>
    <row r="112" spans="1:32" x14ac:dyDescent="0.25">
      <c r="A112" s="9">
        <v>1</v>
      </c>
      <c r="B112" s="4" t="s">
        <v>121</v>
      </c>
      <c r="C112" s="443">
        <f t="array" ref="C112:C117">TRANSPOSE($G$96:$L$96)</f>
        <v>1030</v>
      </c>
      <c r="D112" s="465">
        <f t="array" ref="D112:D117">TRANSPOSE(G104:L104)</f>
        <v>1600.2189011783721</v>
      </c>
      <c r="E112" s="466">
        <f t="shared" ref="E112:E126" si="29">CCR</f>
        <v>7.4789635042676814E-2</v>
      </c>
      <c r="F112" s="467">
        <f t="shared" ref="F112:F126" si="30">C112*(D112*E112*10^3)</f>
        <v>123270181.23574947</v>
      </c>
      <c r="G112" s="468">
        <f t="shared" ref="G112:Z112" si="31">$F$112</f>
        <v>123270181.23574947</v>
      </c>
      <c r="H112" s="469">
        <f t="shared" si="31"/>
        <v>123270181.23574947</v>
      </c>
      <c r="I112" s="468">
        <f t="shared" si="31"/>
        <v>123270181.23574947</v>
      </c>
      <c r="J112" s="468">
        <f t="shared" si="31"/>
        <v>123270181.23574947</v>
      </c>
      <c r="K112" s="468">
        <f t="shared" si="31"/>
        <v>123270181.23574947</v>
      </c>
      <c r="L112" s="468">
        <f t="shared" si="31"/>
        <v>123270181.23574947</v>
      </c>
      <c r="M112" s="468">
        <f t="shared" si="31"/>
        <v>123270181.23574947</v>
      </c>
      <c r="N112" s="468">
        <f t="shared" si="31"/>
        <v>123270181.23574947</v>
      </c>
      <c r="O112" s="468">
        <f t="shared" si="31"/>
        <v>123270181.23574947</v>
      </c>
      <c r="P112" s="468">
        <f t="shared" si="31"/>
        <v>123270181.23574947</v>
      </c>
      <c r="Q112" s="468">
        <f t="shared" si="31"/>
        <v>123270181.23574947</v>
      </c>
      <c r="R112" s="468">
        <f t="shared" si="31"/>
        <v>123270181.23574947</v>
      </c>
      <c r="S112" s="468">
        <f t="shared" si="31"/>
        <v>123270181.23574947</v>
      </c>
      <c r="T112" s="468">
        <f t="shared" si="31"/>
        <v>123270181.23574947</v>
      </c>
      <c r="U112" s="468">
        <f t="shared" si="31"/>
        <v>123270181.23574947</v>
      </c>
      <c r="V112" s="468">
        <f t="shared" si="31"/>
        <v>123270181.23574947</v>
      </c>
      <c r="W112" s="468">
        <f t="shared" si="31"/>
        <v>123270181.23574947</v>
      </c>
      <c r="X112" s="468">
        <f t="shared" si="31"/>
        <v>123270181.23574947</v>
      </c>
      <c r="Y112" s="468">
        <f t="shared" si="31"/>
        <v>123270181.23574947</v>
      </c>
      <c r="Z112" s="468">
        <f t="shared" si="31"/>
        <v>123270181.23574947</v>
      </c>
    </row>
    <row r="113" spans="1:26" x14ac:dyDescent="0.25">
      <c r="A113" s="9">
        <v>2</v>
      </c>
      <c r="B113" s="4" t="s">
        <v>121</v>
      </c>
      <c r="C113" s="443">
        <v>1050</v>
      </c>
      <c r="D113" s="465">
        <v>1589.2625503133361</v>
      </c>
      <c r="E113" s="466">
        <f t="shared" si="29"/>
        <v>7.4789635042676814E-2</v>
      </c>
      <c r="F113" s="470">
        <f t="shared" si="30"/>
        <v>124803384.43117461</v>
      </c>
      <c r="G113" s="468"/>
      <c r="H113" s="468">
        <f t="shared" ref="H113:Z113" si="32">$F$113</f>
        <v>124803384.43117461</v>
      </c>
      <c r="I113" s="468">
        <f t="shared" si="32"/>
        <v>124803384.43117461</v>
      </c>
      <c r="J113" s="468">
        <f t="shared" si="32"/>
        <v>124803384.43117461</v>
      </c>
      <c r="K113" s="468">
        <f t="shared" si="32"/>
        <v>124803384.43117461</v>
      </c>
      <c r="L113" s="468">
        <f t="shared" si="32"/>
        <v>124803384.43117461</v>
      </c>
      <c r="M113" s="468">
        <f t="shared" si="32"/>
        <v>124803384.43117461</v>
      </c>
      <c r="N113" s="468">
        <f t="shared" si="32"/>
        <v>124803384.43117461</v>
      </c>
      <c r="O113" s="468">
        <f t="shared" si="32"/>
        <v>124803384.43117461</v>
      </c>
      <c r="P113" s="468">
        <f t="shared" si="32"/>
        <v>124803384.43117461</v>
      </c>
      <c r="Q113" s="468">
        <f t="shared" si="32"/>
        <v>124803384.43117461</v>
      </c>
      <c r="R113" s="468">
        <f t="shared" si="32"/>
        <v>124803384.43117461</v>
      </c>
      <c r="S113" s="468">
        <f t="shared" si="32"/>
        <v>124803384.43117461</v>
      </c>
      <c r="T113" s="468">
        <f t="shared" si="32"/>
        <v>124803384.43117461</v>
      </c>
      <c r="U113" s="468">
        <f t="shared" si="32"/>
        <v>124803384.43117461</v>
      </c>
      <c r="V113" s="468">
        <f t="shared" si="32"/>
        <v>124803384.43117461</v>
      </c>
      <c r="W113" s="468">
        <f t="shared" si="32"/>
        <v>124803384.43117461</v>
      </c>
      <c r="X113" s="468">
        <f t="shared" si="32"/>
        <v>124803384.43117461</v>
      </c>
      <c r="Y113" s="468">
        <f t="shared" si="32"/>
        <v>124803384.43117461</v>
      </c>
      <c r="Z113" s="468">
        <f t="shared" si="32"/>
        <v>124803384.43117461</v>
      </c>
    </row>
    <row r="114" spans="1:26" x14ac:dyDescent="0.25">
      <c r="A114" s="9">
        <v>3</v>
      </c>
      <c r="B114" s="4" t="s">
        <v>121</v>
      </c>
      <c r="C114" s="443">
        <v>700</v>
      </c>
      <c r="D114" s="465">
        <v>1578.3061994482998</v>
      </c>
      <c r="E114" s="466">
        <f t="shared" si="29"/>
        <v>7.4789635042676814E-2</v>
      </c>
      <c r="F114" s="467">
        <f t="shared" si="30"/>
        <v>82628661.249632835</v>
      </c>
      <c r="G114" s="468"/>
      <c r="H114" s="471"/>
      <c r="I114" s="468">
        <f t="shared" ref="I114:Z114" si="33">$F$114</f>
        <v>82628661.249632835</v>
      </c>
      <c r="J114" s="468">
        <f t="shared" si="33"/>
        <v>82628661.249632835</v>
      </c>
      <c r="K114" s="468">
        <f t="shared" si="33"/>
        <v>82628661.249632835</v>
      </c>
      <c r="L114" s="468">
        <f t="shared" si="33"/>
        <v>82628661.249632835</v>
      </c>
      <c r="M114" s="468">
        <f t="shared" si="33"/>
        <v>82628661.249632835</v>
      </c>
      <c r="N114" s="468">
        <f t="shared" si="33"/>
        <v>82628661.249632835</v>
      </c>
      <c r="O114" s="468">
        <f t="shared" si="33"/>
        <v>82628661.249632835</v>
      </c>
      <c r="P114" s="468">
        <f t="shared" si="33"/>
        <v>82628661.249632835</v>
      </c>
      <c r="Q114" s="468">
        <f t="shared" si="33"/>
        <v>82628661.249632835</v>
      </c>
      <c r="R114" s="468">
        <f t="shared" si="33"/>
        <v>82628661.249632835</v>
      </c>
      <c r="S114" s="468">
        <f t="shared" si="33"/>
        <v>82628661.249632835</v>
      </c>
      <c r="T114" s="468">
        <f t="shared" si="33"/>
        <v>82628661.249632835</v>
      </c>
      <c r="U114" s="468">
        <f t="shared" si="33"/>
        <v>82628661.249632835</v>
      </c>
      <c r="V114" s="468">
        <f t="shared" si="33"/>
        <v>82628661.249632835</v>
      </c>
      <c r="W114" s="468">
        <f t="shared" si="33"/>
        <v>82628661.249632835</v>
      </c>
      <c r="X114" s="468">
        <f t="shared" si="33"/>
        <v>82628661.249632835</v>
      </c>
      <c r="Y114" s="468">
        <f t="shared" si="33"/>
        <v>82628661.249632835</v>
      </c>
      <c r="Z114" s="468">
        <f t="shared" si="33"/>
        <v>82628661.249632835</v>
      </c>
    </row>
    <row r="115" spans="1:26" x14ac:dyDescent="0.25">
      <c r="A115" s="9">
        <v>4</v>
      </c>
      <c r="B115" s="4" t="s">
        <v>121</v>
      </c>
      <c r="C115" s="443">
        <v>700</v>
      </c>
      <c r="D115" s="465">
        <v>1567.3498485832638</v>
      </c>
      <c r="E115" s="466">
        <f t="shared" si="29"/>
        <v>7.4789635042676814E-2</v>
      </c>
      <c r="F115" s="467">
        <f t="shared" si="30"/>
        <v>82055066.211815938</v>
      </c>
      <c r="G115" s="468"/>
      <c r="H115" s="471"/>
      <c r="I115" s="471"/>
      <c r="J115" s="468">
        <f t="shared" ref="J115:Z115" si="34">$F$115</f>
        <v>82055066.211815938</v>
      </c>
      <c r="K115" s="468">
        <f t="shared" si="34"/>
        <v>82055066.211815938</v>
      </c>
      <c r="L115" s="468">
        <f t="shared" si="34"/>
        <v>82055066.211815938</v>
      </c>
      <c r="M115" s="468">
        <f t="shared" si="34"/>
        <v>82055066.211815938</v>
      </c>
      <c r="N115" s="468">
        <f t="shared" si="34"/>
        <v>82055066.211815938</v>
      </c>
      <c r="O115" s="468">
        <f t="shared" si="34"/>
        <v>82055066.211815938</v>
      </c>
      <c r="P115" s="468">
        <f t="shared" si="34"/>
        <v>82055066.211815938</v>
      </c>
      <c r="Q115" s="468">
        <f t="shared" si="34"/>
        <v>82055066.211815938</v>
      </c>
      <c r="R115" s="468">
        <f t="shared" si="34"/>
        <v>82055066.211815938</v>
      </c>
      <c r="S115" s="468">
        <f t="shared" si="34"/>
        <v>82055066.211815938</v>
      </c>
      <c r="T115" s="468">
        <f t="shared" si="34"/>
        <v>82055066.211815938</v>
      </c>
      <c r="U115" s="468">
        <f t="shared" si="34"/>
        <v>82055066.211815938</v>
      </c>
      <c r="V115" s="468">
        <f t="shared" si="34"/>
        <v>82055066.211815938</v>
      </c>
      <c r="W115" s="468">
        <f t="shared" si="34"/>
        <v>82055066.211815938</v>
      </c>
      <c r="X115" s="468">
        <f t="shared" si="34"/>
        <v>82055066.211815938</v>
      </c>
      <c r="Y115" s="468">
        <f t="shared" si="34"/>
        <v>82055066.211815938</v>
      </c>
      <c r="Z115" s="468">
        <f t="shared" si="34"/>
        <v>82055066.211815938</v>
      </c>
    </row>
    <row r="116" spans="1:26" x14ac:dyDescent="0.25">
      <c r="A116" s="9">
        <v>5</v>
      </c>
      <c r="B116" s="4" t="s">
        <v>121</v>
      </c>
      <c r="C116" s="443">
        <v>875</v>
      </c>
      <c r="D116" s="465">
        <v>1556.3934977182278</v>
      </c>
      <c r="E116" s="466">
        <f t="shared" si="29"/>
        <v>7.4789635042676814E-2</v>
      </c>
      <c r="F116" s="467">
        <f t="shared" si="30"/>
        <v>101851838.96749881</v>
      </c>
      <c r="G116" s="468"/>
      <c r="H116" s="471"/>
      <c r="I116" s="471"/>
      <c r="J116" s="471"/>
      <c r="K116" s="468">
        <f t="shared" ref="K116:Z116" si="35">$F$116</f>
        <v>101851838.96749881</v>
      </c>
      <c r="L116" s="468">
        <f t="shared" si="35"/>
        <v>101851838.96749881</v>
      </c>
      <c r="M116" s="468">
        <f t="shared" si="35"/>
        <v>101851838.96749881</v>
      </c>
      <c r="N116" s="468">
        <f t="shared" si="35"/>
        <v>101851838.96749881</v>
      </c>
      <c r="O116" s="468">
        <f t="shared" si="35"/>
        <v>101851838.96749881</v>
      </c>
      <c r="P116" s="468">
        <f t="shared" si="35"/>
        <v>101851838.96749881</v>
      </c>
      <c r="Q116" s="468">
        <f t="shared" si="35"/>
        <v>101851838.96749881</v>
      </c>
      <c r="R116" s="468">
        <f t="shared" si="35"/>
        <v>101851838.96749881</v>
      </c>
      <c r="S116" s="468">
        <f t="shared" si="35"/>
        <v>101851838.96749881</v>
      </c>
      <c r="T116" s="468">
        <f t="shared" si="35"/>
        <v>101851838.96749881</v>
      </c>
      <c r="U116" s="468">
        <f t="shared" si="35"/>
        <v>101851838.96749881</v>
      </c>
      <c r="V116" s="468">
        <f t="shared" si="35"/>
        <v>101851838.96749881</v>
      </c>
      <c r="W116" s="468">
        <f t="shared" si="35"/>
        <v>101851838.96749881</v>
      </c>
      <c r="X116" s="468">
        <f t="shared" si="35"/>
        <v>101851838.96749881</v>
      </c>
      <c r="Y116" s="468">
        <f t="shared" si="35"/>
        <v>101851838.96749881</v>
      </c>
      <c r="Z116" s="468">
        <f t="shared" si="35"/>
        <v>101851838.96749881</v>
      </c>
    </row>
    <row r="117" spans="1:26" x14ac:dyDescent="0.25">
      <c r="A117" s="9">
        <v>6</v>
      </c>
      <c r="B117" s="4" t="s">
        <v>121</v>
      </c>
      <c r="C117" s="443">
        <v>875</v>
      </c>
      <c r="D117" s="465">
        <v>1545.4371468531915</v>
      </c>
      <c r="E117" s="466">
        <f t="shared" si="29"/>
        <v>7.4789635042676814E-2</v>
      </c>
      <c r="F117" s="467">
        <f t="shared" si="30"/>
        <v>101134845.17022769</v>
      </c>
      <c r="G117" s="468"/>
      <c r="H117" s="471"/>
      <c r="I117" s="471"/>
      <c r="J117" s="471"/>
      <c r="K117" s="471"/>
      <c r="L117" s="468">
        <f t="shared" ref="L117:Z117" si="36">$F$117</f>
        <v>101134845.17022769</v>
      </c>
      <c r="M117" s="468">
        <f t="shared" si="36"/>
        <v>101134845.17022769</v>
      </c>
      <c r="N117" s="468">
        <f t="shared" si="36"/>
        <v>101134845.17022769</v>
      </c>
      <c r="O117" s="468">
        <f t="shared" si="36"/>
        <v>101134845.17022769</v>
      </c>
      <c r="P117" s="468">
        <f t="shared" si="36"/>
        <v>101134845.17022769</v>
      </c>
      <c r="Q117" s="468">
        <f t="shared" si="36"/>
        <v>101134845.17022769</v>
      </c>
      <c r="R117" s="468">
        <f t="shared" si="36"/>
        <v>101134845.17022769</v>
      </c>
      <c r="S117" s="468">
        <f t="shared" si="36"/>
        <v>101134845.17022769</v>
      </c>
      <c r="T117" s="468">
        <f t="shared" si="36"/>
        <v>101134845.17022769</v>
      </c>
      <c r="U117" s="468">
        <f t="shared" si="36"/>
        <v>101134845.17022769</v>
      </c>
      <c r="V117" s="468">
        <f t="shared" si="36"/>
        <v>101134845.17022769</v>
      </c>
      <c r="W117" s="468">
        <f t="shared" si="36"/>
        <v>101134845.17022769</v>
      </c>
      <c r="X117" s="468">
        <f t="shared" si="36"/>
        <v>101134845.17022769</v>
      </c>
      <c r="Y117" s="468">
        <f t="shared" si="36"/>
        <v>101134845.17022769</v>
      </c>
      <c r="Z117" s="468">
        <f t="shared" si="36"/>
        <v>101134845.17022769</v>
      </c>
    </row>
    <row r="118" spans="1:26" x14ac:dyDescent="0.25">
      <c r="A118" s="9">
        <v>1</v>
      </c>
      <c r="B118" s="4" t="s">
        <v>120</v>
      </c>
      <c r="C118" s="443">
        <f t="array" ref="C118:C123">TRANSPOSE($G$97:$L$97)</f>
        <v>430</v>
      </c>
      <c r="D118" s="465">
        <f t="array" ref="D118:D123">TRANSPOSE($G$105:$L$105)</f>
        <v>1612.7893560187363</v>
      </c>
      <c r="E118" s="466">
        <f t="shared" si="29"/>
        <v>7.4789635042676814E-2</v>
      </c>
      <c r="F118" s="467">
        <f t="shared" si="30"/>
        <v>51866568.75506267</v>
      </c>
      <c r="G118" s="468">
        <f t="shared" ref="G118:Z118" si="37">$F118</f>
        <v>51866568.75506267</v>
      </c>
      <c r="H118" s="468">
        <f t="shared" si="37"/>
        <v>51866568.75506267</v>
      </c>
      <c r="I118" s="468">
        <f t="shared" si="37"/>
        <v>51866568.75506267</v>
      </c>
      <c r="J118" s="468">
        <f t="shared" si="37"/>
        <v>51866568.75506267</v>
      </c>
      <c r="K118" s="468">
        <f t="shared" si="37"/>
        <v>51866568.75506267</v>
      </c>
      <c r="L118" s="468">
        <f t="shared" si="37"/>
        <v>51866568.75506267</v>
      </c>
      <c r="M118" s="468">
        <f t="shared" si="37"/>
        <v>51866568.75506267</v>
      </c>
      <c r="N118" s="468">
        <f t="shared" si="37"/>
        <v>51866568.75506267</v>
      </c>
      <c r="O118" s="468">
        <f t="shared" si="37"/>
        <v>51866568.75506267</v>
      </c>
      <c r="P118" s="468">
        <f t="shared" si="37"/>
        <v>51866568.75506267</v>
      </c>
      <c r="Q118" s="468">
        <f t="shared" si="37"/>
        <v>51866568.75506267</v>
      </c>
      <c r="R118" s="468">
        <f t="shared" si="37"/>
        <v>51866568.75506267</v>
      </c>
      <c r="S118" s="468">
        <f t="shared" si="37"/>
        <v>51866568.75506267</v>
      </c>
      <c r="T118" s="468">
        <f t="shared" si="37"/>
        <v>51866568.75506267</v>
      </c>
      <c r="U118" s="468">
        <f t="shared" si="37"/>
        <v>51866568.75506267</v>
      </c>
      <c r="V118" s="468">
        <f t="shared" si="37"/>
        <v>51866568.75506267</v>
      </c>
      <c r="W118" s="468">
        <f t="shared" si="37"/>
        <v>51866568.75506267</v>
      </c>
      <c r="X118" s="468">
        <f t="shared" si="37"/>
        <v>51866568.75506267</v>
      </c>
      <c r="Y118" s="468">
        <f t="shared" si="37"/>
        <v>51866568.75506267</v>
      </c>
      <c r="Z118" s="468">
        <f t="shared" si="37"/>
        <v>51866568.75506267</v>
      </c>
    </row>
    <row r="119" spans="1:26" x14ac:dyDescent="0.25">
      <c r="A119" s="9">
        <v>2</v>
      </c>
      <c r="B119" s="4" t="s">
        <v>120</v>
      </c>
      <c r="C119" s="443">
        <v>450</v>
      </c>
      <c r="D119" s="465">
        <v>1601.746937982726</v>
      </c>
      <c r="E119" s="466">
        <f t="shared" si="29"/>
        <v>7.4789635042676814E-2</v>
      </c>
      <c r="F119" s="467">
        <f t="shared" si="30"/>
        <v>53907331.015103929</v>
      </c>
      <c r="G119" s="465"/>
      <c r="H119" s="468">
        <f t="shared" ref="H119:Z119" si="38">$F119</f>
        <v>53907331.015103929</v>
      </c>
      <c r="I119" s="468">
        <f t="shared" si="38"/>
        <v>53907331.015103929</v>
      </c>
      <c r="J119" s="468">
        <f t="shared" si="38"/>
        <v>53907331.015103929</v>
      </c>
      <c r="K119" s="468">
        <f t="shared" si="38"/>
        <v>53907331.015103929</v>
      </c>
      <c r="L119" s="468">
        <f t="shared" si="38"/>
        <v>53907331.015103929</v>
      </c>
      <c r="M119" s="468">
        <f t="shared" si="38"/>
        <v>53907331.015103929</v>
      </c>
      <c r="N119" s="468">
        <f t="shared" si="38"/>
        <v>53907331.015103929</v>
      </c>
      <c r="O119" s="468">
        <f t="shared" si="38"/>
        <v>53907331.015103929</v>
      </c>
      <c r="P119" s="468">
        <f t="shared" si="38"/>
        <v>53907331.015103929</v>
      </c>
      <c r="Q119" s="468">
        <f t="shared" si="38"/>
        <v>53907331.015103929</v>
      </c>
      <c r="R119" s="468">
        <f t="shared" si="38"/>
        <v>53907331.015103929</v>
      </c>
      <c r="S119" s="468">
        <f t="shared" si="38"/>
        <v>53907331.015103929</v>
      </c>
      <c r="T119" s="468">
        <f t="shared" si="38"/>
        <v>53907331.015103929</v>
      </c>
      <c r="U119" s="468">
        <f t="shared" si="38"/>
        <v>53907331.015103929</v>
      </c>
      <c r="V119" s="468">
        <f t="shared" si="38"/>
        <v>53907331.015103929</v>
      </c>
      <c r="W119" s="468">
        <f t="shared" si="38"/>
        <v>53907331.015103929</v>
      </c>
      <c r="X119" s="468">
        <f t="shared" si="38"/>
        <v>53907331.015103929</v>
      </c>
      <c r="Y119" s="468">
        <f t="shared" si="38"/>
        <v>53907331.015103929</v>
      </c>
      <c r="Z119" s="468">
        <f t="shared" si="38"/>
        <v>53907331.015103929</v>
      </c>
    </row>
    <row r="120" spans="1:26" x14ac:dyDescent="0.25">
      <c r="A120" s="9">
        <v>3</v>
      </c>
      <c r="B120" s="4" t="s">
        <v>120</v>
      </c>
      <c r="C120" s="443">
        <v>300</v>
      </c>
      <c r="D120" s="465">
        <v>1590.7045199467154</v>
      </c>
      <c r="E120" s="466">
        <f t="shared" si="29"/>
        <v>7.4789635042676814E-2</v>
      </c>
      <c r="F120" s="467">
        <f t="shared" si="30"/>
        <v>35690463.152265377</v>
      </c>
      <c r="G120" s="465"/>
      <c r="H120" s="472"/>
      <c r="I120" s="468">
        <f t="shared" ref="I120:Z120" si="39">$F120</f>
        <v>35690463.152265377</v>
      </c>
      <c r="J120" s="468">
        <f t="shared" si="39"/>
        <v>35690463.152265377</v>
      </c>
      <c r="K120" s="468">
        <f t="shared" si="39"/>
        <v>35690463.152265377</v>
      </c>
      <c r="L120" s="468">
        <f t="shared" si="39"/>
        <v>35690463.152265377</v>
      </c>
      <c r="M120" s="468">
        <f t="shared" si="39"/>
        <v>35690463.152265377</v>
      </c>
      <c r="N120" s="468">
        <f t="shared" si="39"/>
        <v>35690463.152265377</v>
      </c>
      <c r="O120" s="468">
        <f t="shared" si="39"/>
        <v>35690463.152265377</v>
      </c>
      <c r="P120" s="468">
        <f t="shared" si="39"/>
        <v>35690463.152265377</v>
      </c>
      <c r="Q120" s="468">
        <f t="shared" si="39"/>
        <v>35690463.152265377</v>
      </c>
      <c r="R120" s="468">
        <f t="shared" si="39"/>
        <v>35690463.152265377</v>
      </c>
      <c r="S120" s="468">
        <f t="shared" si="39"/>
        <v>35690463.152265377</v>
      </c>
      <c r="T120" s="468">
        <f t="shared" si="39"/>
        <v>35690463.152265377</v>
      </c>
      <c r="U120" s="468">
        <f t="shared" si="39"/>
        <v>35690463.152265377</v>
      </c>
      <c r="V120" s="468">
        <f t="shared" si="39"/>
        <v>35690463.152265377</v>
      </c>
      <c r="W120" s="468">
        <f t="shared" si="39"/>
        <v>35690463.152265377</v>
      </c>
      <c r="X120" s="468">
        <f t="shared" si="39"/>
        <v>35690463.152265377</v>
      </c>
      <c r="Y120" s="468">
        <f t="shared" si="39"/>
        <v>35690463.152265377</v>
      </c>
      <c r="Z120" s="468">
        <f t="shared" si="39"/>
        <v>35690463.152265377</v>
      </c>
    </row>
    <row r="121" spans="1:26" x14ac:dyDescent="0.25">
      <c r="A121" s="9">
        <v>4</v>
      </c>
      <c r="B121" s="4" t="s">
        <v>120</v>
      </c>
      <c r="C121" s="443">
        <v>300</v>
      </c>
      <c r="D121" s="465">
        <v>1579.6621019107049</v>
      </c>
      <c r="E121" s="466">
        <f t="shared" si="29"/>
        <v>7.4789635042676814E-2</v>
      </c>
      <c r="F121" s="467">
        <f t="shared" si="30"/>
        <v>35442705.62779481</v>
      </c>
      <c r="G121" s="465"/>
      <c r="H121" s="472"/>
      <c r="I121" s="472"/>
      <c r="J121" s="468">
        <f t="shared" ref="J121:Z121" si="40">$F121</f>
        <v>35442705.62779481</v>
      </c>
      <c r="K121" s="468">
        <f t="shared" si="40"/>
        <v>35442705.62779481</v>
      </c>
      <c r="L121" s="468">
        <f t="shared" si="40"/>
        <v>35442705.62779481</v>
      </c>
      <c r="M121" s="468">
        <f t="shared" si="40"/>
        <v>35442705.62779481</v>
      </c>
      <c r="N121" s="468">
        <f t="shared" si="40"/>
        <v>35442705.62779481</v>
      </c>
      <c r="O121" s="468">
        <f t="shared" si="40"/>
        <v>35442705.62779481</v>
      </c>
      <c r="P121" s="468">
        <f t="shared" si="40"/>
        <v>35442705.62779481</v>
      </c>
      <c r="Q121" s="468">
        <f t="shared" si="40"/>
        <v>35442705.62779481</v>
      </c>
      <c r="R121" s="468">
        <f t="shared" si="40"/>
        <v>35442705.62779481</v>
      </c>
      <c r="S121" s="468">
        <f t="shared" si="40"/>
        <v>35442705.62779481</v>
      </c>
      <c r="T121" s="468">
        <f t="shared" si="40"/>
        <v>35442705.62779481</v>
      </c>
      <c r="U121" s="468">
        <f t="shared" si="40"/>
        <v>35442705.62779481</v>
      </c>
      <c r="V121" s="468">
        <f t="shared" si="40"/>
        <v>35442705.62779481</v>
      </c>
      <c r="W121" s="468">
        <f t="shared" si="40"/>
        <v>35442705.62779481</v>
      </c>
      <c r="X121" s="468">
        <f t="shared" si="40"/>
        <v>35442705.62779481</v>
      </c>
      <c r="Y121" s="468">
        <f t="shared" si="40"/>
        <v>35442705.62779481</v>
      </c>
      <c r="Z121" s="468">
        <f t="shared" si="40"/>
        <v>35442705.62779481</v>
      </c>
    </row>
    <row r="122" spans="1:26" x14ac:dyDescent="0.25">
      <c r="A122" s="9">
        <v>5</v>
      </c>
      <c r="B122" s="4" t="s">
        <v>120</v>
      </c>
      <c r="C122" s="443">
        <v>375</v>
      </c>
      <c r="D122" s="465">
        <v>1568.6196838746946</v>
      </c>
      <c r="E122" s="466">
        <f t="shared" si="29"/>
        <v>7.4789635042676814E-2</v>
      </c>
      <c r="F122" s="467">
        <f t="shared" si="30"/>
        <v>43993685.129155308</v>
      </c>
      <c r="G122" s="465"/>
      <c r="H122" s="472"/>
      <c r="I122" s="472"/>
      <c r="J122" s="472"/>
      <c r="K122" s="468">
        <f t="shared" ref="K122:Z122" si="41">$F122</f>
        <v>43993685.129155308</v>
      </c>
      <c r="L122" s="468">
        <f t="shared" si="41"/>
        <v>43993685.129155308</v>
      </c>
      <c r="M122" s="468">
        <f t="shared" si="41"/>
        <v>43993685.129155308</v>
      </c>
      <c r="N122" s="468">
        <f t="shared" si="41"/>
        <v>43993685.129155308</v>
      </c>
      <c r="O122" s="468">
        <f t="shared" si="41"/>
        <v>43993685.129155308</v>
      </c>
      <c r="P122" s="468">
        <f t="shared" si="41"/>
        <v>43993685.129155308</v>
      </c>
      <c r="Q122" s="468">
        <f t="shared" si="41"/>
        <v>43993685.129155308</v>
      </c>
      <c r="R122" s="468">
        <f t="shared" si="41"/>
        <v>43993685.129155308</v>
      </c>
      <c r="S122" s="468">
        <f t="shared" si="41"/>
        <v>43993685.129155308</v>
      </c>
      <c r="T122" s="468">
        <f t="shared" si="41"/>
        <v>43993685.129155308</v>
      </c>
      <c r="U122" s="468">
        <f t="shared" si="41"/>
        <v>43993685.129155308</v>
      </c>
      <c r="V122" s="468">
        <f t="shared" si="41"/>
        <v>43993685.129155308</v>
      </c>
      <c r="W122" s="468">
        <f t="shared" si="41"/>
        <v>43993685.129155308</v>
      </c>
      <c r="X122" s="468">
        <f t="shared" si="41"/>
        <v>43993685.129155308</v>
      </c>
      <c r="Y122" s="468">
        <f t="shared" si="41"/>
        <v>43993685.129155308</v>
      </c>
      <c r="Z122" s="468">
        <f t="shared" si="41"/>
        <v>43993685.129155308</v>
      </c>
    </row>
    <row r="123" spans="1:26" x14ac:dyDescent="0.25">
      <c r="A123" s="9">
        <v>6</v>
      </c>
      <c r="B123" s="4" t="s">
        <v>120</v>
      </c>
      <c r="C123" s="443">
        <v>375</v>
      </c>
      <c r="D123" s="465">
        <v>1557.5772658386841</v>
      </c>
      <c r="E123" s="466">
        <f t="shared" si="29"/>
        <v>7.4789635042676814E-2</v>
      </c>
      <c r="F123" s="467">
        <f t="shared" si="30"/>
        <v>43683988.223567098</v>
      </c>
      <c r="G123" s="465"/>
      <c r="H123" s="472"/>
      <c r="I123" s="472"/>
      <c r="J123" s="472"/>
      <c r="K123" s="472"/>
      <c r="L123" s="468">
        <f t="shared" ref="L123:Z126" si="42">$F123</f>
        <v>43683988.223567098</v>
      </c>
      <c r="M123" s="468">
        <f t="shared" si="42"/>
        <v>43683988.223567098</v>
      </c>
      <c r="N123" s="468">
        <f t="shared" si="42"/>
        <v>43683988.223567098</v>
      </c>
      <c r="O123" s="468">
        <f t="shared" si="42"/>
        <v>43683988.223567098</v>
      </c>
      <c r="P123" s="468">
        <f t="shared" si="42"/>
        <v>43683988.223567098</v>
      </c>
      <c r="Q123" s="468">
        <f t="shared" si="42"/>
        <v>43683988.223567098</v>
      </c>
      <c r="R123" s="468">
        <f t="shared" si="42"/>
        <v>43683988.223567098</v>
      </c>
      <c r="S123" s="468">
        <f t="shared" si="42"/>
        <v>43683988.223567098</v>
      </c>
      <c r="T123" s="468">
        <f t="shared" si="42"/>
        <v>43683988.223567098</v>
      </c>
      <c r="U123" s="468">
        <f t="shared" si="42"/>
        <v>43683988.223567098</v>
      </c>
      <c r="V123" s="468">
        <f t="shared" si="42"/>
        <v>43683988.223567098</v>
      </c>
      <c r="W123" s="468">
        <f t="shared" si="42"/>
        <v>43683988.223567098</v>
      </c>
      <c r="X123" s="468">
        <f t="shared" si="42"/>
        <v>43683988.223567098</v>
      </c>
      <c r="Y123" s="468">
        <f t="shared" si="42"/>
        <v>43683988.223567098</v>
      </c>
      <c r="Z123" s="468">
        <f t="shared" si="42"/>
        <v>43683988.223567098</v>
      </c>
    </row>
    <row r="124" spans="1:26" x14ac:dyDescent="0.25">
      <c r="B124" s="4" t="s">
        <v>119</v>
      </c>
      <c r="C124" s="443">
        <f>G98</f>
        <v>20</v>
      </c>
      <c r="D124" s="465">
        <f>G106</f>
        <v>3497.3511982280797</v>
      </c>
      <c r="E124" s="466">
        <f t="shared" si="29"/>
        <v>7.4789635042676814E-2</v>
      </c>
      <c r="F124" s="467">
        <f t="shared" si="30"/>
        <v>5231312.3946309304</v>
      </c>
      <c r="G124" s="468">
        <f t="shared" ref="G124:K126" si="43">$F124</f>
        <v>5231312.3946309304</v>
      </c>
      <c r="H124" s="468">
        <f t="shared" si="43"/>
        <v>5231312.3946309304</v>
      </c>
      <c r="I124" s="468">
        <f t="shared" si="43"/>
        <v>5231312.3946309304</v>
      </c>
      <c r="J124" s="468">
        <f t="shared" si="43"/>
        <v>5231312.3946309304</v>
      </c>
      <c r="K124" s="468">
        <f t="shared" si="43"/>
        <v>5231312.3946309304</v>
      </c>
      <c r="L124" s="468">
        <f t="shared" si="42"/>
        <v>5231312.3946309304</v>
      </c>
      <c r="M124" s="468">
        <f t="shared" si="42"/>
        <v>5231312.3946309304</v>
      </c>
      <c r="N124" s="468">
        <f t="shared" si="42"/>
        <v>5231312.3946309304</v>
      </c>
      <c r="O124" s="468">
        <f t="shared" si="42"/>
        <v>5231312.3946309304</v>
      </c>
      <c r="P124" s="468">
        <f t="shared" si="42"/>
        <v>5231312.3946309304</v>
      </c>
      <c r="Q124" s="468">
        <f t="shared" si="42"/>
        <v>5231312.3946309304</v>
      </c>
      <c r="R124" s="468">
        <f t="shared" si="42"/>
        <v>5231312.3946309304</v>
      </c>
      <c r="S124" s="468">
        <f t="shared" si="42"/>
        <v>5231312.3946309304</v>
      </c>
      <c r="T124" s="468">
        <f t="shared" si="42"/>
        <v>5231312.3946309304</v>
      </c>
      <c r="U124" s="468">
        <f t="shared" si="42"/>
        <v>5231312.3946309304</v>
      </c>
      <c r="V124" s="468">
        <f t="shared" si="42"/>
        <v>5231312.3946309304</v>
      </c>
      <c r="W124" s="468">
        <f t="shared" si="42"/>
        <v>5231312.3946309304</v>
      </c>
      <c r="X124" s="468">
        <f t="shared" si="42"/>
        <v>5231312.3946309304</v>
      </c>
      <c r="Y124" s="468">
        <f t="shared" si="42"/>
        <v>5231312.3946309304</v>
      </c>
      <c r="Z124" s="468">
        <f t="shared" si="42"/>
        <v>5231312.3946309304</v>
      </c>
    </row>
    <row r="125" spans="1:26" x14ac:dyDescent="0.25">
      <c r="B125" s="4" t="s">
        <v>118</v>
      </c>
      <c r="C125" s="443">
        <f>G99</f>
        <v>20</v>
      </c>
      <c r="D125" s="465">
        <f>G107</f>
        <v>3524.8244990782609</v>
      </c>
      <c r="E125" s="466">
        <f t="shared" si="29"/>
        <v>7.4789635042676814E-2</v>
      </c>
      <c r="F125" s="467">
        <f t="shared" si="30"/>
        <v>5272406.7575109843</v>
      </c>
      <c r="G125" s="468">
        <f t="shared" si="43"/>
        <v>5272406.7575109843</v>
      </c>
      <c r="H125" s="468">
        <f t="shared" si="43"/>
        <v>5272406.7575109843</v>
      </c>
      <c r="I125" s="468">
        <f t="shared" si="43"/>
        <v>5272406.7575109843</v>
      </c>
      <c r="J125" s="468">
        <f t="shared" si="43"/>
        <v>5272406.7575109843</v>
      </c>
      <c r="K125" s="468">
        <f t="shared" si="43"/>
        <v>5272406.7575109843</v>
      </c>
      <c r="L125" s="468">
        <f t="shared" si="42"/>
        <v>5272406.7575109843</v>
      </c>
      <c r="M125" s="468">
        <f t="shared" si="42"/>
        <v>5272406.7575109843</v>
      </c>
      <c r="N125" s="468">
        <f t="shared" si="42"/>
        <v>5272406.7575109843</v>
      </c>
      <c r="O125" s="468">
        <f t="shared" si="42"/>
        <v>5272406.7575109843</v>
      </c>
      <c r="P125" s="468">
        <f t="shared" si="42"/>
        <v>5272406.7575109843</v>
      </c>
      <c r="Q125" s="468">
        <f t="shared" si="42"/>
        <v>5272406.7575109843</v>
      </c>
      <c r="R125" s="468">
        <f t="shared" si="42"/>
        <v>5272406.7575109843</v>
      </c>
      <c r="S125" s="468">
        <f t="shared" si="42"/>
        <v>5272406.7575109843</v>
      </c>
      <c r="T125" s="468">
        <f t="shared" si="42"/>
        <v>5272406.7575109843</v>
      </c>
      <c r="U125" s="468">
        <f t="shared" si="42"/>
        <v>5272406.7575109843</v>
      </c>
      <c r="V125" s="468">
        <f t="shared" si="42"/>
        <v>5272406.7575109843</v>
      </c>
      <c r="W125" s="468">
        <f t="shared" si="42"/>
        <v>5272406.7575109843</v>
      </c>
      <c r="X125" s="468">
        <f t="shared" si="42"/>
        <v>5272406.7575109843</v>
      </c>
      <c r="Y125" s="468">
        <f t="shared" si="42"/>
        <v>5272406.7575109843</v>
      </c>
      <c r="Z125" s="468">
        <f t="shared" si="42"/>
        <v>5272406.7575109843</v>
      </c>
    </row>
    <row r="126" spans="1:26" x14ac:dyDescent="0.25">
      <c r="B126" s="4" t="s">
        <v>84</v>
      </c>
      <c r="C126" s="443">
        <f>G100</f>
        <v>650</v>
      </c>
      <c r="D126" s="465">
        <f>G108</f>
        <v>1600.2189011783721</v>
      </c>
      <c r="E126" s="466">
        <f t="shared" si="29"/>
        <v>7.4789635042676814E-2</v>
      </c>
      <c r="F126" s="467">
        <f t="shared" si="30"/>
        <v>77791861.94489044</v>
      </c>
      <c r="G126" s="468">
        <f t="shared" si="43"/>
        <v>77791861.94489044</v>
      </c>
      <c r="H126" s="468">
        <f t="shared" si="43"/>
        <v>77791861.94489044</v>
      </c>
      <c r="I126" s="468">
        <f t="shared" si="43"/>
        <v>77791861.94489044</v>
      </c>
      <c r="J126" s="468">
        <f t="shared" si="43"/>
        <v>77791861.94489044</v>
      </c>
      <c r="K126" s="468">
        <f t="shared" si="43"/>
        <v>77791861.94489044</v>
      </c>
      <c r="L126" s="468">
        <f t="shared" si="42"/>
        <v>77791861.94489044</v>
      </c>
      <c r="M126" s="468">
        <f t="shared" si="42"/>
        <v>77791861.94489044</v>
      </c>
      <c r="N126" s="468">
        <f t="shared" si="42"/>
        <v>77791861.94489044</v>
      </c>
      <c r="O126" s="468">
        <f t="shared" si="42"/>
        <v>77791861.94489044</v>
      </c>
      <c r="P126" s="468">
        <f t="shared" si="42"/>
        <v>77791861.94489044</v>
      </c>
      <c r="Q126" s="468">
        <f t="shared" si="42"/>
        <v>77791861.94489044</v>
      </c>
      <c r="R126" s="468">
        <f t="shared" si="42"/>
        <v>77791861.94489044</v>
      </c>
      <c r="S126" s="468">
        <f t="shared" si="42"/>
        <v>77791861.94489044</v>
      </c>
      <c r="T126" s="468">
        <f t="shared" si="42"/>
        <v>77791861.94489044</v>
      </c>
      <c r="U126" s="468">
        <f t="shared" si="42"/>
        <v>77791861.94489044</v>
      </c>
      <c r="V126" s="468">
        <f t="shared" si="42"/>
        <v>77791861.94489044</v>
      </c>
      <c r="W126" s="468">
        <f t="shared" si="42"/>
        <v>77791861.94489044</v>
      </c>
      <c r="X126" s="468">
        <f t="shared" si="42"/>
        <v>77791861.94489044</v>
      </c>
      <c r="Y126" s="468">
        <f t="shared" si="42"/>
        <v>77791861.94489044</v>
      </c>
      <c r="Z126" s="468">
        <f t="shared" si="42"/>
        <v>77791861.94489044</v>
      </c>
    </row>
    <row r="127" spans="1:26" x14ac:dyDescent="0.25">
      <c r="B127" s="4"/>
      <c r="C127" s="4"/>
      <c r="D127" s="4"/>
      <c r="E127" s="4"/>
      <c r="F127" s="4"/>
      <c r="G127" s="4"/>
    </row>
    <row r="128" spans="1:26" x14ac:dyDescent="0.25">
      <c r="B128" s="2" t="s">
        <v>117</v>
      </c>
      <c r="C128" s="4"/>
      <c r="D128" s="4"/>
      <c r="E128" s="4"/>
      <c r="F128" s="4"/>
      <c r="G128" s="4"/>
    </row>
    <row r="129" spans="2:31" x14ac:dyDescent="0.25">
      <c r="B129" s="2" t="s">
        <v>43</v>
      </c>
      <c r="C129" s="4"/>
      <c r="D129" s="4"/>
      <c r="E129" s="4"/>
      <c r="F129" s="4"/>
      <c r="G129" s="235">
        <f t="shared" ref="G129:Z129" si="44">G2</f>
        <v>2030</v>
      </c>
      <c r="H129" s="235">
        <f t="shared" si="44"/>
        <v>2031</v>
      </c>
      <c r="I129" s="235">
        <f t="shared" si="44"/>
        <v>2032</v>
      </c>
      <c r="J129" s="235">
        <f t="shared" si="44"/>
        <v>2033</v>
      </c>
      <c r="K129" s="235">
        <f t="shared" si="44"/>
        <v>2034</v>
      </c>
      <c r="L129" s="235">
        <f t="shared" si="44"/>
        <v>2035</v>
      </c>
      <c r="M129" s="235">
        <f t="shared" si="44"/>
        <v>2036</v>
      </c>
      <c r="N129" s="235">
        <f t="shared" si="44"/>
        <v>2037</v>
      </c>
      <c r="O129" s="235">
        <f t="shared" si="44"/>
        <v>2038</v>
      </c>
      <c r="P129" s="235">
        <f t="shared" si="44"/>
        <v>2039</v>
      </c>
      <c r="Q129" s="235">
        <f t="shared" si="44"/>
        <v>2040</v>
      </c>
      <c r="R129" s="235">
        <f t="shared" si="44"/>
        <v>2041</v>
      </c>
      <c r="S129" s="235">
        <f t="shared" si="44"/>
        <v>2042</v>
      </c>
      <c r="T129" s="235">
        <f t="shared" si="44"/>
        <v>2043</v>
      </c>
      <c r="U129" s="235">
        <f t="shared" si="44"/>
        <v>2044</v>
      </c>
      <c r="V129" s="235">
        <f t="shared" si="44"/>
        <v>2045</v>
      </c>
      <c r="W129" s="235">
        <f t="shared" si="44"/>
        <v>2046</v>
      </c>
      <c r="X129" s="235">
        <f t="shared" si="44"/>
        <v>2047</v>
      </c>
      <c r="Y129" s="235">
        <f t="shared" si="44"/>
        <v>2048</v>
      </c>
      <c r="Z129" s="235">
        <f t="shared" si="44"/>
        <v>2049</v>
      </c>
      <c r="AA129" s="235"/>
      <c r="AB129" s="235"/>
      <c r="AC129" s="235"/>
      <c r="AD129" s="235"/>
      <c r="AE129" s="235"/>
    </row>
    <row r="130" spans="2:31" x14ac:dyDescent="0.25">
      <c r="B130" s="4" t="s">
        <v>44</v>
      </c>
      <c r="C130" s="4"/>
      <c r="D130" s="4"/>
      <c r="E130" s="4"/>
      <c r="F130" s="4"/>
      <c r="G130" s="5">
        <f t="shared" ref="G130:Z130" si="45">SUM(G88:G91)</f>
        <v>62054210.131197676</v>
      </c>
      <c r="H130" s="5">
        <f t="shared" si="45"/>
        <v>121792005.12922843</v>
      </c>
      <c r="I130" s="5">
        <f t="shared" si="45"/>
        <v>161342647.51917401</v>
      </c>
      <c r="J130" s="5">
        <f t="shared" si="45"/>
        <v>200618735.63371146</v>
      </c>
      <c r="K130" s="5">
        <f t="shared" si="45"/>
        <v>249370652.93262294</v>
      </c>
      <c r="L130" s="5">
        <f t="shared" si="45"/>
        <v>297779377.38727421</v>
      </c>
      <c r="M130" s="5">
        <f t="shared" si="45"/>
        <v>297779377.38727421</v>
      </c>
      <c r="N130" s="5">
        <f t="shared" si="45"/>
        <v>297779377.38727421</v>
      </c>
      <c r="O130" s="5">
        <f t="shared" si="45"/>
        <v>297779377.38727421</v>
      </c>
      <c r="P130" s="5">
        <f t="shared" si="45"/>
        <v>297779377.38727421</v>
      </c>
      <c r="Q130" s="5">
        <f t="shared" si="45"/>
        <v>297779377.38727421</v>
      </c>
      <c r="R130" s="5">
        <f t="shared" si="45"/>
        <v>297779377.38727421</v>
      </c>
      <c r="S130" s="5">
        <f t="shared" si="45"/>
        <v>297779377.38727421</v>
      </c>
      <c r="T130" s="5">
        <f t="shared" si="45"/>
        <v>297779377.38727421</v>
      </c>
      <c r="U130" s="5">
        <f t="shared" si="45"/>
        <v>297779377.38727421</v>
      </c>
      <c r="V130" s="5">
        <f t="shared" si="45"/>
        <v>297779377.38727421</v>
      </c>
      <c r="W130" s="5">
        <f t="shared" si="45"/>
        <v>297779377.38727421</v>
      </c>
      <c r="X130" s="5">
        <f t="shared" si="45"/>
        <v>297779377.38727421</v>
      </c>
      <c r="Y130" s="5">
        <f t="shared" si="45"/>
        <v>297779377.38727421</v>
      </c>
      <c r="Z130" s="5">
        <f t="shared" si="45"/>
        <v>297779377.38727421</v>
      </c>
      <c r="AA130" s="5"/>
      <c r="AB130" s="5"/>
      <c r="AC130" s="5"/>
      <c r="AD130" s="5"/>
      <c r="AE130" s="5"/>
    </row>
    <row r="131" spans="2:31" x14ac:dyDescent="0.25">
      <c r="B131" s="4" t="s">
        <v>45</v>
      </c>
      <c r="C131" s="4"/>
      <c r="D131" s="4"/>
      <c r="E131" s="4"/>
      <c r="F131" s="4"/>
      <c r="G131" s="6">
        <f t="shared" ref="G131:Z131" si="46">SUM(G112:G125)</f>
        <v>185640469.14295405</v>
      </c>
      <c r="H131" s="6">
        <f t="shared" si="46"/>
        <v>364351184.5892325</v>
      </c>
      <c r="I131" s="6">
        <f t="shared" si="46"/>
        <v>482670308.99113071</v>
      </c>
      <c r="J131" s="6">
        <f t="shared" si="46"/>
        <v>600168080.83074164</v>
      </c>
      <c r="K131" s="6">
        <f t="shared" si="46"/>
        <v>746013604.92739582</v>
      </c>
      <c r="L131" s="6">
        <f t="shared" si="46"/>
        <v>890832438.3211906</v>
      </c>
      <c r="M131" s="6">
        <f t="shared" si="46"/>
        <v>890832438.3211906</v>
      </c>
      <c r="N131" s="6">
        <f t="shared" si="46"/>
        <v>890832438.3211906</v>
      </c>
      <c r="O131" s="6">
        <f t="shared" si="46"/>
        <v>890832438.3211906</v>
      </c>
      <c r="P131" s="6">
        <f t="shared" si="46"/>
        <v>890832438.3211906</v>
      </c>
      <c r="Q131" s="6">
        <f t="shared" si="46"/>
        <v>890832438.3211906</v>
      </c>
      <c r="R131" s="6">
        <f t="shared" si="46"/>
        <v>890832438.3211906</v>
      </c>
      <c r="S131" s="6">
        <f t="shared" si="46"/>
        <v>890832438.3211906</v>
      </c>
      <c r="T131" s="6">
        <f t="shared" si="46"/>
        <v>890832438.3211906</v>
      </c>
      <c r="U131" s="6">
        <f t="shared" si="46"/>
        <v>890832438.3211906</v>
      </c>
      <c r="V131" s="6">
        <f t="shared" si="46"/>
        <v>890832438.3211906</v>
      </c>
      <c r="W131" s="6">
        <f t="shared" si="46"/>
        <v>890832438.3211906</v>
      </c>
      <c r="X131" s="6">
        <f t="shared" si="46"/>
        <v>890832438.3211906</v>
      </c>
      <c r="Y131" s="6">
        <f t="shared" si="46"/>
        <v>890832438.3211906</v>
      </c>
      <c r="Z131" s="6">
        <f t="shared" si="46"/>
        <v>890832438.3211906</v>
      </c>
      <c r="AA131" s="6"/>
      <c r="AB131" s="6"/>
      <c r="AC131" s="6"/>
      <c r="AD131" s="6"/>
      <c r="AE131" s="6"/>
    </row>
    <row r="132" spans="2:31" x14ac:dyDescent="0.25">
      <c r="B132" s="4"/>
      <c r="C132" s="473" t="s">
        <v>116</v>
      </c>
      <c r="D132" s="473" t="s">
        <v>115</v>
      </c>
      <c r="E132" s="4"/>
      <c r="F132" s="4"/>
      <c r="G132" s="4"/>
    </row>
    <row r="133" spans="2:31" x14ac:dyDescent="0.25">
      <c r="B133" s="2" t="s">
        <v>84</v>
      </c>
      <c r="C133" s="16">
        <v>650</v>
      </c>
      <c r="D133" s="474">
        <f>(C133/$G$96)</f>
        <v>0.6310679611650486</v>
      </c>
      <c r="E133" s="4"/>
      <c r="F133" s="4"/>
    </row>
    <row r="134" spans="2:31" x14ac:dyDescent="0.25">
      <c r="B134" s="4" t="s">
        <v>44</v>
      </c>
      <c r="G134" s="24">
        <f t="shared" ref="G134:Z134" si="47">G12*G48*$D$133</f>
        <v>26003.557144148552</v>
      </c>
      <c r="H134" s="24">
        <f t="shared" si="47"/>
        <v>26003.557144148552</v>
      </c>
      <c r="I134" s="24">
        <f t="shared" si="47"/>
        <v>26003.557144148552</v>
      </c>
      <c r="J134" s="24">
        <f t="shared" si="47"/>
        <v>26003.557144148552</v>
      </c>
      <c r="K134" s="24">
        <f t="shared" si="47"/>
        <v>26003.557144148552</v>
      </c>
      <c r="L134" s="24">
        <f t="shared" si="47"/>
        <v>26003.557144148552</v>
      </c>
      <c r="M134" s="24">
        <f t="shared" si="47"/>
        <v>26003.557144148552</v>
      </c>
      <c r="N134" s="24">
        <f t="shared" si="47"/>
        <v>26003.557144148552</v>
      </c>
      <c r="O134" s="24">
        <f t="shared" si="47"/>
        <v>26003.557144148552</v>
      </c>
      <c r="P134" s="24">
        <f t="shared" si="47"/>
        <v>26003.557144148552</v>
      </c>
      <c r="Q134" s="24">
        <f t="shared" si="47"/>
        <v>26003.557144148552</v>
      </c>
      <c r="R134" s="24">
        <f t="shared" si="47"/>
        <v>26003.557144148552</v>
      </c>
      <c r="S134" s="24">
        <f t="shared" si="47"/>
        <v>26003.557144148552</v>
      </c>
      <c r="T134" s="24">
        <f t="shared" si="47"/>
        <v>26003.557144148552</v>
      </c>
      <c r="U134" s="24">
        <f t="shared" si="47"/>
        <v>26003.557144148552</v>
      </c>
      <c r="V134" s="24">
        <f t="shared" si="47"/>
        <v>26003.557144148552</v>
      </c>
      <c r="W134" s="24">
        <f t="shared" si="47"/>
        <v>26003.557144148552</v>
      </c>
      <c r="X134" s="24">
        <f t="shared" si="47"/>
        <v>26003.557144148552</v>
      </c>
      <c r="Y134" s="24">
        <f t="shared" si="47"/>
        <v>26003.557144148552</v>
      </c>
      <c r="Z134" s="24">
        <f t="shared" si="47"/>
        <v>26003.557144148552</v>
      </c>
    </row>
    <row r="135" spans="2:31" x14ac:dyDescent="0.25">
      <c r="B135" s="4" t="s">
        <v>45</v>
      </c>
      <c r="G135" s="475">
        <f t="shared" ref="G135:Z135" si="48">G126</f>
        <v>77791861.94489044</v>
      </c>
      <c r="H135" s="475">
        <f t="shared" si="48"/>
        <v>77791861.94489044</v>
      </c>
      <c r="I135" s="475">
        <f t="shared" si="48"/>
        <v>77791861.94489044</v>
      </c>
      <c r="J135" s="475">
        <f t="shared" si="48"/>
        <v>77791861.94489044</v>
      </c>
      <c r="K135" s="475">
        <f t="shared" si="48"/>
        <v>77791861.94489044</v>
      </c>
      <c r="L135" s="475">
        <f t="shared" si="48"/>
        <v>77791861.94489044</v>
      </c>
      <c r="M135" s="475">
        <f t="shared" si="48"/>
        <v>77791861.94489044</v>
      </c>
      <c r="N135" s="475">
        <f t="shared" si="48"/>
        <v>77791861.94489044</v>
      </c>
      <c r="O135" s="475">
        <f t="shared" si="48"/>
        <v>77791861.94489044</v>
      </c>
      <c r="P135" s="475">
        <f t="shared" si="48"/>
        <v>77791861.94489044</v>
      </c>
      <c r="Q135" s="475">
        <f t="shared" si="48"/>
        <v>77791861.94489044</v>
      </c>
      <c r="R135" s="475">
        <f t="shared" si="48"/>
        <v>77791861.94489044</v>
      </c>
      <c r="S135" s="475">
        <f t="shared" si="48"/>
        <v>77791861.94489044</v>
      </c>
      <c r="T135" s="475">
        <f t="shared" si="48"/>
        <v>77791861.94489044</v>
      </c>
      <c r="U135" s="475">
        <f t="shared" si="48"/>
        <v>77791861.94489044</v>
      </c>
      <c r="V135" s="475">
        <f t="shared" si="48"/>
        <v>77791861.94489044</v>
      </c>
      <c r="W135" s="475">
        <f t="shared" si="48"/>
        <v>77791861.94489044</v>
      </c>
      <c r="X135" s="475">
        <f t="shared" si="48"/>
        <v>77791861.94489044</v>
      </c>
      <c r="Y135" s="475">
        <f t="shared" si="48"/>
        <v>77791861.94489044</v>
      </c>
      <c r="Z135" s="475">
        <f t="shared" si="48"/>
        <v>77791861.94489044</v>
      </c>
    </row>
    <row r="136" spans="2:31" x14ac:dyDescent="0.25">
      <c r="B136" s="4"/>
      <c r="F136" s="10" t="s">
        <v>12</v>
      </c>
      <c r="G136" s="24">
        <f>SUM(G134:Z135)</f>
        <v>1556357310.0406926</v>
      </c>
      <c r="H136" s="475"/>
      <c r="I136" s="475"/>
      <c r="J136" s="475"/>
      <c r="K136" s="475"/>
      <c r="L136" s="475"/>
      <c r="M136" s="475"/>
      <c r="N136" s="475"/>
      <c r="O136" s="475"/>
      <c r="P136" s="475"/>
      <c r="Q136" s="475"/>
      <c r="R136" s="475"/>
      <c r="S136" s="475"/>
      <c r="T136" s="475"/>
      <c r="U136" s="475"/>
      <c r="V136" s="475"/>
      <c r="W136" s="475"/>
      <c r="X136" s="475"/>
      <c r="Y136" s="475"/>
      <c r="Z136" s="475"/>
    </row>
    <row r="137" spans="2:31" x14ac:dyDescent="0.25">
      <c r="B137" s="4"/>
      <c r="G137" s="475"/>
      <c r="H137" s="475"/>
      <c r="I137" s="475"/>
      <c r="J137" s="475"/>
      <c r="K137" s="475"/>
      <c r="L137" s="475"/>
      <c r="M137" s="475"/>
      <c r="N137" s="475"/>
      <c r="O137" s="475"/>
      <c r="P137" s="475"/>
      <c r="Q137" s="475"/>
      <c r="R137" s="475"/>
      <c r="S137" s="475"/>
      <c r="T137" s="475"/>
      <c r="U137" s="475"/>
      <c r="V137" s="475"/>
      <c r="W137" s="475"/>
      <c r="X137" s="475"/>
      <c r="Y137" s="475"/>
      <c r="Z137" s="475"/>
    </row>
    <row r="138" spans="2:31" x14ac:dyDescent="0.25">
      <c r="B138" s="4"/>
      <c r="G138" s="475"/>
      <c r="H138" s="475"/>
      <c r="I138" s="475"/>
      <c r="J138" s="475"/>
      <c r="K138" s="475"/>
      <c r="L138" s="475"/>
      <c r="M138" s="475"/>
      <c r="N138" s="475"/>
      <c r="O138" s="475"/>
      <c r="P138" s="475"/>
      <c r="Q138" s="475"/>
      <c r="R138" s="475"/>
      <c r="S138" s="475"/>
      <c r="T138" s="475"/>
      <c r="U138" s="475"/>
      <c r="V138" s="475"/>
      <c r="W138" s="475"/>
      <c r="X138" s="475"/>
      <c r="Y138" s="475"/>
      <c r="Z138" s="475"/>
    </row>
    <row r="139" spans="2:31" x14ac:dyDescent="0.25">
      <c r="B139" s="4" t="s">
        <v>114</v>
      </c>
      <c r="G139" s="475">
        <f t="shared" ref="G139:Z139" si="49">G112*$D$133</f>
        <v>77791861.944890454</v>
      </c>
      <c r="H139" s="475">
        <f t="shared" si="49"/>
        <v>77791861.944890454</v>
      </c>
      <c r="I139" s="475">
        <f t="shared" si="49"/>
        <v>77791861.944890454</v>
      </c>
      <c r="J139" s="475">
        <f t="shared" si="49"/>
        <v>77791861.944890454</v>
      </c>
      <c r="K139" s="475">
        <f t="shared" si="49"/>
        <v>77791861.944890454</v>
      </c>
      <c r="L139" s="475">
        <f t="shared" si="49"/>
        <v>77791861.944890454</v>
      </c>
      <c r="M139" s="475">
        <f t="shared" si="49"/>
        <v>77791861.944890454</v>
      </c>
      <c r="N139" s="475">
        <f t="shared" si="49"/>
        <v>77791861.944890454</v>
      </c>
      <c r="O139" s="475">
        <f t="shared" si="49"/>
        <v>77791861.944890454</v>
      </c>
      <c r="P139" s="475">
        <f t="shared" si="49"/>
        <v>77791861.944890454</v>
      </c>
      <c r="Q139" s="475">
        <f t="shared" si="49"/>
        <v>77791861.944890454</v>
      </c>
      <c r="R139" s="475">
        <f t="shared" si="49"/>
        <v>77791861.944890454</v>
      </c>
      <c r="S139" s="475">
        <f t="shared" si="49"/>
        <v>77791861.944890454</v>
      </c>
      <c r="T139" s="475">
        <f t="shared" si="49"/>
        <v>77791861.944890454</v>
      </c>
      <c r="U139" s="475">
        <f t="shared" si="49"/>
        <v>77791861.944890454</v>
      </c>
      <c r="V139" s="475">
        <f t="shared" si="49"/>
        <v>77791861.944890454</v>
      </c>
      <c r="W139" s="475">
        <f t="shared" si="49"/>
        <v>77791861.944890454</v>
      </c>
      <c r="X139" s="475">
        <f t="shared" si="49"/>
        <v>77791861.944890454</v>
      </c>
      <c r="Y139" s="475">
        <f t="shared" si="49"/>
        <v>77791861.944890454</v>
      </c>
      <c r="Z139" s="475">
        <f t="shared" si="49"/>
        <v>77791861.944890454</v>
      </c>
    </row>
    <row r="140" spans="2:31" x14ac:dyDescent="0.25">
      <c r="B140" s="9" t="s">
        <v>113</v>
      </c>
      <c r="G140" s="475">
        <f t="shared" ref="G140:Z140" si="50">G135-G139</f>
        <v>0</v>
      </c>
      <c r="H140" s="475">
        <f t="shared" si="50"/>
        <v>0</v>
      </c>
      <c r="I140" s="475">
        <f t="shared" si="50"/>
        <v>0</v>
      </c>
      <c r="J140" s="475">
        <f t="shared" si="50"/>
        <v>0</v>
      </c>
      <c r="K140" s="475">
        <f t="shared" si="50"/>
        <v>0</v>
      </c>
      <c r="L140" s="475">
        <f t="shared" si="50"/>
        <v>0</v>
      </c>
      <c r="M140" s="475">
        <f t="shared" si="50"/>
        <v>0</v>
      </c>
      <c r="N140" s="475">
        <f t="shared" si="50"/>
        <v>0</v>
      </c>
      <c r="O140" s="475">
        <f t="shared" si="50"/>
        <v>0</v>
      </c>
      <c r="P140" s="475">
        <f t="shared" si="50"/>
        <v>0</v>
      </c>
      <c r="Q140" s="475">
        <f t="shared" si="50"/>
        <v>0</v>
      </c>
      <c r="R140" s="475">
        <f t="shared" si="50"/>
        <v>0</v>
      </c>
      <c r="S140" s="475">
        <f t="shared" si="50"/>
        <v>0</v>
      </c>
      <c r="T140" s="475">
        <f t="shared" si="50"/>
        <v>0</v>
      </c>
      <c r="U140" s="475">
        <f t="shared" si="50"/>
        <v>0</v>
      </c>
      <c r="V140" s="475">
        <f t="shared" si="50"/>
        <v>0</v>
      </c>
      <c r="W140" s="475">
        <f t="shared" si="50"/>
        <v>0</v>
      </c>
      <c r="X140" s="475">
        <f t="shared" si="50"/>
        <v>0</v>
      </c>
      <c r="Y140" s="475">
        <f t="shared" si="50"/>
        <v>0</v>
      </c>
      <c r="Z140" s="475">
        <f t="shared" si="50"/>
        <v>0</v>
      </c>
    </row>
  </sheetData>
  <sheetProtection selectLockedCells="1"/>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9DA87-301E-49C8-B537-B1D74F56174F}">
  <sheetPr codeName="Sheet39">
    <tabColor theme="5" tint="0.39997558519241921"/>
  </sheetPr>
  <dimension ref="A2:AF131"/>
  <sheetViews>
    <sheetView zoomScale="85" zoomScaleNormal="85" workbookViewId="0">
      <pane xSplit="4" ySplit="2" topLeftCell="E3" activePane="bottomRight" state="frozen"/>
      <selection pane="topRight"/>
      <selection pane="bottomLeft"/>
      <selection pane="bottomRight"/>
    </sheetView>
  </sheetViews>
  <sheetFormatPr defaultRowHeight="15" x14ac:dyDescent="0.25"/>
  <cols>
    <col min="1" max="1" width="3.5703125" style="3" customWidth="1"/>
    <col min="2" max="2" width="46" style="3" customWidth="1"/>
    <col min="3" max="3" width="32.28515625" style="3" customWidth="1"/>
    <col min="4" max="4" width="18.5703125" style="3" bestFit="1" customWidth="1"/>
    <col min="5" max="6" width="18.5703125" style="3" customWidth="1"/>
    <col min="7" max="27" width="22.42578125" style="3" customWidth="1"/>
    <col min="28" max="31" width="12.85546875" style="3" customWidth="1"/>
    <col min="32" max="16384" width="9.140625" style="3"/>
  </cols>
  <sheetData>
    <row r="2" spans="2:31" x14ac:dyDescent="0.25">
      <c r="B2" s="428" t="s">
        <v>144</v>
      </c>
      <c r="C2" s="429"/>
      <c r="D2" s="429"/>
      <c r="E2" s="429"/>
      <c r="F2" s="429"/>
      <c r="G2" s="430">
        <f t="shared" ref="G2:AE2" si="0">YEAR(Date_of_Operation)-1+G3</f>
        <v>2030</v>
      </c>
      <c r="H2" s="431">
        <f t="shared" si="0"/>
        <v>2031</v>
      </c>
      <c r="I2" s="431">
        <f t="shared" si="0"/>
        <v>2032</v>
      </c>
      <c r="J2" s="431">
        <f t="shared" si="0"/>
        <v>2033</v>
      </c>
      <c r="K2" s="431">
        <f t="shared" si="0"/>
        <v>2034</v>
      </c>
      <c r="L2" s="431">
        <f t="shared" si="0"/>
        <v>2035</v>
      </c>
      <c r="M2" s="431">
        <f t="shared" si="0"/>
        <v>2036</v>
      </c>
      <c r="N2" s="431">
        <f t="shared" si="0"/>
        <v>2037</v>
      </c>
      <c r="O2" s="431">
        <f t="shared" si="0"/>
        <v>2038</v>
      </c>
      <c r="P2" s="431">
        <f t="shared" si="0"/>
        <v>2039</v>
      </c>
      <c r="Q2" s="431">
        <f t="shared" si="0"/>
        <v>2040</v>
      </c>
      <c r="R2" s="431">
        <f t="shared" si="0"/>
        <v>2041</v>
      </c>
      <c r="S2" s="431">
        <f t="shared" si="0"/>
        <v>2042</v>
      </c>
      <c r="T2" s="431">
        <f t="shared" si="0"/>
        <v>2043</v>
      </c>
      <c r="U2" s="431">
        <f t="shared" si="0"/>
        <v>2044</v>
      </c>
      <c r="V2" s="431">
        <f t="shared" si="0"/>
        <v>2045</v>
      </c>
      <c r="W2" s="431">
        <f t="shared" si="0"/>
        <v>2046</v>
      </c>
      <c r="X2" s="431">
        <f t="shared" si="0"/>
        <v>2047</v>
      </c>
      <c r="Y2" s="431">
        <f t="shared" si="0"/>
        <v>2048</v>
      </c>
      <c r="Z2" s="431">
        <f t="shared" si="0"/>
        <v>2049</v>
      </c>
      <c r="AA2" s="431">
        <f t="shared" si="0"/>
        <v>2050</v>
      </c>
      <c r="AB2" s="431">
        <f t="shared" si="0"/>
        <v>2051</v>
      </c>
      <c r="AC2" s="431">
        <f t="shared" si="0"/>
        <v>2052</v>
      </c>
      <c r="AD2" s="431">
        <f t="shared" si="0"/>
        <v>2053</v>
      </c>
      <c r="AE2" s="432">
        <f t="shared" si="0"/>
        <v>2054</v>
      </c>
    </row>
    <row r="3" spans="2:31" s="183" customFormat="1" x14ac:dyDescent="0.25">
      <c r="B3" s="371" t="s">
        <v>143</v>
      </c>
      <c r="C3" s="175"/>
      <c r="D3" s="175"/>
      <c r="E3" s="175"/>
      <c r="F3" s="175"/>
      <c r="G3" s="433">
        <v>1</v>
      </c>
      <c r="H3" s="434">
        <v>2</v>
      </c>
      <c r="I3" s="434">
        <v>3</v>
      </c>
      <c r="J3" s="434">
        <v>4</v>
      </c>
      <c r="K3" s="434">
        <v>5</v>
      </c>
      <c r="L3" s="434">
        <v>6</v>
      </c>
      <c r="M3" s="434">
        <v>7</v>
      </c>
      <c r="N3" s="434">
        <v>8</v>
      </c>
      <c r="O3" s="434">
        <v>9</v>
      </c>
      <c r="P3" s="434">
        <v>10</v>
      </c>
      <c r="Q3" s="434">
        <v>11</v>
      </c>
      <c r="R3" s="434">
        <v>12</v>
      </c>
      <c r="S3" s="434">
        <v>13</v>
      </c>
      <c r="T3" s="434">
        <v>14</v>
      </c>
      <c r="U3" s="434">
        <v>15</v>
      </c>
      <c r="V3" s="434">
        <v>16</v>
      </c>
      <c r="W3" s="434">
        <v>17</v>
      </c>
      <c r="X3" s="434">
        <v>18</v>
      </c>
      <c r="Y3" s="434">
        <v>19</v>
      </c>
      <c r="Z3" s="434">
        <v>20</v>
      </c>
      <c r="AA3" s="434">
        <v>21</v>
      </c>
      <c r="AB3" s="434">
        <v>22</v>
      </c>
      <c r="AC3" s="434">
        <v>23</v>
      </c>
      <c r="AD3" s="434">
        <v>24</v>
      </c>
      <c r="AE3" s="435">
        <v>25</v>
      </c>
    </row>
    <row r="4" spans="2:31" ht="18.75" x14ac:dyDescent="0.3">
      <c r="B4" s="36" t="s">
        <v>142</v>
      </c>
      <c r="C4" s="31"/>
      <c r="D4" s="31"/>
      <c r="E4" s="31"/>
      <c r="F4" s="31"/>
    </row>
    <row r="5" spans="2:31" ht="15.75" x14ac:dyDescent="0.25">
      <c r="B5" s="35" t="s">
        <v>141</v>
      </c>
      <c r="C5" s="31"/>
      <c r="D5" s="31"/>
      <c r="E5" s="31"/>
      <c r="F5" s="31"/>
    </row>
    <row r="6" spans="2:31" x14ac:dyDescent="0.25">
      <c r="B6" s="4" t="s">
        <v>150</v>
      </c>
      <c r="C6" s="4"/>
      <c r="D6" s="4"/>
      <c r="E6" s="4"/>
      <c r="F6" s="4"/>
      <c r="G6" s="30">
        <f>Storage_Ann_Development!$B16</f>
        <v>557.86666666666667</v>
      </c>
      <c r="H6" s="30">
        <f>Storage_Ann_Development!$B16</f>
        <v>557.86666666666667</v>
      </c>
      <c r="I6" s="30">
        <f>Storage_Ann_Development!$B16</f>
        <v>557.86666666666667</v>
      </c>
      <c r="J6" s="30">
        <f>Storage_Ann_Development!$B16</f>
        <v>557.86666666666667</v>
      </c>
      <c r="K6" s="30">
        <f>Storage_Ann_Development!$B16</f>
        <v>557.86666666666667</v>
      </c>
      <c r="L6" s="30">
        <f>Storage_Ann_Development!$B16</f>
        <v>557.86666666666667</v>
      </c>
      <c r="M6" s="30">
        <f>Storage_Ann_Development!$B16</f>
        <v>557.86666666666667</v>
      </c>
      <c r="N6" s="30">
        <f>Storage_Ann_Development!$B16</f>
        <v>557.86666666666667</v>
      </c>
      <c r="O6" s="30">
        <f>Storage_Ann_Development!$B16</f>
        <v>557.86666666666667</v>
      </c>
      <c r="P6" s="30">
        <f>Storage_Ann_Development!$B16</f>
        <v>557.86666666666667</v>
      </c>
      <c r="Q6" s="30">
        <f>Storage_Ann_Development!$B16</f>
        <v>557.86666666666667</v>
      </c>
      <c r="R6" s="30">
        <f>Storage_Ann_Development!$B16</f>
        <v>557.86666666666667</v>
      </c>
      <c r="S6" s="30">
        <f>Storage_Ann_Development!$B16</f>
        <v>557.86666666666667</v>
      </c>
      <c r="T6" s="30">
        <f>Storage_Ann_Development!$B16</f>
        <v>557.86666666666667</v>
      </c>
      <c r="U6" s="30">
        <f>Storage_Ann_Development!$B16</f>
        <v>557.86666666666667</v>
      </c>
      <c r="V6" s="30">
        <f>Storage_Ann_Development!$B16</f>
        <v>557.86666666666667</v>
      </c>
      <c r="W6" s="30">
        <f>Storage_Ann_Development!$B16</f>
        <v>557.86666666666667</v>
      </c>
      <c r="X6" s="30">
        <f>Storage_Ann_Development!$B16</f>
        <v>557.86666666666667</v>
      </c>
      <c r="Y6" s="30">
        <f>Storage_Ann_Development!$B16</f>
        <v>557.86666666666667</v>
      </c>
      <c r="Z6" s="30">
        <f>Storage_Ann_Development!$B16</f>
        <v>557.86666666666667</v>
      </c>
      <c r="AA6" s="30">
        <f>Storage_Ann_Development!$B16</f>
        <v>557.86666666666667</v>
      </c>
      <c r="AB6" s="30">
        <f>Storage_Ann_Development!$B16</f>
        <v>557.86666666666667</v>
      </c>
      <c r="AC6" s="30">
        <f>Storage_Ann_Development!$B16</f>
        <v>557.86666666666667</v>
      </c>
      <c r="AD6" s="30">
        <f>Storage_Ann_Development!$B16</f>
        <v>557.86666666666667</v>
      </c>
      <c r="AE6" s="30">
        <f>Storage_Ann_Development!$B16</f>
        <v>557.86666666666667</v>
      </c>
    </row>
    <row r="7" spans="2:31" x14ac:dyDescent="0.25">
      <c r="B7" s="4" t="s">
        <v>149</v>
      </c>
      <c r="C7" s="4"/>
      <c r="D7" s="4"/>
      <c r="E7" s="4"/>
      <c r="F7" s="4"/>
      <c r="G7" s="30">
        <f>Storage_Ann_Development!$B17</f>
        <v>242.13333333333333</v>
      </c>
      <c r="H7" s="30">
        <f>Storage_Ann_Development!$B17</f>
        <v>242.13333333333333</v>
      </c>
      <c r="I7" s="30">
        <f>Storage_Ann_Development!$B17</f>
        <v>242.13333333333333</v>
      </c>
      <c r="J7" s="30">
        <f>Storage_Ann_Development!$B17</f>
        <v>242.13333333333333</v>
      </c>
      <c r="K7" s="30">
        <f>Storage_Ann_Development!$B17</f>
        <v>242.13333333333333</v>
      </c>
      <c r="L7" s="30">
        <f>Storage_Ann_Development!$B17</f>
        <v>242.13333333333333</v>
      </c>
      <c r="M7" s="30">
        <f>Storage_Ann_Development!$B17</f>
        <v>242.13333333333333</v>
      </c>
      <c r="N7" s="30">
        <f>Storage_Ann_Development!$B17</f>
        <v>242.13333333333333</v>
      </c>
      <c r="O7" s="30">
        <f>Storage_Ann_Development!$B17</f>
        <v>242.13333333333333</v>
      </c>
      <c r="P7" s="30">
        <f>Storage_Ann_Development!$B17</f>
        <v>242.13333333333333</v>
      </c>
      <c r="Q7" s="30">
        <f>Storage_Ann_Development!$B17</f>
        <v>242.13333333333333</v>
      </c>
      <c r="R7" s="30">
        <f>Storage_Ann_Development!$B17</f>
        <v>242.13333333333333</v>
      </c>
      <c r="S7" s="30">
        <f>Storage_Ann_Development!$B17</f>
        <v>242.13333333333333</v>
      </c>
      <c r="T7" s="30">
        <f>Storage_Ann_Development!$B17</f>
        <v>242.13333333333333</v>
      </c>
      <c r="U7" s="30">
        <f>Storage_Ann_Development!$B17</f>
        <v>242.13333333333333</v>
      </c>
      <c r="V7" s="30">
        <f>Storage_Ann_Development!$B17</f>
        <v>242.13333333333333</v>
      </c>
      <c r="W7" s="30">
        <f>Storage_Ann_Development!$B17</f>
        <v>242.13333333333333</v>
      </c>
      <c r="X7" s="30">
        <f>Storage_Ann_Development!$B17</f>
        <v>242.13333333333333</v>
      </c>
      <c r="Y7" s="30">
        <f>Storage_Ann_Development!$B17</f>
        <v>242.13333333333333</v>
      </c>
      <c r="Z7" s="30">
        <f>Storage_Ann_Development!$B17</f>
        <v>242.13333333333333</v>
      </c>
      <c r="AA7" s="30">
        <f>Storage_Ann_Development!$B17</f>
        <v>242.13333333333333</v>
      </c>
      <c r="AB7" s="30">
        <f>Storage_Ann_Development!$B17</f>
        <v>242.13333333333333</v>
      </c>
      <c r="AC7" s="30">
        <f>Storage_Ann_Development!$B17</f>
        <v>242.13333333333333</v>
      </c>
      <c r="AD7" s="30">
        <f>Storage_Ann_Development!$B17</f>
        <v>242.13333333333333</v>
      </c>
      <c r="AE7" s="30">
        <f>Storage_Ann_Development!$B17</f>
        <v>242.13333333333333</v>
      </c>
    </row>
    <row r="8" spans="2:31" x14ac:dyDescent="0.25">
      <c r="B8" s="4" t="s">
        <v>148</v>
      </c>
      <c r="C8" s="4"/>
      <c r="D8" s="4"/>
      <c r="E8" s="4"/>
      <c r="F8" s="4"/>
      <c r="G8" s="30">
        <f>Storage_Ann_Development!$B18</f>
        <v>139.46666666666667</v>
      </c>
      <c r="H8" s="30">
        <f>Storage_Ann_Development!$B18</f>
        <v>139.46666666666667</v>
      </c>
      <c r="I8" s="30">
        <f>Storage_Ann_Development!$B18</f>
        <v>139.46666666666667</v>
      </c>
      <c r="J8" s="30">
        <f>Storage_Ann_Development!$B18</f>
        <v>139.46666666666667</v>
      </c>
      <c r="K8" s="30">
        <f>Storage_Ann_Development!$B18</f>
        <v>139.46666666666667</v>
      </c>
      <c r="L8" s="30">
        <f>Storage_Ann_Development!$B18</f>
        <v>139.46666666666667</v>
      </c>
      <c r="M8" s="30">
        <f>Storage_Ann_Development!$B18</f>
        <v>139.46666666666667</v>
      </c>
      <c r="N8" s="30">
        <f>Storage_Ann_Development!$B18</f>
        <v>139.46666666666667</v>
      </c>
      <c r="O8" s="30">
        <f>Storage_Ann_Development!$B18</f>
        <v>139.46666666666667</v>
      </c>
      <c r="P8" s="30">
        <f>Storage_Ann_Development!$B18</f>
        <v>139.46666666666667</v>
      </c>
      <c r="Q8" s="30">
        <f>Storage_Ann_Development!$B18</f>
        <v>139.46666666666667</v>
      </c>
      <c r="R8" s="30">
        <f>Storage_Ann_Development!$B18</f>
        <v>139.46666666666667</v>
      </c>
      <c r="S8" s="30">
        <f>Storage_Ann_Development!$B18</f>
        <v>139.46666666666667</v>
      </c>
      <c r="T8" s="30">
        <f>Storage_Ann_Development!$B18</f>
        <v>139.46666666666667</v>
      </c>
      <c r="U8" s="30">
        <f>Storage_Ann_Development!$B18</f>
        <v>139.46666666666667</v>
      </c>
      <c r="V8" s="30">
        <f>Storage_Ann_Development!$B18</f>
        <v>139.46666666666667</v>
      </c>
      <c r="W8" s="30">
        <f>Storage_Ann_Development!$B18</f>
        <v>139.46666666666667</v>
      </c>
      <c r="X8" s="30">
        <f>Storage_Ann_Development!$B18</f>
        <v>139.46666666666667</v>
      </c>
      <c r="Y8" s="30">
        <f>Storage_Ann_Development!$B18</f>
        <v>139.46666666666667</v>
      </c>
      <c r="Z8" s="30">
        <f>Storage_Ann_Development!$B18</f>
        <v>139.46666666666667</v>
      </c>
      <c r="AA8" s="30">
        <f>Storage_Ann_Development!$B18</f>
        <v>139.46666666666667</v>
      </c>
      <c r="AB8" s="30">
        <f>Storage_Ann_Development!$B18</f>
        <v>139.46666666666667</v>
      </c>
      <c r="AC8" s="30">
        <f>Storage_Ann_Development!$B18</f>
        <v>139.46666666666667</v>
      </c>
      <c r="AD8" s="30">
        <f>Storage_Ann_Development!$B18</f>
        <v>139.46666666666667</v>
      </c>
      <c r="AE8" s="30">
        <f>Storage_Ann_Development!$B18</f>
        <v>139.46666666666667</v>
      </c>
    </row>
    <row r="9" spans="2:31" x14ac:dyDescent="0.25">
      <c r="B9" s="4" t="s">
        <v>147</v>
      </c>
      <c r="C9" s="4"/>
      <c r="D9" s="4"/>
      <c r="E9" s="4"/>
      <c r="F9" s="4"/>
      <c r="G9" s="30">
        <f>Storage_Ann_Development!$B19</f>
        <v>60.533333333333331</v>
      </c>
      <c r="H9" s="30">
        <f>Storage_Ann_Development!$B19</f>
        <v>60.533333333333331</v>
      </c>
      <c r="I9" s="30">
        <f>Storage_Ann_Development!$B19</f>
        <v>60.533333333333331</v>
      </c>
      <c r="J9" s="30">
        <f>Storage_Ann_Development!$B19</f>
        <v>60.533333333333331</v>
      </c>
      <c r="K9" s="30">
        <f>Storage_Ann_Development!$B19</f>
        <v>60.533333333333331</v>
      </c>
      <c r="L9" s="30">
        <f>Storage_Ann_Development!$B19</f>
        <v>60.533333333333331</v>
      </c>
      <c r="M9" s="30">
        <f>Storage_Ann_Development!$B19</f>
        <v>60.533333333333331</v>
      </c>
      <c r="N9" s="30">
        <f>Storage_Ann_Development!$B19</f>
        <v>60.533333333333331</v>
      </c>
      <c r="O9" s="30">
        <f>Storage_Ann_Development!$B19</f>
        <v>60.533333333333331</v>
      </c>
      <c r="P9" s="30">
        <f>Storage_Ann_Development!$B19</f>
        <v>60.533333333333331</v>
      </c>
      <c r="Q9" s="30">
        <f>Storage_Ann_Development!$B19</f>
        <v>60.533333333333331</v>
      </c>
      <c r="R9" s="30">
        <f>Storage_Ann_Development!$B19</f>
        <v>60.533333333333331</v>
      </c>
      <c r="S9" s="30">
        <f>Storage_Ann_Development!$B19</f>
        <v>60.533333333333331</v>
      </c>
      <c r="T9" s="30">
        <f>Storage_Ann_Development!$B19</f>
        <v>60.533333333333331</v>
      </c>
      <c r="U9" s="30">
        <f>Storage_Ann_Development!$B19</f>
        <v>60.533333333333331</v>
      </c>
      <c r="V9" s="30">
        <f>Storage_Ann_Development!$B19</f>
        <v>60.533333333333331</v>
      </c>
      <c r="W9" s="30">
        <f>Storage_Ann_Development!$B19</f>
        <v>60.533333333333331</v>
      </c>
      <c r="X9" s="30">
        <f>Storage_Ann_Development!$B19</f>
        <v>60.533333333333331</v>
      </c>
      <c r="Y9" s="30">
        <f>Storage_Ann_Development!$B19</f>
        <v>60.533333333333331</v>
      </c>
      <c r="Z9" s="30">
        <f>Storage_Ann_Development!$B19</f>
        <v>60.533333333333331</v>
      </c>
      <c r="AA9" s="30">
        <f>Storage_Ann_Development!$B19</f>
        <v>60.533333333333331</v>
      </c>
      <c r="AB9" s="30">
        <f>Storage_Ann_Development!$B19</f>
        <v>60.533333333333331</v>
      </c>
      <c r="AC9" s="30">
        <f>Storage_Ann_Development!$B19</f>
        <v>60.533333333333331</v>
      </c>
      <c r="AD9" s="30">
        <f>Storage_Ann_Development!$B19</f>
        <v>60.533333333333331</v>
      </c>
      <c r="AE9" s="30">
        <f>Storage_Ann_Development!$B19</f>
        <v>60.533333333333331</v>
      </c>
    </row>
    <row r="10" spans="2:31" x14ac:dyDescent="0.25">
      <c r="B10" s="4"/>
      <c r="C10" s="436" t="s">
        <v>136</v>
      </c>
      <c r="D10" s="4"/>
      <c r="E10" s="4"/>
      <c r="F10" s="4"/>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row>
    <row r="11" spans="2:31" ht="14.25" customHeight="1" x14ac:dyDescent="0.25">
      <c r="B11" s="2" t="s">
        <v>135</v>
      </c>
      <c r="C11" s="180" t="str">
        <f>ModelFactors!$C$7</f>
        <v>Conservative</v>
      </c>
      <c r="D11" s="4" t="s">
        <v>133</v>
      </c>
      <c r="E11" s="4"/>
      <c r="F11" s="4"/>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row>
    <row r="12" spans="2:31" x14ac:dyDescent="0.25">
      <c r="B12" s="4" t="str">
        <f>$B$6</f>
        <v>Battery - Com 4 Hours_MISO</v>
      </c>
      <c r="C12" s="4" t="s">
        <v>146</v>
      </c>
      <c r="D12" s="4">
        <v>2030</v>
      </c>
      <c r="E12" s="4"/>
      <c r="F12" s="4"/>
      <c r="G12" s="34">
        <f>VLOOKUP($C$10&amp;"_"&amp;$C12&amp;"_"&amp;$C$11,'Comm Battery Storage'!$A$44:$AJ$144,MATCH($D12,'Comm Battery Storage'!$A$44:$AJ$44,0),0)*'FRED Graph_22Oct2023'!$D$312*ModelFactors!$D11</f>
        <v>53.271873255857805</v>
      </c>
      <c r="H12" s="34">
        <f>VLOOKUP($C$10&amp;"_"&amp;$C12&amp;"_"&amp;$C$11,'Comm Battery Storage'!$A$44:$AJ$144,MATCH($D12,'Comm Battery Storage'!$A$44:$AJ$44,0),0)*'FRED Graph_22Oct2023'!$D$312*ModelFactors!$D11</f>
        <v>53.271873255857805</v>
      </c>
      <c r="I12" s="34">
        <f>VLOOKUP($C$10&amp;"_"&amp;$C12&amp;"_"&amp;$C$11,'Comm Battery Storage'!$A$44:$AJ$144,MATCH($D12,'Comm Battery Storage'!$A$44:$AJ$44,0),0)*'FRED Graph_22Oct2023'!$D$312*ModelFactors!$D11</f>
        <v>53.271873255857805</v>
      </c>
      <c r="J12" s="34">
        <f>VLOOKUP($C$10&amp;"_"&amp;$C12&amp;"_"&amp;$C$11,'Comm Battery Storage'!$A$44:$AJ$144,MATCH($D12,'Comm Battery Storage'!$A$44:$AJ$44,0),0)*'FRED Graph_22Oct2023'!$D$312*ModelFactors!$D11</f>
        <v>53.271873255857805</v>
      </c>
      <c r="K12" s="34">
        <f>VLOOKUP($C$10&amp;"_"&amp;$C12&amp;"_"&amp;$C$11,'Comm Battery Storage'!$A$44:$AJ$144,MATCH($D12,'Comm Battery Storage'!$A$44:$AJ$44,0),0)*'FRED Graph_22Oct2023'!$D$312*ModelFactors!$D11</f>
        <v>53.271873255857805</v>
      </c>
      <c r="L12" s="34">
        <f>VLOOKUP($C$10&amp;"_"&amp;$C12&amp;"_"&amp;$C$11,'Comm Battery Storage'!$A$44:$AJ$144,MATCH($D12,'Comm Battery Storage'!$A$44:$AJ$44,0),0)*'FRED Graph_22Oct2023'!$D$312*ModelFactors!$D11</f>
        <v>53.271873255857805</v>
      </c>
      <c r="M12" s="34">
        <f>VLOOKUP($C$10&amp;"_"&amp;$C12&amp;"_"&amp;$C$11,'Comm Battery Storage'!$A$44:$AJ$144,MATCH($D12,'Comm Battery Storage'!$A$44:$AJ$44,0),0)*'FRED Graph_22Oct2023'!$D$312*ModelFactors!$D11</f>
        <v>53.271873255857805</v>
      </c>
      <c r="N12" s="34">
        <f>VLOOKUP($C$10&amp;"_"&amp;$C12&amp;"_"&amp;$C$11,'Comm Battery Storage'!$A$44:$AJ$144,MATCH($D12,'Comm Battery Storage'!$A$44:$AJ$44,0),0)*'FRED Graph_22Oct2023'!$D$312*ModelFactors!$D11</f>
        <v>53.271873255857805</v>
      </c>
      <c r="O12" s="34">
        <f>VLOOKUP($C$10&amp;"_"&amp;$C12&amp;"_"&amp;$C$11,'Comm Battery Storage'!$A$44:$AJ$144,MATCH($D12,'Comm Battery Storage'!$A$44:$AJ$44,0),0)*'FRED Graph_22Oct2023'!$D$312*ModelFactors!$D11</f>
        <v>53.271873255857805</v>
      </c>
      <c r="P12" s="34">
        <f>VLOOKUP($C$10&amp;"_"&amp;$C12&amp;"_"&amp;$C$11,'Comm Battery Storage'!$A$44:$AJ$144,MATCH($D12,'Comm Battery Storage'!$A$44:$AJ$44,0),0)*'FRED Graph_22Oct2023'!$D$312*ModelFactors!$D11</f>
        <v>53.271873255857805</v>
      </c>
      <c r="Q12" s="34">
        <f>VLOOKUP($C$10&amp;"_"&amp;$C12&amp;"_"&amp;$C$11,'Comm Battery Storage'!$A$44:$AJ$144,MATCH($D12,'Comm Battery Storage'!$A$44:$AJ$44,0),0)*'FRED Graph_22Oct2023'!$D$312*ModelFactors!$D11</f>
        <v>53.271873255857805</v>
      </c>
      <c r="R12" s="34">
        <f>VLOOKUP($C$10&amp;"_"&amp;$C12&amp;"_"&amp;$C$11,'Comm Battery Storage'!$A$44:$AJ$144,MATCH($D12,'Comm Battery Storage'!$A$44:$AJ$44,0),0)*'FRED Graph_22Oct2023'!$D$312*ModelFactors!$D11</f>
        <v>53.271873255857805</v>
      </c>
      <c r="S12" s="34">
        <f>VLOOKUP($C$10&amp;"_"&amp;$C12&amp;"_"&amp;$C$11,'Comm Battery Storage'!$A$44:$AJ$144,MATCH($D12,'Comm Battery Storage'!$A$44:$AJ$44,0),0)*'FRED Graph_22Oct2023'!$D$312*ModelFactors!$D11</f>
        <v>53.271873255857805</v>
      </c>
      <c r="T12" s="34">
        <f>VLOOKUP($C$10&amp;"_"&amp;$C12&amp;"_"&amp;$C$11,'Comm Battery Storage'!$A$44:$AJ$144,MATCH($D12,'Comm Battery Storage'!$A$44:$AJ$44,0),0)*'FRED Graph_22Oct2023'!$D$312*ModelFactors!$D11</f>
        <v>53.271873255857805</v>
      </c>
      <c r="U12" s="34">
        <f>VLOOKUP($C$10&amp;"_"&amp;$C12&amp;"_"&amp;$C$11,'Comm Battery Storage'!$A$44:$AJ$144,MATCH($D12,'Comm Battery Storage'!$A$44:$AJ$44,0),0)*'FRED Graph_22Oct2023'!$D$312*ModelFactors!$D11</f>
        <v>53.271873255857805</v>
      </c>
      <c r="V12" s="34">
        <f>VLOOKUP($C$10&amp;"_"&amp;$C12&amp;"_"&amp;$C$11,'Comm Battery Storage'!$A$44:$AJ$144,MATCH($D12,'Comm Battery Storage'!$A$44:$AJ$44,0),0)*'FRED Graph_22Oct2023'!$D$312*ModelFactors!$D11</f>
        <v>53.271873255857805</v>
      </c>
      <c r="W12" s="34">
        <f>VLOOKUP($C$10&amp;"_"&amp;$C12&amp;"_"&amp;$C$11,'Comm Battery Storage'!$A$44:$AJ$144,MATCH($D12,'Comm Battery Storage'!$A$44:$AJ$44,0),0)*'FRED Graph_22Oct2023'!$D$312*ModelFactors!$D11</f>
        <v>53.271873255857805</v>
      </c>
      <c r="X12" s="34">
        <f>VLOOKUP($C$10&amp;"_"&amp;$C12&amp;"_"&amp;$C$11,'Comm Battery Storage'!$A$44:$AJ$144,MATCH($D12,'Comm Battery Storage'!$A$44:$AJ$44,0),0)*'FRED Graph_22Oct2023'!$D$312*ModelFactors!$D11</f>
        <v>53.271873255857805</v>
      </c>
      <c r="Y12" s="34">
        <f>VLOOKUP($C$10&amp;"_"&amp;$C12&amp;"_"&amp;$C$11,'Comm Battery Storage'!$A$44:$AJ$144,MATCH($D12,'Comm Battery Storage'!$A$44:$AJ$44,0),0)*'FRED Graph_22Oct2023'!$D$312*ModelFactors!$D11</f>
        <v>53.271873255857805</v>
      </c>
      <c r="Z12" s="34">
        <f>VLOOKUP($C$10&amp;"_"&amp;$C12&amp;"_"&amp;$C$11,'Comm Battery Storage'!$A$44:$AJ$144,MATCH($D12,'Comm Battery Storage'!$A$44:$AJ$44,0),0)*'FRED Graph_22Oct2023'!$D$312*ModelFactors!$D11</f>
        <v>53.271873255857805</v>
      </c>
      <c r="AA12" s="34">
        <f>VLOOKUP($C$10&amp;"_"&amp;$C12&amp;"_"&amp;$C$11,'Comm Battery Storage'!$A$44:$AJ$144,MATCH($D12,'Comm Battery Storage'!$A$44:$AJ$44,0),0)*'FRED Graph_22Oct2023'!$D$312*ModelFactors!$D11</f>
        <v>53.271873255857805</v>
      </c>
      <c r="AB12" s="34">
        <f>VLOOKUP($C$10&amp;"_"&amp;$C12&amp;"_"&amp;$C$11,'Comm Battery Storage'!$A$44:$AJ$144,MATCH($D12,'Comm Battery Storage'!$A$44:$AJ$44,0),0)*'FRED Graph_22Oct2023'!$D$312*ModelFactors!$D11</f>
        <v>53.271873255857805</v>
      </c>
      <c r="AC12" s="34">
        <f>VLOOKUP($C$10&amp;"_"&amp;$C12&amp;"_"&amp;$C$11,'Comm Battery Storage'!$A$44:$AJ$144,MATCH($D12,'Comm Battery Storage'!$A$44:$AJ$44,0),0)*'FRED Graph_22Oct2023'!$D$312*ModelFactors!$D11</f>
        <v>53.271873255857805</v>
      </c>
      <c r="AD12" s="34">
        <f>VLOOKUP($C$10&amp;"_"&amp;$C12&amp;"_"&amp;$C$11,'Comm Battery Storage'!$A$44:$AJ$144,MATCH($D12,'Comm Battery Storage'!$A$44:$AJ$44,0),0)*'FRED Graph_22Oct2023'!$D$312*ModelFactors!$D11</f>
        <v>53.271873255857805</v>
      </c>
      <c r="AE12" s="34">
        <f>VLOOKUP($C$10&amp;"_"&amp;$C12&amp;"_"&amp;$C$11,'Comm Battery Storage'!$A$44:$AJ$144,MATCH($D12,'Comm Battery Storage'!$A$44:$AJ$44,0),0)*'FRED Graph_22Oct2023'!$D$312*ModelFactors!$D11</f>
        <v>53.271873255857805</v>
      </c>
    </row>
    <row r="13" spans="2:31" x14ac:dyDescent="0.25">
      <c r="B13" s="4" t="str">
        <f>$B$7</f>
        <v>Battery - Com 4 Hours_PJM</v>
      </c>
      <c r="C13" s="4" t="s">
        <v>146</v>
      </c>
      <c r="D13" s="4">
        <f>D12</f>
        <v>2030</v>
      </c>
      <c r="E13" s="4"/>
      <c r="F13" s="4"/>
      <c r="G13" s="34">
        <f>VLOOKUP($C$10&amp;"_"&amp;$C13&amp;"_"&amp;$C$11,'Comm Battery Storage'!$A$44:$AJ$144,MATCH($D13,'Comm Battery Storage'!$A$44:$AJ$44,0),0)*'FRED Graph_22Oct2023'!$D$312*ModelFactors!$D12</f>
        <v>53.690348301072717</v>
      </c>
      <c r="H13" s="34">
        <f>VLOOKUP($C$10&amp;"_"&amp;$C13&amp;"_"&amp;$C$11,'Comm Battery Storage'!$A$44:$AJ$144,MATCH($D13,'Comm Battery Storage'!$A$44:$AJ$44,0),0)*'FRED Graph_22Oct2023'!$D$312*ModelFactors!$D12</f>
        <v>53.690348301072717</v>
      </c>
      <c r="I13" s="34">
        <f>VLOOKUP($C$10&amp;"_"&amp;$C13&amp;"_"&amp;$C$11,'Comm Battery Storage'!$A$44:$AJ$144,MATCH($D13,'Comm Battery Storage'!$A$44:$AJ$44,0),0)*'FRED Graph_22Oct2023'!$D$312*ModelFactors!$D12</f>
        <v>53.690348301072717</v>
      </c>
      <c r="J13" s="34">
        <f>VLOOKUP($C$10&amp;"_"&amp;$C13&amp;"_"&amp;$C$11,'Comm Battery Storage'!$A$44:$AJ$144,MATCH($D13,'Comm Battery Storage'!$A$44:$AJ$44,0),0)*'FRED Graph_22Oct2023'!$D$312*ModelFactors!$D12</f>
        <v>53.690348301072717</v>
      </c>
      <c r="K13" s="34">
        <f>VLOOKUP($C$10&amp;"_"&amp;$C13&amp;"_"&amp;$C$11,'Comm Battery Storage'!$A$44:$AJ$144,MATCH($D13,'Comm Battery Storage'!$A$44:$AJ$44,0),0)*'FRED Graph_22Oct2023'!$D$312*ModelFactors!$D12</f>
        <v>53.690348301072717</v>
      </c>
      <c r="L13" s="34">
        <f>VLOOKUP($C$10&amp;"_"&amp;$C13&amp;"_"&amp;$C$11,'Comm Battery Storage'!$A$44:$AJ$144,MATCH($D13,'Comm Battery Storage'!$A$44:$AJ$44,0),0)*'FRED Graph_22Oct2023'!$D$312*ModelFactors!$D12</f>
        <v>53.690348301072717</v>
      </c>
      <c r="M13" s="34">
        <f>VLOOKUP($C$10&amp;"_"&amp;$C13&amp;"_"&amp;$C$11,'Comm Battery Storage'!$A$44:$AJ$144,MATCH($D13,'Comm Battery Storage'!$A$44:$AJ$44,0),0)*'FRED Graph_22Oct2023'!$D$312*ModelFactors!$D12</f>
        <v>53.690348301072717</v>
      </c>
      <c r="N13" s="34">
        <f>VLOOKUP($C$10&amp;"_"&amp;$C13&amp;"_"&amp;$C$11,'Comm Battery Storage'!$A$44:$AJ$144,MATCH($D13,'Comm Battery Storage'!$A$44:$AJ$44,0),0)*'FRED Graph_22Oct2023'!$D$312*ModelFactors!$D12</f>
        <v>53.690348301072717</v>
      </c>
      <c r="O13" s="34">
        <f>VLOOKUP($C$10&amp;"_"&amp;$C13&amp;"_"&amp;$C$11,'Comm Battery Storage'!$A$44:$AJ$144,MATCH($D13,'Comm Battery Storage'!$A$44:$AJ$44,0),0)*'FRED Graph_22Oct2023'!$D$312*ModelFactors!$D12</f>
        <v>53.690348301072717</v>
      </c>
      <c r="P13" s="34">
        <f>VLOOKUP($C$10&amp;"_"&amp;$C13&amp;"_"&amp;$C$11,'Comm Battery Storage'!$A$44:$AJ$144,MATCH($D13,'Comm Battery Storage'!$A$44:$AJ$44,0),0)*'FRED Graph_22Oct2023'!$D$312*ModelFactors!$D12</f>
        <v>53.690348301072717</v>
      </c>
      <c r="Q13" s="34">
        <f>VLOOKUP($C$10&amp;"_"&amp;$C13&amp;"_"&amp;$C$11,'Comm Battery Storage'!$A$44:$AJ$144,MATCH($D13,'Comm Battery Storage'!$A$44:$AJ$44,0),0)*'FRED Graph_22Oct2023'!$D$312*ModelFactors!$D12</f>
        <v>53.690348301072717</v>
      </c>
      <c r="R13" s="34">
        <f>VLOOKUP($C$10&amp;"_"&amp;$C13&amp;"_"&amp;$C$11,'Comm Battery Storage'!$A$44:$AJ$144,MATCH($D13,'Comm Battery Storage'!$A$44:$AJ$44,0),0)*'FRED Graph_22Oct2023'!$D$312*ModelFactors!$D12</f>
        <v>53.690348301072717</v>
      </c>
      <c r="S13" s="34">
        <f>VLOOKUP($C$10&amp;"_"&amp;$C13&amp;"_"&amp;$C$11,'Comm Battery Storage'!$A$44:$AJ$144,MATCH($D13,'Comm Battery Storage'!$A$44:$AJ$44,0),0)*'FRED Graph_22Oct2023'!$D$312*ModelFactors!$D12</f>
        <v>53.690348301072717</v>
      </c>
      <c r="T13" s="34">
        <f>VLOOKUP($C$10&amp;"_"&amp;$C13&amp;"_"&amp;$C$11,'Comm Battery Storage'!$A$44:$AJ$144,MATCH($D13,'Comm Battery Storage'!$A$44:$AJ$44,0),0)*'FRED Graph_22Oct2023'!$D$312*ModelFactors!$D12</f>
        <v>53.690348301072717</v>
      </c>
      <c r="U13" s="34">
        <f>VLOOKUP($C$10&amp;"_"&amp;$C13&amp;"_"&amp;$C$11,'Comm Battery Storage'!$A$44:$AJ$144,MATCH($D13,'Comm Battery Storage'!$A$44:$AJ$44,0),0)*'FRED Graph_22Oct2023'!$D$312*ModelFactors!$D12</f>
        <v>53.690348301072717</v>
      </c>
      <c r="V13" s="34">
        <f>VLOOKUP($C$10&amp;"_"&amp;$C13&amp;"_"&amp;$C$11,'Comm Battery Storage'!$A$44:$AJ$144,MATCH($D13,'Comm Battery Storage'!$A$44:$AJ$44,0),0)*'FRED Graph_22Oct2023'!$D$312*ModelFactors!$D12</f>
        <v>53.690348301072717</v>
      </c>
      <c r="W13" s="34">
        <f>VLOOKUP($C$10&amp;"_"&amp;$C13&amp;"_"&amp;$C$11,'Comm Battery Storage'!$A$44:$AJ$144,MATCH($D13,'Comm Battery Storage'!$A$44:$AJ$44,0),0)*'FRED Graph_22Oct2023'!$D$312*ModelFactors!$D12</f>
        <v>53.690348301072717</v>
      </c>
      <c r="X13" s="34">
        <f>VLOOKUP($C$10&amp;"_"&amp;$C13&amp;"_"&amp;$C$11,'Comm Battery Storage'!$A$44:$AJ$144,MATCH($D13,'Comm Battery Storage'!$A$44:$AJ$44,0),0)*'FRED Graph_22Oct2023'!$D$312*ModelFactors!$D12</f>
        <v>53.690348301072717</v>
      </c>
      <c r="Y13" s="34">
        <f>VLOOKUP($C$10&amp;"_"&amp;$C13&amp;"_"&amp;$C$11,'Comm Battery Storage'!$A$44:$AJ$144,MATCH($D13,'Comm Battery Storage'!$A$44:$AJ$44,0),0)*'FRED Graph_22Oct2023'!$D$312*ModelFactors!$D12</f>
        <v>53.690348301072717</v>
      </c>
      <c r="Z13" s="34">
        <f>VLOOKUP($C$10&amp;"_"&amp;$C13&amp;"_"&amp;$C$11,'Comm Battery Storage'!$A$44:$AJ$144,MATCH($D13,'Comm Battery Storage'!$A$44:$AJ$44,0),0)*'FRED Graph_22Oct2023'!$D$312*ModelFactors!$D12</f>
        <v>53.690348301072717</v>
      </c>
      <c r="AA13" s="34">
        <f>VLOOKUP($C$10&amp;"_"&amp;$C13&amp;"_"&amp;$C$11,'Comm Battery Storage'!$A$44:$AJ$144,MATCH($D13,'Comm Battery Storage'!$A$44:$AJ$44,0),0)*'FRED Graph_22Oct2023'!$D$312*ModelFactors!$D12</f>
        <v>53.690348301072717</v>
      </c>
      <c r="AB13" s="34">
        <f>VLOOKUP($C$10&amp;"_"&amp;$C13&amp;"_"&amp;$C$11,'Comm Battery Storage'!$A$44:$AJ$144,MATCH($D13,'Comm Battery Storage'!$A$44:$AJ$44,0),0)*'FRED Graph_22Oct2023'!$D$312*ModelFactors!$D12</f>
        <v>53.690348301072717</v>
      </c>
      <c r="AC13" s="34">
        <f>VLOOKUP($C$10&amp;"_"&amp;$C13&amp;"_"&amp;$C$11,'Comm Battery Storage'!$A$44:$AJ$144,MATCH($D13,'Comm Battery Storage'!$A$44:$AJ$44,0),0)*'FRED Graph_22Oct2023'!$D$312*ModelFactors!$D12</f>
        <v>53.690348301072717</v>
      </c>
      <c r="AD13" s="34">
        <f>VLOOKUP($C$10&amp;"_"&amp;$C13&amp;"_"&amp;$C$11,'Comm Battery Storage'!$A$44:$AJ$144,MATCH($D13,'Comm Battery Storage'!$A$44:$AJ$44,0),0)*'FRED Graph_22Oct2023'!$D$312*ModelFactors!$D12</f>
        <v>53.690348301072717</v>
      </c>
      <c r="AE13" s="34">
        <f>VLOOKUP($C$10&amp;"_"&amp;$C13&amp;"_"&amp;$C$11,'Comm Battery Storage'!$A$44:$AJ$144,MATCH($D13,'Comm Battery Storage'!$A$44:$AJ$44,0),0)*'FRED Graph_22Oct2023'!$D$312*ModelFactors!$D12</f>
        <v>53.690348301072717</v>
      </c>
    </row>
    <row r="14" spans="2:31" x14ac:dyDescent="0.25">
      <c r="B14" s="4" t="str">
        <f>$B$8</f>
        <v>Battery - Res 4 Hours_MISO</v>
      </c>
      <c r="C14" s="3" t="s">
        <v>145</v>
      </c>
      <c r="D14" s="4">
        <f>D13</f>
        <v>2030</v>
      </c>
      <c r="E14" s="4"/>
      <c r="F14" s="4"/>
      <c r="G14" s="34">
        <f>VLOOKUP($C$10&amp;"_"&amp;$C14&amp;"_"&amp;$C$11,'Resi Battery Storage'!$A$44:$AJ$144,MATCH($D14,'Resi Battery Storage'!$A$40:$AJ$40,0),0)*'FRED Graph_22Oct2023'!$D$312*ModelFactors!$D13</f>
        <v>103.23898241143954</v>
      </c>
      <c r="H14" s="34">
        <f>VLOOKUP($C$10&amp;"_"&amp;$C14&amp;"_"&amp;ModelFactors!$C$7,'Resi Battery Storage'!$A$44:$AJ$144,MATCH($D14,'Resi Battery Storage'!$A$40:$AJ$40,0),0)*'FRED Graph_22Oct2023'!$D$312*ModelFactors!$D13</f>
        <v>103.23898241143954</v>
      </c>
      <c r="I14" s="34">
        <f>VLOOKUP($C$10&amp;"_"&amp;$C14&amp;"_"&amp;ModelFactors!$C$7,'Resi Battery Storage'!$A$44:$AJ$144,MATCH($D14,'Resi Battery Storage'!$A$40:$AJ$40,0),0)*'FRED Graph_22Oct2023'!$D$312*ModelFactors!$D13</f>
        <v>103.23898241143954</v>
      </c>
      <c r="J14" s="34">
        <f>VLOOKUP($C$10&amp;"_"&amp;$C14&amp;"_"&amp;ModelFactors!$C$7,'Resi Battery Storage'!$A$44:$AJ$144,MATCH($D14,'Resi Battery Storage'!$A$40:$AJ$40,0),0)*'FRED Graph_22Oct2023'!$D$312*ModelFactors!$D13</f>
        <v>103.23898241143954</v>
      </c>
      <c r="K14" s="34">
        <f>VLOOKUP($C$10&amp;"_"&amp;$C14&amp;"_"&amp;ModelFactors!$C$7,'Resi Battery Storage'!$A$44:$AJ$144,MATCH($D14,'Resi Battery Storage'!$A$40:$AJ$40,0),0)*'FRED Graph_22Oct2023'!$D$312*ModelFactors!$D13</f>
        <v>103.23898241143954</v>
      </c>
      <c r="L14" s="34">
        <f>VLOOKUP($C$10&amp;"_"&amp;$C14&amp;"_"&amp;ModelFactors!$C$7,'Resi Battery Storage'!$A$44:$AJ$144,MATCH($D14,'Resi Battery Storage'!$A$40:$AJ$40,0),0)*'FRED Graph_22Oct2023'!$D$312*ModelFactors!$D13</f>
        <v>103.23898241143954</v>
      </c>
      <c r="M14" s="34">
        <f>VLOOKUP($C$10&amp;"_"&amp;$C14&amp;"_"&amp;ModelFactors!$C$7,'Resi Battery Storage'!$A$44:$AJ$144,MATCH($D14,'Resi Battery Storage'!$A$40:$AJ$40,0),0)*'FRED Graph_22Oct2023'!$D$312*ModelFactors!$D13</f>
        <v>103.23898241143954</v>
      </c>
      <c r="N14" s="34">
        <f>VLOOKUP($C$10&amp;"_"&amp;$C14&amp;"_"&amp;ModelFactors!$C$7,'Resi Battery Storage'!$A$44:$AJ$144,MATCH($D14,'Resi Battery Storage'!$A$40:$AJ$40,0),0)*'FRED Graph_22Oct2023'!$D$312*ModelFactors!$D13</f>
        <v>103.23898241143954</v>
      </c>
      <c r="O14" s="34">
        <f>VLOOKUP($C$10&amp;"_"&amp;$C14&amp;"_"&amp;ModelFactors!$C$7,'Resi Battery Storage'!$A$44:$AJ$144,MATCH($D14,'Resi Battery Storage'!$A$40:$AJ$40,0),0)*'FRED Graph_22Oct2023'!$D$312*ModelFactors!$D13</f>
        <v>103.23898241143954</v>
      </c>
      <c r="P14" s="34">
        <f>VLOOKUP($C$10&amp;"_"&amp;$C14&amp;"_"&amp;ModelFactors!$C$7,'Resi Battery Storage'!$A$44:$AJ$144,MATCH($D14,'Resi Battery Storage'!$A$40:$AJ$40,0),0)*'FRED Graph_22Oct2023'!$D$312*ModelFactors!$D13</f>
        <v>103.23898241143954</v>
      </c>
      <c r="Q14" s="34">
        <f>VLOOKUP($C$10&amp;"_"&amp;$C14&amp;"_"&amp;ModelFactors!$C$7,'Resi Battery Storage'!$A$44:$AJ$144,MATCH($D14,'Resi Battery Storage'!$A$40:$AJ$40,0),0)*'FRED Graph_22Oct2023'!$D$312*ModelFactors!$D13</f>
        <v>103.23898241143954</v>
      </c>
      <c r="R14" s="34">
        <f>VLOOKUP($C$10&amp;"_"&amp;$C14&amp;"_"&amp;ModelFactors!$C$7,'Resi Battery Storage'!$A$44:$AJ$144,MATCH($D14,'Resi Battery Storage'!$A$40:$AJ$40,0),0)*'FRED Graph_22Oct2023'!$D$312*ModelFactors!$D13</f>
        <v>103.23898241143954</v>
      </c>
      <c r="S14" s="34">
        <f>VLOOKUP($C$10&amp;"_"&amp;$C14&amp;"_"&amp;ModelFactors!$C$7,'Resi Battery Storage'!$A$44:$AJ$144,MATCH($D14,'Resi Battery Storage'!$A$40:$AJ$40,0),0)*'FRED Graph_22Oct2023'!$D$312*ModelFactors!$D13</f>
        <v>103.23898241143954</v>
      </c>
      <c r="T14" s="34">
        <f>VLOOKUP($C$10&amp;"_"&amp;$C14&amp;"_"&amp;ModelFactors!$C$7,'Resi Battery Storage'!$A$44:$AJ$144,MATCH($D14,'Resi Battery Storage'!$A$40:$AJ$40,0),0)*'FRED Graph_22Oct2023'!$D$312*ModelFactors!$D13</f>
        <v>103.23898241143954</v>
      </c>
      <c r="U14" s="34">
        <f>VLOOKUP($C$10&amp;"_"&amp;$C14&amp;"_"&amp;ModelFactors!$C$7,'Resi Battery Storage'!$A$44:$AJ$144,MATCH($D14,'Resi Battery Storage'!$A$40:$AJ$40,0),0)*'FRED Graph_22Oct2023'!$D$312*ModelFactors!$D13</f>
        <v>103.23898241143954</v>
      </c>
      <c r="V14" s="34">
        <f>VLOOKUP($C$10&amp;"_"&amp;$C14&amp;"_"&amp;ModelFactors!$C$7,'Resi Battery Storage'!$A$44:$AJ$144,MATCH($D14,'Resi Battery Storage'!$A$40:$AJ$40,0),0)*'FRED Graph_22Oct2023'!$D$312*ModelFactors!$D13</f>
        <v>103.23898241143954</v>
      </c>
      <c r="W14" s="34">
        <f>VLOOKUP($C$10&amp;"_"&amp;$C14&amp;"_"&amp;ModelFactors!$C$7,'Resi Battery Storage'!$A$44:$AJ$144,MATCH($D14,'Resi Battery Storage'!$A$40:$AJ$40,0),0)*'FRED Graph_22Oct2023'!$D$312*ModelFactors!$D13</f>
        <v>103.23898241143954</v>
      </c>
      <c r="X14" s="34">
        <f>VLOOKUP($C$10&amp;"_"&amp;$C14&amp;"_"&amp;ModelFactors!$C$7,'Resi Battery Storage'!$A$44:$AJ$144,MATCH($D14,'Resi Battery Storage'!$A$40:$AJ$40,0),0)*'FRED Graph_22Oct2023'!$D$312*ModelFactors!$D13</f>
        <v>103.23898241143954</v>
      </c>
      <c r="Y14" s="34">
        <f>VLOOKUP($C$10&amp;"_"&amp;$C14&amp;"_"&amp;ModelFactors!$C$7,'Resi Battery Storage'!$A$44:$AJ$144,MATCH($D14,'Resi Battery Storage'!$A$40:$AJ$40,0),0)*'FRED Graph_22Oct2023'!$D$312*ModelFactors!$D13</f>
        <v>103.23898241143954</v>
      </c>
      <c r="Z14" s="34">
        <f>VLOOKUP($C$10&amp;"_"&amp;$C14&amp;"_"&amp;ModelFactors!$C$7,'Resi Battery Storage'!$A$44:$AJ$144,MATCH($D14,'Resi Battery Storage'!$A$40:$AJ$40,0),0)*'FRED Graph_22Oct2023'!$D$312*ModelFactors!$D13</f>
        <v>103.23898241143954</v>
      </c>
      <c r="AA14" s="34">
        <f>VLOOKUP($C$10&amp;"_"&amp;$C14&amp;"_"&amp;ModelFactors!$C$7,'Resi Battery Storage'!$A$44:$AJ$144,MATCH($D14,'Resi Battery Storage'!$A$40:$AJ$40,0),0)*'FRED Graph_22Oct2023'!$D$312*ModelFactors!$D13</f>
        <v>103.23898241143954</v>
      </c>
      <c r="AB14" s="34">
        <f>VLOOKUP($C$10&amp;"_"&amp;$C14&amp;"_"&amp;ModelFactors!$C$7,'Resi Battery Storage'!$A$44:$AJ$144,MATCH($D14,'Resi Battery Storage'!$A$40:$AJ$40,0),0)*'FRED Graph_22Oct2023'!$D$312*ModelFactors!$D13</f>
        <v>103.23898241143954</v>
      </c>
      <c r="AC14" s="34">
        <f>VLOOKUP($C$10&amp;"_"&amp;$C14&amp;"_"&amp;ModelFactors!$C$7,'Resi Battery Storage'!$A$44:$AJ$144,MATCH($D14,'Resi Battery Storage'!$A$40:$AJ$40,0),0)*'FRED Graph_22Oct2023'!$D$312*ModelFactors!$D13</f>
        <v>103.23898241143954</v>
      </c>
      <c r="AD14" s="34">
        <f>VLOOKUP($C$10&amp;"_"&amp;$C14&amp;"_"&amp;ModelFactors!$C$7,'Resi Battery Storage'!$A$44:$AJ$144,MATCH($D14,'Resi Battery Storage'!$A$40:$AJ$40,0),0)*'FRED Graph_22Oct2023'!$D$312*ModelFactors!$D13</f>
        <v>103.23898241143954</v>
      </c>
      <c r="AE14" s="34">
        <f>VLOOKUP($C$10&amp;"_"&amp;$C14&amp;"_"&amp;ModelFactors!$C$7,'Resi Battery Storage'!$A$44:$AJ$144,MATCH($D14,'Resi Battery Storage'!$A$40:$AJ$40,0),0)*'FRED Graph_22Oct2023'!$D$312*ModelFactors!$D13</f>
        <v>103.23898241143954</v>
      </c>
    </row>
    <row r="15" spans="2:31" x14ac:dyDescent="0.25">
      <c r="B15" s="4" t="str">
        <f>$B$9</f>
        <v>Battery - Res 4 Hours_PJM</v>
      </c>
      <c r="C15" s="3" t="s">
        <v>145</v>
      </c>
      <c r="D15" s="4">
        <f>D14</f>
        <v>2030</v>
      </c>
      <c r="E15" s="4"/>
      <c r="F15" s="4"/>
      <c r="G15" s="34">
        <f>VLOOKUP($C$10&amp;"_"&amp;$C15&amp;"_"&amp;$C$11,'Resi Battery Storage'!$A$44:$AJ$144,MATCH($D15,'Resi Battery Storage'!$A$40:$AJ$40,0),0)*'FRED Graph_22Oct2023'!$D$312*ModelFactors!$D14</f>
        <v>104.04997206117591</v>
      </c>
      <c r="H15" s="34">
        <f>VLOOKUP($C$10&amp;"_"&amp;$C15&amp;"_"&amp;ModelFactors!$C$7,'Resi Battery Storage'!$A$44:$AJ$144,MATCH($D15,'Resi Battery Storage'!$A$40:$AJ$40,0),0)*'FRED Graph_22Oct2023'!$D$312*ModelFactors!$D14</f>
        <v>104.04997206117591</v>
      </c>
      <c r="I15" s="34">
        <f>VLOOKUP($C$10&amp;"_"&amp;$C15&amp;"_"&amp;ModelFactors!$C$7,'Resi Battery Storage'!$A$44:$AJ$144,MATCH($D15,'Resi Battery Storage'!$A$40:$AJ$40,0),0)*'FRED Graph_22Oct2023'!$D$312*ModelFactors!$D14</f>
        <v>104.04997206117591</v>
      </c>
      <c r="J15" s="34">
        <f>VLOOKUP($C$10&amp;"_"&amp;$C15&amp;"_"&amp;ModelFactors!$C$7,'Resi Battery Storage'!$A$44:$AJ$144,MATCH($D15,'Resi Battery Storage'!$A$40:$AJ$40,0),0)*'FRED Graph_22Oct2023'!$D$312*ModelFactors!$D14</f>
        <v>104.04997206117591</v>
      </c>
      <c r="K15" s="34">
        <f>VLOOKUP($C$10&amp;"_"&amp;$C15&amp;"_"&amp;ModelFactors!$C$7,'Resi Battery Storage'!$A$44:$AJ$144,MATCH($D15,'Resi Battery Storage'!$A$40:$AJ$40,0),0)*'FRED Graph_22Oct2023'!$D$312*ModelFactors!$D14</f>
        <v>104.04997206117591</v>
      </c>
      <c r="L15" s="34">
        <f>VLOOKUP($C$10&amp;"_"&amp;$C15&amp;"_"&amp;ModelFactors!$C$7,'Resi Battery Storage'!$A$44:$AJ$144,MATCH($D15,'Resi Battery Storage'!$A$40:$AJ$40,0),0)*'FRED Graph_22Oct2023'!$D$312*ModelFactors!$D14</f>
        <v>104.04997206117591</v>
      </c>
      <c r="M15" s="34">
        <f>VLOOKUP($C$10&amp;"_"&amp;$C15&amp;"_"&amp;ModelFactors!$C$7,'Resi Battery Storage'!$A$44:$AJ$144,MATCH($D15,'Resi Battery Storage'!$A$40:$AJ$40,0),0)*'FRED Graph_22Oct2023'!$D$312*ModelFactors!$D14</f>
        <v>104.04997206117591</v>
      </c>
      <c r="N15" s="34">
        <f>VLOOKUP($C$10&amp;"_"&amp;$C15&amp;"_"&amp;ModelFactors!$C$7,'Resi Battery Storage'!$A$44:$AJ$144,MATCH($D15,'Resi Battery Storage'!$A$40:$AJ$40,0),0)*'FRED Graph_22Oct2023'!$D$312*ModelFactors!$D14</f>
        <v>104.04997206117591</v>
      </c>
      <c r="O15" s="34">
        <f>VLOOKUP($C$10&amp;"_"&amp;$C15&amp;"_"&amp;ModelFactors!$C$7,'Resi Battery Storage'!$A$44:$AJ$144,MATCH($D15,'Resi Battery Storage'!$A$40:$AJ$40,0),0)*'FRED Graph_22Oct2023'!$D$312*ModelFactors!$D14</f>
        <v>104.04997206117591</v>
      </c>
      <c r="P15" s="34">
        <f>VLOOKUP($C$10&amp;"_"&amp;$C15&amp;"_"&amp;ModelFactors!$C$7,'Resi Battery Storage'!$A$44:$AJ$144,MATCH($D15,'Resi Battery Storage'!$A$40:$AJ$40,0),0)*'FRED Graph_22Oct2023'!$D$312*ModelFactors!$D14</f>
        <v>104.04997206117591</v>
      </c>
      <c r="Q15" s="34">
        <f>VLOOKUP($C$10&amp;"_"&amp;$C15&amp;"_"&amp;ModelFactors!$C$7,'Resi Battery Storage'!$A$44:$AJ$144,MATCH($D15,'Resi Battery Storage'!$A$40:$AJ$40,0),0)*'FRED Graph_22Oct2023'!$D$312*ModelFactors!$D14</f>
        <v>104.04997206117591</v>
      </c>
      <c r="R15" s="34">
        <f>VLOOKUP($C$10&amp;"_"&amp;$C15&amp;"_"&amp;ModelFactors!$C$7,'Resi Battery Storage'!$A$44:$AJ$144,MATCH($D15,'Resi Battery Storage'!$A$40:$AJ$40,0),0)*'FRED Graph_22Oct2023'!$D$312*ModelFactors!$D14</f>
        <v>104.04997206117591</v>
      </c>
      <c r="S15" s="34">
        <f>VLOOKUP($C$10&amp;"_"&amp;$C15&amp;"_"&amp;ModelFactors!$C$7,'Resi Battery Storage'!$A$44:$AJ$144,MATCH($D15,'Resi Battery Storage'!$A$40:$AJ$40,0),0)*'FRED Graph_22Oct2023'!$D$312*ModelFactors!$D14</f>
        <v>104.04997206117591</v>
      </c>
      <c r="T15" s="34">
        <f>VLOOKUP($C$10&amp;"_"&amp;$C15&amp;"_"&amp;ModelFactors!$C$7,'Resi Battery Storage'!$A$44:$AJ$144,MATCH($D15,'Resi Battery Storage'!$A$40:$AJ$40,0),0)*'FRED Graph_22Oct2023'!$D$312*ModelFactors!$D14</f>
        <v>104.04997206117591</v>
      </c>
      <c r="U15" s="34">
        <f>VLOOKUP($C$10&amp;"_"&amp;$C15&amp;"_"&amp;ModelFactors!$C$7,'Resi Battery Storage'!$A$44:$AJ$144,MATCH($D15,'Resi Battery Storage'!$A$40:$AJ$40,0),0)*'FRED Graph_22Oct2023'!$D$312*ModelFactors!$D14</f>
        <v>104.04997206117591</v>
      </c>
      <c r="V15" s="34">
        <f>VLOOKUP($C$10&amp;"_"&amp;$C15&amp;"_"&amp;ModelFactors!$C$7,'Resi Battery Storage'!$A$44:$AJ$144,MATCH($D15,'Resi Battery Storage'!$A$40:$AJ$40,0),0)*'FRED Graph_22Oct2023'!$D$312*ModelFactors!$D14</f>
        <v>104.04997206117591</v>
      </c>
      <c r="W15" s="34">
        <f>VLOOKUP($C$10&amp;"_"&amp;$C15&amp;"_"&amp;ModelFactors!$C$7,'Resi Battery Storage'!$A$44:$AJ$144,MATCH($D15,'Resi Battery Storage'!$A$40:$AJ$40,0),0)*'FRED Graph_22Oct2023'!$D$312*ModelFactors!$D14</f>
        <v>104.04997206117591</v>
      </c>
      <c r="X15" s="34">
        <f>VLOOKUP($C$10&amp;"_"&amp;$C15&amp;"_"&amp;ModelFactors!$C$7,'Resi Battery Storage'!$A$44:$AJ$144,MATCH($D15,'Resi Battery Storage'!$A$40:$AJ$40,0),0)*'FRED Graph_22Oct2023'!$D$312*ModelFactors!$D14</f>
        <v>104.04997206117591</v>
      </c>
      <c r="Y15" s="34">
        <f>VLOOKUP($C$10&amp;"_"&amp;$C15&amp;"_"&amp;ModelFactors!$C$7,'Resi Battery Storage'!$A$44:$AJ$144,MATCH($D15,'Resi Battery Storage'!$A$40:$AJ$40,0),0)*'FRED Graph_22Oct2023'!$D$312*ModelFactors!$D14</f>
        <v>104.04997206117591</v>
      </c>
      <c r="Z15" s="34">
        <f>VLOOKUP($C$10&amp;"_"&amp;$C15&amp;"_"&amp;ModelFactors!$C$7,'Resi Battery Storage'!$A$44:$AJ$144,MATCH($D15,'Resi Battery Storage'!$A$40:$AJ$40,0),0)*'FRED Graph_22Oct2023'!$D$312*ModelFactors!$D14</f>
        <v>104.04997206117591</v>
      </c>
      <c r="AA15" s="34">
        <f>VLOOKUP($C$10&amp;"_"&amp;$C15&amp;"_"&amp;ModelFactors!$C$7,'Resi Battery Storage'!$A$44:$AJ$144,MATCH($D15,'Resi Battery Storage'!$A$40:$AJ$40,0),0)*'FRED Graph_22Oct2023'!$D$312*ModelFactors!$D14</f>
        <v>104.04997206117591</v>
      </c>
      <c r="AB15" s="34">
        <f>VLOOKUP($C$10&amp;"_"&amp;$C15&amp;"_"&amp;ModelFactors!$C$7,'Resi Battery Storage'!$A$44:$AJ$144,MATCH($D15,'Resi Battery Storage'!$A$40:$AJ$40,0),0)*'FRED Graph_22Oct2023'!$D$312*ModelFactors!$D14</f>
        <v>104.04997206117591</v>
      </c>
      <c r="AC15" s="34">
        <f>VLOOKUP($C$10&amp;"_"&amp;$C15&amp;"_"&amp;ModelFactors!$C$7,'Resi Battery Storage'!$A$44:$AJ$144,MATCH($D15,'Resi Battery Storage'!$A$40:$AJ$40,0),0)*'FRED Graph_22Oct2023'!$D$312*ModelFactors!$D14</f>
        <v>104.04997206117591</v>
      </c>
      <c r="AD15" s="34">
        <f>VLOOKUP($C$10&amp;"_"&amp;$C15&amp;"_"&amp;ModelFactors!$C$7,'Resi Battery Storage'!$A$44:$AJ$144,MATCH($D15,'Resi Battery Storage'!$A$40:$AJ$40,0),0)*'FRED Graph_22Oct2023'!$D$312*ModelFactors!$D14</f>
        <v>104.04997206117591</v>
      </c>
      <c r="AE15" s="34">
        <f>VLOOKUP($C$10&amp;"_"&amp;$C15&amp;"_"&amp;ModelFactors!$C$7,'Resi Battery Storage'!$A$44:$AJ$144,MATCH($D15,'Resi Battery Storage'!$A$40:$AJ$40,0),0)*'FRED Graph_22Oct2023'!$D$312*ModelFactors!$D14</f>
        <v>104.04997206117591</v>
      </c>
    </row>
    <row r="16" spans="2:31" x14ac:dyDescent="0.25">
      <c r="B16" s="4"/>
      <c r="C16" s="4"/>
      <c r="D16" s="4"/>
      <c r="E16" s="4"/>
      <c r="F16" s="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row>
    <row r="17" spans="2:31" x14ac:dyDescent="0.25">
      <c r="B17" s="2" t="s">
        <v>135</v>
      </c>
      <c r="C17" s="4"/>
      <c r="D17" s="4" t="s">
        <v>133</v>
      </c>
      <c r="E17" s="4"/>
      <c r="F17" s="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row>
    <row r="18" spans="2:31" x14ac:dyDescent="0.25">
      <c r="B18" s="4" t="str">
        <f>$B$6</f>
        <v>Battery - Com 4 Hours_MISO</v>
      </c>
      <c r="C18" s="3" t="str">
        <f>$C$12</f>
        <v>Commercial Battery Storage 4Hr</v>
      </c>
      <c r="D18" s="4">
        <f>1+D12</f>
        <v>2031</v>
      </c>
      <c r="E18" s="4"/>
      <c r="F18" s="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row>
    <row r="19" spans="2:31" x14ac:dyDescent="0.25">
      <c r="B19" s="4" t="str">
        <f>$B$7</f>
        <v>Battery - Com 4 Hours_PJM</v>
      </c>
      <c r="C19" s="3" t="str">
        <f>$C$13</f>
        <v>Commercial Battery Storage 4Hr</v>
      </c>
      <c r="D19" s="4">
        <f>D18</f>
        <v>2031</v>
      </c>
      <c r="E19" s="4"/>
      <c r="F19" s="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row>
    <row r="20" spans="2:31" x14ac:dyDescent="0.25">
      <c r="B20" s="4" t="str">
        <f>$B$8</f>
        <v>Battery - Res 4 Hours_MISO</v>
      </c>
      <c r="C20" s="4" t="str">
        <f>$C$14</f>
        <v>Residential Battery Storage - 5 kW - 20 kWh</v>
      </c>
      <c r="D20" s="4">
        <f>D19</f>
        <v>2031</v>
      </c>
      <c r="E20" s="4"/>
      <c r="F20" s="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row>
    <row r="21" spans="2:31" x14ac:dyDescent="0.25">
      <c r="B21" s="4" t="str">
        <f>$B$9</f>
        <v>Battery - Res 4 Hours_PJM</v>
      </c>
      <c r="C21" s="4" t="str">
        <f>$C$15</f>
        <v>Residential Battery Storage - 5 kW - 20 kWh</v>
      </c>
      <c r="D21" s="4">
        <f>D20</f>
        <v>2031</v>
      </c>
      <c r="E21" s="4"/>
      <c r="F21" s="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row>
    <row r="22" spans="2:31" x14ac:dyDescent="0.25">
      <c r="B22" s="4"/>
      <c r="C22" s="4"/>
      <c r="D22" s="4"/>
      <c r="E22" s="4"/>
      <c r="F22" s="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row>
    <row r="23" spans="2:31" x14ac:dyDescent="0.25">
      <c r="B23" s="2" t="s">
        <v>135</v>
      </c>
      <c r="C23" s="4"/>
      <c r="D23" s="4" t="s">
        <v>133</v>
      </c>
      <c r="E23" s="4"/>
      <c r="F23" s="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row>
    <row r="24" spans="2:31" x14ac:dyDescent="0.25">
      <c r="B24" s="4" t="str">
        <f>$B$6</f>
        <v>Battery - Com 4 Hours_MISO</v>
      </c>
      <c r="C24" s="3" t="str">
        <f>$C$12</f>
        <v>Commercial Battery Storage 4Hr</v>
      </c>
      <c r="D24" s="4">
        <f>1+D18</f>
        <v>2032</v>
      </c>
      <c r="E24" s="4"/>
      <c r="F24" s="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row>
    <row r="25" spans="2:31" x14ac:dyDescent="0.25">
      <c r="B25" s="4" t="str">
        <f>$B$7</f>
        <v>Battery - Com 4 Hours_PJM</v>
      </c>
      <c r="C25" s="3" t="str">
        <f>$C$13</f>
        <v>Commercial Battery Storage 4Hr</v>
      </c>
      <c r="D25" s="4">
        <f>D24</f>
        <v>2032</v>
      </c>
      <c r="E25" s="4"/>
      <c r="F25" s="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row>
    <row r="26" spans="2:31" x14ac:dyDescent="0.25">
      <c r="B26" s="4" t="str">
        <f>$B$8</f>
        <v>Battery - Res 4 Hours_MISO</v>
      </c>
      <c r="C26" s="4" t="str">
        <f>$C$14</f>
        <v>Residential Battery Storage - 5 kW - 20 kWh</v>
      </c>
      <c r="D26" s="4">
        <f>D25</f>
        <v>2032</v>
      </c>
      <c r="E26" s="4"/>
      <c r="F26" s="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row>
    <row r="27" spans="2:31" x14ac:dyDescent="0.25">
      <c r="B27" s="4" t="str">
        <f>$B$9</f>
        <v>Battery - Res 4 Hours_PJM</v>
      </c>
      <c r="C27" s="4" t="str">
        <f>$C$15</f>
        <v>Residential Battery Storage - 5 kW - 20 kWh</v>
      </c>
      <c r="D27" s="4">
        <f>D26</f>
        <v>2032</v>
      </c>
      <c r="E27" s="4"/>
      <c r="F27" s="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row>
    <row r="28" spans="2:31" x14ac:dyDescent="0.25">
      <c r="B28" s="4"/>
      <c r="C28" s="4"/>
      <c r="D28" s="4"/>
      <c r="E28" s="4"/>
      <c r="F28" s="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row>
    <row r="29" spans="2:31" x14ac:dyDescent="0.25">
      <c r="B29" s="2" t="s">
        <v>135</v>
      </c>
      <c r="C29" s="4"/>
      <c r="D29" s="4" t="s">
        <v>133</v>
      </c>
      <c r="E29" s="4"/>
      <c r="F29" s="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row>
    <row r="30" spans="2:31" x14ac:dyDescent="0.25">
      <c r="B30" s="4" t="str">
        <f>$B$6</f>
        <v>Battery - Com 4 Hours_MISO</v>
      </c>
      <c r="C30" s="3" t="str">
        <f>$C$12</f>
        <v>Commercial Battery Storage 4Hr</v>
      </c>
      <c r="D30" s="4">
        <f>1+D24</f>
        <v>2033</v>
      </c>
      <c r="E30" s="4"/>
      <c r="F30" s="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row>
    <row r="31" spans="2:31" x14ac:dyDescent="0.25">
      <c r="B31" s="4" t="str">
        <f>$B$7</f>
        <v>Battery - Com 4 Hours_PJM</v>
      </c>
      <c r="C31" s="3" t="str">
        <f>$C$13</f>
        <v>Commercial Battery Storage 4Hr</v>
      </c>
      <c r="D31" s="4">
        <f>D30</f>
        <v>2033</v>
      </c>
      <c r="E31" s="4"/>
      <c r="F31" s="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row>
    <row r="32" spans="2:31" x14ac:dyDescent="0.25">
      <c r="B32" s="4" t="str">
        <f>$B$8</f>
        <v>Battery - Res 4 Hours_MISO</v>
      </c>
      <c r="C32" s="4" t="str">
        <f>$C$14</f>
        <v>Residential Battery Storage - 5 kW - 20 kWh</v>
      </c>
      <c r="D32" s="4">
        <f>D31</f>
        <v>2033</v>
      </c>
      <c r="E32" s="4"/>
      <c r="F32" s="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row>
    <row r="33" spans="2:31" x14ac:dyDescent="0.25">
      <c r="B33" s="4" t="str">
        <f>$B$9</f>
        <v>Battery - Res 4 Hours_PJM</v>
      </c>
      <c r="C33" s="4" t="str">
        <f>$C$15</f>
        <v>Residential Battery Storage - 5 kW - 20 kWh</v>
      </c>
      <c r="D33" s="4">
        <f>D32</f>
        <v>2033</v>
      </c>
      <c r="E33" s="4"/>
      <c r="F33" s="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row>
    <row r="34" spans="2:31" x14ac:dyDescent="0.25">
      <c r="B34" s="4"/>
      <c r="C34" s="4"/>
      <c r="D34" s="4"/>
      <c r="E34" s="4"/>
      <c r="F34" s="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row>
    <row r="35" spans="2:31" x14ac:dyDescent="0.25">
      <c r="B35" s="2" t="s">
        <v>135</v>
      </c>
      <c r="C35" s="4"/>
      <c r="D35" s="4" t="s">
        <v>133</v>
      </c>
      <c r="E35" s="4"/>
      <c r="F35" s="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row>
    <row r="36" spans="2:31" x14ac:dyDescent="0.25">
      <c r="B36" s="4" t="str">
        <f>$B$6</f>
        <v>Battery - Com 4 Hours_MISO</v>
      </c>
      <c r="C36" s="3" t="str">
        <f>$C$12</f>
        <v>Commercial Battery Storage 4Hr</v>
      </c>
      <c r="D36" s="4">
        <f>1+D30</f>
        <v>2034</v>
      </c>
      <c r="E36" s="4"/>
      <c r="F36" s="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row>
    <row r="37" spans="2:31" x14ac:dyDescent="0.25">
      <c r="B37" s="4" t="str">
        <f>$B$7</f>
        <v>Battery - Com 4 Hours_PJM</v>
      </c>
      <c r="C37" s="3" t="str">
        <f>$C$13</f>
        <v>Commercial Battery Storage 4Hr</v>
      </c>
      <c r="D37" s="4">
        <f>D36</f>
        <v>2034</v>
      </c>
      <c r="E37" s="4"/>
      <c r="F37" s="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row>
    <row r="38" spans="2:31" x14ac:dyDescent="0.25">
      <c r="B38" s="4" t="str">
        <f>$B$8</f>
        <v>Battery - Res 4 Hours_MISO</v>
      </c>
      <c r="C38" s="4" t="str">
        <f>$C$14</f>
        <v>Residential Battery Storage - 5 kW - 20 kWh</v>
      </c>
      <c r="D38" s="4">
        <f>D37</f>
        <v>2034</v>
      </c>
      <c r="E38" s="4"/>
      <c r="F38" s="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row>
    <row r="39" spans="2:31" x14ac:dyDescent="0.25">
      <c r="B39" s="4" t="str">
        <f>$B$9</f>
        <v>Battery - Res 4 Hours_PJM</v>
      </c>
      <c r="C39" s="4" t="str">
        <f>$C$15</f>
        <v>Residential Battery Storage - 5 kW - 20 kWh</v>
      </c>
      <c r="D39" s="4">
        <f>D38</f>
        <v>2034</v>
      </c>
      <c r="E39" s="4"/>
      <c r="F39" s="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row>
    <row r="40" spans="2:31" x14ac:dyDescent="0.25">
      <c r="B40" s="4"/>
      <c r="C40" s="4"/>
      <c r="D40" s="4"/>
      <c r="E40" s="4"/>
      <c r="F40" s="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row>
    <row r="41" spans="2:31" x14ac:dyDescent="0.25">
      <c r="B41" s="2" t="s">
        <v>135</v>
      </c>
      <c r="C41" s="4"/>
      <c r="D41" s="4" t="s">
        <v>133</v>
      </c>
      <c r="E41" s="4"/>
      <c r="F41" s="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row>
    <row r="42" spans="2:31" x14ac:dyDescent="0.25">
      <c r="B42" s="4" t="str">
        <f>$B$6</f>
        <v>Battery - Com 4 Hours_MISO</v>
      </c>
      <c r="C42" s="3" t="str">
        <f>$C$12</f>
        <v>Commercial Battery Storage 4Hr</v>
      </c>
      <c r="D42" s="4">
        <f>1+D36</f>
        <v>2035</v>
      </c>
      <c r="E42" s="4"/>
      <c r="F42" s="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row>
    <row r="43" spans="2:31" x14ac:dyDescent="0.25">
      <c r="B43" s="4" t="str">
        <f>$B$7</f>
        <v>Battery - Com 4 Hours_PJM</v>
      </c>
      <c r="C43" s="3" t="str">
        <f>$C$13</f>
        <v>Commercial Battery Storage 4Hr</v>
      </c>
      <c r="D43" s="4">
        <f>D42</f>
        <v>2035</v>
      </c>
      <c r="E43" s="4"/>
      <c r="F43" s="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row>
    <row r="44" spans="2:31" x14ac:dyDescent="0.25">
      <c r="B44" s="4" t="str">
        <f>$B$8</f>
        <v>Battery - Res 4 Hours_MISO</v>
      </c>
      <c r="C44" s="4" t="str">
        <f>$C$14</f>
        <v>Residential Battery Storage - 5 kW - 20 kWh</v>
      </c>
      <c r="D44" s="4">
        <f>D43</f>
        <v>2035</v>
      </c>
      <c r="E44" s="4"/>
      <c r="F44" s="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row>
    <row r="45" spans="2:31" x14ac:dyDescent="0.25">
      <c r="B45" s="4" t="str">
        <f>$B$9</f>
        <v>Battery - Res 4 Hours_PJM</v>
      </c>
      <c r="C45" s="4" t="str">
        <f>$C$15</f>
        <v>Residential Battery Storage - 5 kW - 20 kWh</v>
      </c>
      <c r="D45" s="4">
        <f>D44</f>
        <v>2035</v>
      </c>
      <c r="E45" s="4"/>
      <c r="F45" s="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row>
    <row r="46" spans="2:31" x14ac:dyDescent="0.25">
      <c r="B46" s="4"/>
      <c r="C46" s="4"/>
      <c r="D46" s="4"/>
      <c r="E46" s="4"/>
      <c r="F46" s="4"/>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row>
    <row r="47" spans="2:31" x14ac:dyDescent="0.25">
      <c r="B47" s="2" t="s">
        <v>134</v>
      </c>
      <c r="C47" s="4"/>
      <c r="D47" s="4" t="s">
        <v>133</v>
      </c>
      <c r="E47" s="4"/>
      <c r="F47" s="4"/>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row>
    <row r="48" spans="2:31" x14ac:dyDescent="0.25">
      <c r="B48" s="4" t="str">
        <f>$B$6</f>
        <v>Battery - Com 4 Hours_MISO</v>
      </c>
      <c r="C48" s="3" t="str">
        <f>$C$12</f>
        <v>Commercial Battery Storage 4Hr</v>
      </c>
      <c r="D48" s="4">
        <v>2030</v>
      </c>
      <c r="E48" s="4"/>
      <c r="F48" s="4"/>
      <c r="G48" s="437">
        <f t="shared" ref="G48:AE48" si="1">G6</f>
        <v>557.86666666666667</v>
      </c>
      <c r="H48" s="437">
        <f t="shared" si="1"/>
        <v>557.86666666666667</v>
      </c>
      <c r="I48" s="437">
        <f t="shared" si="1"/>
        <v>557.86666666666667</v>
      </c>
      <c r="J48" s="437">
        <f t="shared" si="1"/>
        <v>557.86666666666667</v>
      </c>
      <c r="K48" s="437">
        <f t="shared" si="1"/>
        <v>557.86666666666667</v>
      </c>
      <c r="L48" s="437">
        <f t="shared" si="1"/>
        <v>557.86666666666667</v>
      </c>
      <c r="M48" s="437">
        <f t="shared" si="1"/>
        <v>557.86666666666667</v>
      </c>
      <c r="N48" s="437">
        <f t="shared" si="1"/>
        <v>557.86666666666667</v>
      </c>
      <c r="O48" s="437">
        <f t="shared" si="1"/>
        <v>557.86666666666667</v>
      </c>
      <c r="P48" s="437">
        <f t="shared" si="1"/>
        <v>557.86666666666667</v>
      </c>
      <c r="Q48" s="437">
        <f t="shared" si="1"/>
        <v>557.86666666666667</v>
      </c>
      <c r="R48" s="437">
        <f t="shared" si="1"/>
        <v>557.86666666666667</v>
      </c>
      <c r="S48" s="437">
        <f t="shared" si="1"/>
        <v>557.86666666666667</v>
      </c>
      <c r="T48" s="437">
        <f t="shared" si="1"/>
        <v>557.86666666666667</v>
      </c>
      <c r="U48" s="437">
        <f t="shared" si="1"/>
        <v>557.86666666666667</v>
      </c>
      <c r="V48" s="437">
        <f t="shared" si="1"/>
        <v>557.86666666666667</v>
      </c>
      <c r="W48" s="437">
        <f t="shared" si="1"/>
        <v>557.86666666666667</v>
      </c>
      <c r="X48" s="437">
        <f t="shared" si="1"/>
        <v>557.86666666666667</v>
      </c>
      <c r="Y48" s="437">
        <f t="shared" si="1"/>
        <v>557.86666666666667</v>
      </c>
      <c r="Z48" s="437">
        <f t="shared" si="1"/>
        <v>557.86666666666667</v>
      </c>
      <c r="AA48" s="437">
        <f t="shared" si="1"/>
        <v>557.86666666666667</v>
      </c>
      <c r="AB48" s="437">
        <f t="shared" si="1"/>
        <v>557.86666666666667</v>
      </c>
      <c r="AC48" s="437">
        <f t="shared" si="1"/>
        <v>557.86666666666667</v>
      </c>
      <c r="AD48" s="437">
        <f t="shared" si="1"/>
        <v>557.86666666666667</v>
      </c>
      <c r="AE48" s="437">
        <f t="shared" si="1"/>
        <v>557.86666666666667</v>
      </c>
    </row>
    <row r="49" spans="2:31" x14ac:dyDescent="0.25">
      <c r="B49" s="4" t="str">
        <f>$B$7</f>
        <v>Battery - Com 4 Hours_PJM</v>
      </c>
      <c r="C49" s="3" t="str">
        <f>$C$13</f>
        <v>Commercial Battery Storage 4Hr</v>
      </c>
      <c r="D49" s="4">
        <f>D48</f>
        <v>2030</v>
      </c>
      <c r="E49" s="4"/>
      <c r="F49" s="4"/>
      <c r="G49" s="437">
        <f t="shared" ref="G49:AE49" si="2">G7</f>
        <v>242.13333333333333</v>
      </c>
      <c r="H49" s="437">
        <f t="shared" si="2"/>
        <v>242.13333333333333</v>
      </c>
      <c r="I49" s="437">
        <f t="shared" si="2"/>
        <v>242.13333333333333</v>
      </c>
      <c r="J49" s="437">
        <f t="shared" si="2"/>
        <v>242.13333333333333</v>
      </c>
      <c r="K49" s="437">
        <f t="shared" si="2"/>
        <v>242.13333333333333</v>
      </c>
      <c r="L49" s="437">
        <f t="shared" si="2"/>
        <v>242.13333333333333</v>
      </c>
      <c r="M49" s="437">
        <f t="shared" si="2"/>
        <v>242.13333333333333</v>
      </c>
      <c r="N49" s="437">
        <f t="shared" si="2"/>
        <v>242.13333333333333</v>
      </c>
      <c r="O49" s="437">
        <f t="shared" si="2"/>
        <v>242.13333333333333</v>
      </c>
      <c r="P49" s="437">
        <f t="shared" si="2"/>
        <v>242.13333333333333</v>
      </c>
      <c r="Q49" s="437">
        <f t="shared" si="2"/>
        <v>242.13333333333333</v>
      </c>
      <c r="R49" s="437">
        <f t="shared" si="2"/>
        <v>242.13333333333333</v>
      </c>
      <c r="S49" s="437">
        <f t="shared" si="2"/>
        <v>242.13333333333333</v>
      </c>
      <c r="T49" s="437">
        <f t="shared" si="2"/>
        <v>242.13333333333333</v>
      </c>
      <c r="U49" s="437">
        <f t="shared" si="2"/>
        <v>242.13333333333333</v>
      </c>
      <c r="V49" s="437">
        <f t="shared" si="2"/>
        <v>242.13333333333333</v>
      </c>
      <c r="W49" s="437">
        <f t="shared" si="2"/>
        <v>242.13333333333333</v>
      </c>
      <c r="X49" s="437">
        <f t="shared" si="2"/>
        <v>242.13333333333333</v>
      </c>
      <c r="Y49" s="437">
        <f t="shared" si="2"/>
        <v>242.13333333333333</v>
      </c>
      <c r="Z49" s="437">
        <f t="shared" si="2"/>
        <v>242.13333333333333</v>
      </c>
      <c r="AA49" s="437">
        <f t="shared" si="2"/>
        <v>242.13333333333333</v>
      </c>
      <c r="AB49" s="437">
        <f t="shared" si="2"/>
        <v>242.13333333333333</v>
      </c>
      <c r="AC49" s="437">
        <f t="shared" si="2"/>
        <v>242.13333333333333</v>
      </c>
      <c r="AD49" s="437">
        <f t="shared" si="2"/>
        <v>242.13333333333333</v>
      </c>
      <c r="AE49" s="437">
        <f t="shared" si="2"/>
        <v>242.13333333333333</v>
      </c>
    </row>
    <row r="50" spans="2:31" x14ac:dyDescent="0.25">
      <c r="B50" s="4" t="str">
        <f>$B$8</f>
        <v>Battery - Res 4 Hours_MISO</v>
      </c>
      <c r="C50" s="4" t="str">
        <f>$C$14</f>
        <v>Residential Battery Storage - 5 kW - 20 kWh</v>
      </c>
      <c r="D50" s="4">
        <f>D49</f>
        <v>2030</v>
      </c>
      <c r="E50" s="4"/>
      <c r="F50" s="4"/>
      <c r="G50" s="437">
        <f t="shared" ref="G50:AE50" si="3">G8</f>
        <v>139.46666666666667</v>
      </c>
      <c r="H50" s="437">
        <f t="shared" si="3"/>
        <v>139.46666666666667</v>
      </c>
      <c r="I50" s="437">
        <f t="shared" si="3"/>
        <v>139.46666666666667</v>
      </c>
      <c r="J50" s="437">
        <f t="shared" si="3"/>
        <v>139.46666666666667</v>
      </c>
      <c r="K50" s="437">
        <f t="shared" si="3"/>
        <v>139.46666666666667</v>
      </c>
      <c r="L50" s="437">
        <f t="shared" si="3"/>
        <v>139.46666666666667</v>
      </c>
      <c r="M50" s="437">
        <f t="shared" si="3"/>
        <v>139.46666666666667</v>
      </c>
      <c r="N50" s="437">
        <f t="shared" si="3"/>
        <v>139.46666666666667</v>
      </c>
      <c r="O50" s="437">
        <f t="shared" si="3"/>
        <v>139.46666666666667</v>
      </c>
      <c r="P50" s="437">
        <f t="shared" si="3"/>
        <v>139.46666666666667</v>
      </c>
      <c r="Q50" s="437">
        <f t="shared" si="3"/>
        <v>139.46666666666667</v>
      </c>
      <c r="R50" s="437">
        <f t="shared" si="3"/>
        <v>139.46666666666667</v>
      </c>
      <c r="S50" s="437">
        <f t="shared" si="3"/>
        <v>139.46666666666667</v>
      </c>
      <c r="T50" s="437">
        <f t="shared" si="3"/>
        <v>139.46666666666667</v>
      </c>
      <c r="U50" s="437">
        <f t="shared" si="3"/>
        <v>139.46666666666667</v>
      </c>
      <c r="V50" s="437">
        <f t="shared" si="3"/>
        <v>139.46666666666667</v>
      </c>
      <c r="W50" s="437">
        <f t="shared" si="3"/>
        <v>139.46666666666667</v>
      </c>
      <c r="X50" s="437">
        <f t="shared" si="3"/>
        <v>139.46666666666667</v>
      </c>
      <c r="Y50" s="437">
        <f t="shared" si="3"/>
        <v>139.46666666666667</v>
      </c>
      <c r="Z50" s="437">
        <f t="shared" si="3"/>
        <v>139.46666666666667</v>
      </c>
      <c r="AA50" s="437">
        <f t="shared" si="3"/>
        <v>139.46666666666667</v>
      </c>
      <c r="AB50" s="437">
        <f t="shared" si="3"/>
        <v>139.46666666666667</v>
      </c>
      <c r="AC50" s="437">
        <f t="shared" si="3"/>
        <v>139.46666666666667</v>
      </c>
      <c r="AD50" s="437">
        <f t="shared" si="3"/>
        <v>139.46666666666667</v>
      </c>
      <c r="AE50" s="437">
        <f t="shared" si="3"/>
        <v>139.46666666666667</v>
      </c>
    </row>
    <row r="51" spans="2:31" x14ac:dyDescent="0.25">
      <c r="B51" s="4" t="str">
        <f>$B$9</f>
        <v>Battery - Res 4 Hours_PJM</v>
      </c>
      <c r="C51" s="4" t="str">
        <f>$C$15</f>
        <v>Residential Battery Storage - 5 kW - 20 kWh</v>
      </c>
      <c r="D51" s="4">
        <f>D50</f>
        <v>2030</v>
      </c>
      <c r="E51" s="4"/>
      <c r="F51" s="4"/>
      <c r="G51" s="437">
        <f t="shared" ref="G51:AE51" si="4">G9</f>
        <v>60.533333333333331</v>
      </c>
      <c r="H51" s="437">
        <f t="shared" si="4"/>
        <v>60.533333333333331</v>
      </c>
      <c r="I51" s="437">
        <f t="shared" si="4"/>
        <v>60.533333333333331</v>
      </c>
      <c r="J51" s="437">
        <f t="shared" si="4"/>
        <v>60.533333333333331</v>
      </c>
      <c r="K51" s="437">
        <f t="shared" si="4"/>
        <v>60.533333333333331</v>
      </c>
      <c r="L51" s="437">
        <f t="shared" si="4"/>
        <v>60.533333333333331</v>
      </c>
      <c r="M51" s="437">
        <f t="shared" si="4"/>
        <v>60.533333333333331</v>
      </c>
      <c r="N51" s="437">
        <f t="shared" si="4"/>
        <v>60.533333333333331</v>
      </c>
      <c r="O51" s="437">
        <f t="shared" si="4"/>
        <v>60.533333333333331</v>
      </c>
      <c r="P51" s="437">
        <f t="shared" si="4"/>
        <v>60.533333333333331</v>
      </c>
      <c r="Q51" s="437">
        <f t="shared" si="4"/>
        <v>60.533333333333331</v>
      </c>
      <c r="R51" s="437">
        <f t="shared" si="4"/>
        <v>60.533333333333331</v>
      </c>
      <c r="S51" s="437">
        <f t="shared" si="4"/>
        <v>60.533333333333331</v>
      </c>
      <c r="T51" s="437">
        <f t="shared" si="4"/>
        <v>60.533333333333331</v>
      </c>
      <c r="U51" s="437">
        <f t="shared" si="4"/>
        <v>60.533333333333331</v>
      </c>
      <c r="V51" s="437">
        <f t="shared" si="4"/>
        <v>60.533333333333331</v>
      </c>
      <c r="W51" s="437">
        <f t="shared" si="4"/>
        <v>60.533333333333331</v>
      </c>
      <c r="X51" s="437">
        <f t="shared" si="4"/>
        <v>60.533333333333331</v>
      </c>
      <c r="Y51" s="437">
        <f t="shared" si="4"/>
        <v>60.533333333333331</v>
      </c>
      <c r="Z51" s="437">
        <f t="shared" si="4"/>
        <v>60.533333333333331</v>
      </c>
      <c r="AA51" s="437">
        <f t="shared" si="4"/>
        <v>60.533333333333331</v>
      </c>
      <c r="AB51" s="437">
        <f t="shared" si="4"/>
        <v>60.533333333333331</v>
      </c>
      <c r="AC51" s="437">
        <f t="shared" si="4"/>
        <v>60.533333333333331</v>
      </c>
      <c r="AD51" s="437">
        <f t="shared" si="4"/>
        <v>60.533333333333331</v>
      </c>
      <c r="AE51" s="437">
        <f t="shared" si="4"/>
        <v>60.533333333333331</v>
      </c>
    </row>
    <row r="52" spans="2:31" x14ac:dyDescent="0.25">
      <c r="B52" s="4"/>
      <c r="C52" s="4"/>
      <c r="D52" s="4"/>
      <c r="E52" s="4"/>
      <c r="F52" s="4"/>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row>
    <row r="53" spans="2:31" x14ac:dyDescent="0.25">
      <c r="B53" s="2" t="str">
        <f>B47</f>
        <v>Annual MW</v>
      </c>
      <c r="C53" s="4"/>
      <c r="D53" s="4" t="s">
        <v>133</v>
      </c>
      <c r="E53" s="4"/>
      <c r="F53" s="4"/>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row>
    <row r="54" spans="2:31" x14ac:dyDescent="0.25">
      <c r="B54" s="4" t="str">
        <f>$B$6</f>
        <v>Battery - Com 4 Hours_MISO</v>
      </c>
      <c r="C54" s="3" t="str">
        <f>$C$12</f>
        <v>Commercial Battery Storage 4Hr</v>
      </c>
      <c r="D54" s="4">
        <f>1+D48</f>
        <v>2031</v>
      </c>
      <c r="E54" s="4"/>
      <c r="F54" s="4"/>
      <c r="G54" s="437"/>
      <c r="H54" s="437"/>
      <c r="I54" s="437"/>
      <c r="J54" s="437"/>
      <c r="K54" s="437"/>
      <c r="L54" s="437"/>
      <c r="M54" s="437"/>
      <c r="N54" s="437"/>
      <c r="O54" s="437"/>
      <c r="P54" s="437"/>
      <c r="Q54" s="437"/>
      <c r="R54" s="437"/>
      <c r="S54" s="437"/>
      <c r="T54" s="437"/>
      <c r="U54" s="437"/>
      <c r="V54" s="437"/>
      <c r="W54" s="437"/>
      <c r="X54" s="437"/>
      <c r="Y54" s="437"/>
      <c r="Z54" s="437"/>
      <c r="AA54" s="437"/>
      <c r="AB54" s="437"/>
      <c r="AC54" s="437"/>
      <c r="AD54" s="437"/>
      <c r="AE54" s="437"/>
    </row>
    <row r="55" spans="2:31" x14ac:dyDescent="0.25">
      <c r="B55" s="4" t="str">
        <f>$B$7</f>
        <v>Battery - Com 4 Hours_PJM</v>
      </c>
      <c r="C55" s="3" t="str">
        <f>$C$13</f>
        <v>Commercial Battery Storage 4Hr</v>
      </c>
      <c r="D55" s="4">
        <f>D54</f>
        <v>2031</v>
      </c>
      <c r="E55" s="4"/>
      <c r="F55" s="4"/>
      <c r="G55" s="437"/>
      <c r="H55" s="437"/>
      <c r="I55" s="437"/>
      <c r="J55" s="437"/>
      <c r="K55" s="437"/>
      <c r="L55" s="437"/>
      <c r="M55" s="437"/>
      <c r="N55" s="437"/>
      <c r="O55" s="437"/>
      <c r="P55" s="437"/>
      <c r="Q55" s="437"/>
      <c r="R55" s="437"/>
      <c r="S55" s="437"/>
      <c r="T55" s="437"/>
      <c r="U55" s="437"/>
      <c r="V55" s="437"/>
      <c r="W55" s="437"/>
      <c r="X55" s="437"/>
      <c r="Y55" s="437"/>
      <c r="Z55" s="437"/>
      <c r="AA55" s="437"/>
      <c r="AB55" s="437"/>
      <c r="AC55" s="437"/>
      <c r="AD55" s="437"/>
      <c r="AE55" s="437"/>
    </row>
    <row r="56" spans="2:31" x14ac:dyDescent="0.25">
      <c r="B56" s="4" t="str">
        <f>$B$8</f>
        <v>Battery - Res 4 Hours_MISO</v>
      </c>
      <c r="C56" s="4" t="str">
        <f>$C$14</f>
        <v>Residential Battery Storage - 5 kW - 20 kWh</v>
      </c>
      <c r="D56" s="4">
        <f>D55</f>
        <v>2031</v>
      </c>
      <c r="E56" s="4"/>
      <c r="F56" s="4"/>
      <c r="G56" s="437"/>
      <c r="H56" s="437"/>
      <c r="I56" s="437"/>
      <c r="J56" s="437"/>
      <c r="K56" s="437"/>
      <c r="L56" s="437"/>
      <c r="M56" s="437"/>
      <c r="N56" s="437"/>
      <c r="O56" s="437"/>
      <c r="P56" s="437"/>
      <c r="Q56" s="437"/>
      <c r="R56" s="437"/>
      <c r="S56" s="437"/>
      <c r="T56" s="437"/>
      <c r="U56" s="437"/>
      <c r="V56" s="437"/>
      <c r="W56" s="437"/>
      <c r="X56" s="437"/>
      <c r="Y56" s="437"/>
      <c r="Z56" s="437"/>
      <c r="AA56" s="437"/>
      <c r="AB56" s="437"/>
      <c r="AC56" s="437"/>
      <c r="AD56" s="437"/>
      <c r="AE56" s="437"/>
    </row>
    <row r="57" spans="2:31" x14ac:dyDescent="0.25">
      <c r="B57" s="4" t="str">
        <f>$B$9</f>
        <v>Battery - Res 4 Hours_PJM</v>
      </c>
      <c r="C57" s="4" t="str">
        <f>$C$15</f>
        <v>Residential Battery Storage - 5 kW - 20 kWh</v>
      </c>
      <c r="D57" s="4">
        <f>D56</f>
        <v>2031</v>
      </c>
      <c r="E57" s="4"/>
      <c r="F57" s="4"/>
      <c r="G57" s="437"/>
      <c r="H57" s="437"/>
      <c r="I57" s="437"/>
      <c r="J57" s="437"/>
      <c r="K57" s="437"/>
      <c r="L57" s="437"/>
      <c r="M57" s="437"/>
      <c r="N57" s="437"/>
      <c r="O57" s="437"/>
      <c r="P57" s="437"/>
      <c r="Q57" s="437"/>
      <c r="R57" s="437"/>
      <c r="S57" s="437"/>
      <c r="T57" s="437"/>
      <c r="U57" s="437"/>
      <c r="V57" s="437"/>
      <c r="W57" s="437"/>
      <c r="X57" s="437"/>
      <c r="Y57" s="437"/>
      <c r="Z57" s="437"/>
      <c r="AA57" s="437"/>
      <c r="AB57" s="437"/>
      <c r="AC57" s="437"/>
      <c r="AD57" s="437"/>
      <c r="AE57" s="437"/>
    </row>
    <row r="58" spans="2:31" x14ac:dyDescent="0.25">
      <c r="B58" s="4"/>
      <c r="C58" s="4"/>
      <c r="D58" s="4"/>
      <c r="E58" s="4"/>
      <c r="F58" s="4"/>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row>
    <row r="59" spans="2:31" x14ac:dyDescent="0.25">
      <c r="B59" s="2" t="str">
        <f>B53</f>
        <v>Annual MW</v>
      </c>
      <c r="C59" s="4"/>
      <c r="D59" s="4" t="s">
        <v>133</v>
      </c>
      <c r="E59" s="4"/>
      <c r="F59" s="4"/>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row>
    <row r="60" spans="2:31" x14ac:dyDescent="0.25">
      <c r="B60" s="4" t="str">
        <f>$B$6</f>
        <v>Battery - Com 4 Hours_MISO</v>
      </c>
      <c r="C60" s="3" t="str">
        <f>$C$12</f>
        <v>Commercial Battery Storage 4Hr</v>
      </c>
      <c r="D60" s="4">
        <f>1+D54</f>
        <v>2032</v>
      </c>
      <c r="E60" s="4"/>
      <c r="F60" s="4"/>
      <c r="G60" s="437"/>
      <c r="H60" s="437"/>
      <c r="I60" s="437"/>
      <c r="J60" s="437"/>
      <c r="K60" s="437"/>
      <c r="L60" s="437"/>
      <c r="M60" s="437"/>
      <c r="N60" s="437"/>
      <c r="O60" s="437"/>
      <c r="P60" s="437"/>
      <c r="Q60" s="437"/>
      <c r="R60" s="437"/>
      <c r="S60" s="437"/>
      <c r="T60" s="437"/>
      <c r="U60" s="437"/>
      <c r="V60" s="437"/>
      <c r="W60" s="437"/>
      <c r="X60" s="437"/>
      <c r="Y60" s="437"/>
      <c r="Z60" s="437"/>
      <c r="AA60" s="437"/>
      <c r="AB60" s="437"/>
      <c r="AC60" s="437"/>
      <c r="AD60" s="437"/>
      <c r="AE60" s="437"/>
    </row>
    <row r="61" spans="2:31" x14ac:dyDescent="0.25">
      <c r="B61" s="4" t="str">
        <f>$B$7</f>
        <v>Battery - Com 4 Hours_PJM</v>
      </c>
      <c r="C61" s="3" t="str">
        <f>$C$13</f>
        <v>Commercial Battery Storage 4Hr</v>
      </c>
      <c r="D61" s="4">
        <f>D60</f>
        <v>2032</v>
      </c>
      <c r="E61" s="4"/>
      <c r="F61" s="4"/>
      <c r="G61" s="437"/>
      <c r="H61" s="437"/>
      <c r="I61" s="437"/>
      <c r="J61" s="437"/>
      <c r="K61" s="437"/>
      <c r="L61" s="437"/>
      <c r="M61" s="437"/>
      <c r="N61" s="437"/>
      <c r="O61" s="437"/>
      <c r="P61" s="437"/>
      <c r="Q61" s="437"/>
      <c r="R61" s="437"/>
      <c r="S61" s="437"/>
      <c r="T61" s="437"/>
      <c r="U61" s="437"/>
      <c r="V61" s="437"/>
      <c r="W61" s="437"/>
      <c r="X61" s="437"/>
      <c r="Y61" s="437"/>
      <c r="Z61" s="437"/>
      <c r="AA61" s="437"/>
      <c r="AB61" s="437"/>
      <c r="AC61" s="437"/>
      <c r="AD61" s="437"/>
      <c r="AE61" s="437"/>
    </row>
    <row r="62" spans="2:31" x14ac:dyDescent="0.25">
      <c r="B62" s="4" t="str">
        <f>$B$8</f>
        <v>Battery - Res 4 Hours_MISO</v>
      </c>
      <c r="C62" s="4" t="str">
        <f>$C$14</f>
        <v>Residential Battery Storage - 5 kW - 20 kWh</v>
      </c>
      <c r="D62" s="4">
        <f>D61</f>
        <v>2032</v>
      </c>
      <c r="E62" s="4"/>
      <c r="F62" s="4"/>
      <c r="G62" s="437"/>
      <c r="H62" s="437"/>
      <c r="I62" s="437"/>
      <c r="J62" s="437"/>
      <c r="K62" s="437"/>
      <c r="L62" s="437"/>
      <c r="M62" s="437"/>
      <c r="N62" s="437"/>
      <c r="O62" s="437"/>
      <c r="P62" s="437"/>
      <c r="Q62" s="437"/>
      <c r="R62" s="437"/>
      <c r="S62" s="437"/>
      <c r="T62" s="437"/>
      <c r="U62" s="437"/>
      <c r="V62" s="437"/>
      <c r="W62" s="437"/>
      <c r="X62" s="437"/>
      <c r="Y62" s="437"/>
      <c r="Z62" s="437"/>
      <c r="AA62" s="437"/>
      <c r="AB62" s="437"/>
      <c r="AC62" s="437"/>
      <c r="AD62" s="437"/>
      <c r="AE62" s="437"/>
    </row>
    <row r="63" spans="2:31" x14ac:dyDescent="0.25">
      <c r="B63" s="4" t="str">
        <f>$B$9</f>
        <v>Battery - Res 4 Hours_PJM</v>
      </c>
      <c r="C63" s="4" t="str">
        <f>$C$15</f>
        <v>Residential Battery Storage - 5 kW - 20 kWh</v>
      </c>
      <c r="D63" s="4">
        <f>D62</f>
        <v>2032</v>
      </c>
      <c r="E63" s="4"/>
      <c r="F63" s="4"/>
      <c r="G63" s="437"/>
      <c r="H63" s="437"/>
      <c r="I63" s="437"/>
      <c r="J63" s="437"/>
      <c r="K63" s="437"/>
      <c r="L63" s="437"/>
      <c r="M63" s="437"/>
      <c r="N63" s="437"/>
      <c r="O63" s="437"/>
      <c r="P63" s="437"/>
      <c r="Q63" s="437"/>
      <c r="R63" s="437"/>
      <c r="S63" s="437"/>
      <c r="T63" s="437"/>
      <c r="U63" s="437"/>
      <c r="V63" s="437"/>
      <c r="W63" s="437"/>
      <c r="X63" s="437"/>
      <c r="Y63" s="437"/>
      <c r="Z63" s="437"/>
      <c r="AA63" s="437"/>
      <c r="AB63" s="437"/>
      <c r="AC63" s="437"/>
      <c r="AD63" s="437"/>
      <c r="AE63" s="437"/>
    </row>
    <row r="64" spans="2:31" x14ac:dyDescent="0.25">
      <c r="B64" s="4"/>
      <c r="C64" s="4"/>
      <c r="D64" s="4"/>
      <c r="E64" s="4"/>
      <c r="F64" s="4"/>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row>
    <row r="65" spans="2:31" x14ac:dyDescent="0.25">
      <c r="B65" s="2" t="str">
        <f>B59</f>
        <v>Annual MW</v>
      </c>
      <c r="C65" s="4"/>
      <c r="D65" s="4" t="s">
        <v>133</v>
      </c>
      <c r="E65" s="4"/>
      <c r="F65" s="4"/>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row>
    <row r="66" spans="2:31" x14ac:dyDescent="0.25">
      <c r="B66" s="4" t="str">
        <f>$B$6</f>
        <v>Battery - Com 4 Hours_MISO</v>
      </c>
      <c r="C66" s="3" t="str">
        <f>$C$12</f>
        <v>Commercial Battery Storage 4Hr</v>
      </c>
      <c r="D66" s="4">
        <f>1+D60</f>
        <v>2033</v>
      </c>
      <c r="E66" s="4"/>
      <c r="F66" s="4"/>
      <c r="G66" s="437"/>
      <c r="H66" s="437"/>
      <c r="I66" s="437"/>
      <c r="J66" s="437"/>
      <c r="K66" s="437"/>
      <c r="L66" s="437"/>
      <c r="M66" s="437"/>
      <c r="N66" s="437"/>
      <c r="O66" s="437"/>
      <c r="P66" s="437"/>
      <c r="Q66" s="437"/>
      <c r="R66" s="437"/>
      <c r="S66" s="437"/>
      <c r="T66" s="437"/>
      <c r="U66" s="437"/>
      <c r="V66" s="437"/>
      <c r="W66" s="437"/>
      <c r="X66" s="437"/>
      <c r="Y66" s="437"/>
      <c r="Z66" s="437"/>
      <c r="AA66" s="437"/>
      <c r="AB66" s="437"/>
      <c r="AC66" s="437"/>
      <c r="AD66" s="437"/>
      <c r="AE66" s="437"/>
    </row>
    <row r="67" spans="2:31" x14ac:dyDescent="0.25">
      <c r="B67" s="4" t="str">
        <f>$B$7</f>
        <v>Battery - Com 4 Hours_PJM</v>
      </c>
      <c r="C67" s="3" t="str">
        <f>$C$13</f>
        <v>Commercial Battery Storage 4Hr</v>
      </c>
      <c r="D67" s="4">
        <f>D66</f>
        <v>2033</v>
      </c>
      <c r="E67" s="4"/>
      <c r="F67" s="4"/>
      <c r="G67" s="437"/>
      <c r="H67" s="437"/>
      <c r="I67" s="437"/>
      <c r="J67" s="437"/>
      <c r="K67" s="437"/>
      <c r="L67" s="437"/>
      <c r="M67" s="437"/>
      <c r="N67" s="437"/>
      <c r="O67" s="437"/>
      <c r="P67" s="437"/>
      <c r="Q67" s="437"/>
      <c r="R67" s="437"/>
      <c r="S67" s="437"/>
      <c r="T67" s="437"/>
      <c r="U67" s="437"/>
      <c r="V67" s="437"/>
      <c r="W67" s="437"/>
      <c r="X67" s="437"/>
      <c r="Y67" s="437"/>
      <c r="Z67" s="437"/>
      <c r="AA67" s="437"/>
      <c r="AB67" s="437"/>
      <c r="AC67" s="437"/>
      <c r="AD67" s="437"/>
      <c r="AE67" s="437"/>
    </row>
    <row r="68" spans="2:31" x14ac:dyDescent="0.25">
      <c r="B68" s="4" t="str">
        <f>$B$8</f>
        <v>Battery - Res 4 Hours_MISO</v>
      </c>
      <c r="C68" s="4" t="str">
        <f>$C$14</f>
        <v>Residential Battery Storage - 5 kW - 20 kWh</v>
      </c>
      <c r="D68" s="4">
        <f>D67</f>
        <v>2033</v>
      </c>
      <c r="E68" s="4"/>
      <c r="F68" s="4"/>
      <c r="G68" s="437"/>
      <c r="H68" s="437"/>
      <c r="I68" s="437"/>
      <c r="J68" s="437"/>
      <c r="K68" s="437"/>
      <c r="L68" s="437"/>
      <c r="M68" s="437"/>
      <c r="N68" s="437"/>
      <c r="O68" s="437"/>
      <c r="P68" s="437"/>
      <c r="Q68" s="437"/>
      <c r="R68" s="437"/>
      <c r="S68" s="437"/>
      <c r="T68" s="437"/>
      <c r="U68" s="437"/>
      <c r="V68" s="437"/>
      <c r="W68" s="437"/>
      <c r="X68" s="437"/>
      <c r="Y68" s="437"/>
      <c r="Z68" s="437"/>
      <c r="AA68" s="437"/>
      <c r="AB68" s="437"/>
      <c r="AC68" s="437"/>
      <c r="AD68" s="437"/>
      <c r="AE68" s="437"/>
    </row>
    <row r="69" spans="2:31" x14ac:dyDescent="0.25">
      <c r="B69" s="4" t="str">
        <f>$B$9</f>
        <v>Battery - Res 4 Hours_PJM</v>
      </c>
      <c r="C69" s="4" t="str">
        <f>$C$15</f>
        <v>Residential Battery Storage - 5 kW - 20 kWh</v>
      </c>
      <c r="D69" s="4">
        <f>D68</f>
        <v>2033</v>
      </c>
      <c r="E69" s="4"/>
      <c r="F69" s="4"/>
      <c r="G69" s="437"/>
      <c r="H69" s="437"/>
      <c r="I69" s="437"/>
      <c r="J69" s="437"/>
      <c r="K69" s="437"/>
      <c r="L69" s="437"/>
      <c r="M69" s="437"/>
      <c r="N69" s="437"/>
      <c r="O69" s="437"/>
      <c r="P69" s="437"/>
      <c r="Q69" s="437"/>
      <c r="R69" s="437"/>
      <c r="S69" s="437"/>
      <c r="T69" s="437"/>
      <c r="U69" s="437"/>
      <c r="V69" s="437"/>
      <c r="W69" s="437"/>
      <c r="X69" s="437"/>
      <c r="Y69" s="437"/>
      <c r="Z69" s="437"/>
      <c r="AA69" s="437"/>
      <c r="AB69" s="437"/>
      <c r="AC69" s="437"/>
      <c r="AD69" s="437"/>
      <c r="AE69" s="437"/>
    </row>
    <row r="70" spans="2:31" x14ac:dyDescent="0.25">
      <c r="B70" s="4"/>
      <c r="C70" s="4"/>
      <c r="D70" s="4"/>
      <c r="E70" s="4"/>
      <c r="F70" s="4"/>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row>
    <row r="71" spans="2:31" x14ac:dyDescent="0.25">
      <c r="B71" s="2" t="str">
        <f>B65</f>
        <v>Annual MW</v>
      </c>
      <c r="C71" s="4"/>
      <c r="D71" s="4" t="s">
        <v>133</v>
      </c>
      <c r="E71" s="4"/>
      <c r="F71" s="4"/>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row>
    <row r="72" spans="2:31" x14ac:dyDescent="0.25">
      <c r="B72" s="4" t="str">
        <f>$B$6</f>
        <v>Battery - Com 4 Hours_MISO</v>
      </c>
      <c r="C72" s="3" t="str">
        <f>$C$12</f>
        <v>Commercial Battery Storage 4Hr</v>
      </c>
      <c r="D72" s="4">
        <f>1+D66</f>
        <v>2034</v>
      </c>
      <c r="E72" s="4"/>
      <c r="F72" s="4"/>
      <c r="G72" s="437"/>
      <c r="H72" s="437"/>
      <c r="I72" s="437"/>
      <c r="J72" s="437"/>
      <c r="K72" s="437"/>
      <c r="L72" s="437"/>
      <c r="M72" s="437"/>
      <c r="N72" s="437"/>
      <c r="O72" s="437"/>
      <c r="P72" s="437"/>
      <c r="Q72" s="437"/>
      <c r="R72" s="437"/>
      <c r="S72" s="437"/>
      <c r="T72" s="437"/>
      <c r="U72" s="437"/>
      <c r="V72" s="437"/>
      <c r="W72" s="437"/>
      <c r="X72" s="437"/>
      <c r="Y72" s="437"/>
      <c r="Z72" s="437"/>
      <c r="AA72" s="437"/>
      <c r="AB72" s="437"/>
      <c r="AC72" s="437"/>
      <c r="AD72" s="437"/>
      <c r="AE72" s="437"/>
    </row>
    <row r="73" spans="2:31" x14ac:dyDescent="0.25">
      <c r="B73" s="4" t="str">
        <f>$B$7</f>
        <v>Battery - Com 4 Hours_PJM</v>
      </c>
      <c r="C73" s="3" t="str">
        <f>$C$13</f>
        <v>Commercial Battery Storage 4Hr</v>
      </c>
      <c r="D73" s="4">
        <f>D72</f>
        <v>2034</v>
      </c>
      <c r="E73" s="4"/>
      <c r="F73" s="4"/>
      <c r="G73" s="437"/>
      <c r="H73" s="437"/>
      <c r="I73" s="437"/>
      <c r="J73" s="437"/>
      <c r="K73" s="437"/>
      <c r="L73" s="437"/>
      <c r="M73" s="437"/>
      <c r="N73" s="437"/>
      <c r="O73" s="437"/>
      <c r="P73" s="437"/>
      <c r="Q73" s="437"/>
      <c r="R73" s="437"/>
      <c r="S73" s="437"/>
      <c r="T73" s="437"/>
      <c r="U73" s="437"/>
      <c r="V73" s="437"/>
      <c r="W73" s="437"/>
      <c r="X73" s="437"/>
      <c r="Y73" s="437"/>
      <c r="Z73" s="437"/>
      <c r="AA73" s="437"/>
      <c r="AB73" s="437"/>
      <c r="AC73" s="437"/>
      <c r="AD73" s="437"/>
      <c r="AE73" s="437"/>
    </row>
    <row r="74" spans="2:31" x14ac:dyDescent="0.25">
      <c r="B74" s="4" t="str">
        <f>$B$8</f>
        <v>Battery - Res 4 Hours_MISO</v>
      </c>
      <c r="C74" s="4" t="str">
        <f>$C$14</f>
        <v>Residential Battery Storage - 5 kW - 20 kWh</v>
      </c>
      <c r="D74" s="4">
        <f>D73</f>
        <v>2034</v>
      </c>
      <c r="E74" s="4"/>
      <c r="F74" s="4"/>
      <c r="G74" s="437"/>
      <c r="H74" s="437"/>
      <c r="I74" s="437"/>
      <c r="J74" s="437"/>
      <c r="K74" s="437"/>
      <c r="L74" s="437"/>
      <c r="M74" s="437"/>
      <c r="N74" s="437"/>
      <c r="O74" s="437"/>
      <c r="P74" s="437"/>
      <c r="Q74" s="437"/>
      <c r="R74" s="437"/>
      <c r="S74" s="437"/>
      <c r="T74" s="437"/>
      <c r="U74" s="437"/>
      <c r="V74" s="437"/>
      <c r="W74" s="437"/>
      <c r="X74" s="437"/>
      <c r="Y74" s="437"/>
      <c r="Z74" s="437"/>
      <c r="AA74" s="437"/>
      <c r="AB74" s="437"/>
      <c r="AC74" s="437"/>
      <c r="AD74" s="437"/>
      <c r="AE74" s="437"/>
    </row>
    <row r="75" spans="2:31" x14ac:dyDescent="0.25">
      <c r="B75" s="4" t="str">
        <f>$B$9</f>
        <v>Battery - Res 4 Hours_PJM</v>
      </c>
      <c r="C75" s="4" t="str">
        <f>$C$15</f>
        <v>Residential Battery Storage - 5 kW - 20 kWh</v>
      </c>
      <c r="D75" s="4">
        <f>D74</f>
        <v>2034</v>
      </c>
      <c r="E75" s="4"/>
      <c r="F75" s="4"/>
      <c r="G75" s="437"/>
      <c r="H75" s="437"/>
      <c r="I75" s="437"/>
      <c r="J75" s="437"/>
      <c r="K75" s="437"/>
      <c r="L75" s="437"/>
      <c r="M75" s="437"/>
      <c r="N75" s="437"/>
      <c r="O75" s="437"/>
      <c r="P75" s="437"/>
      <c r="Q75" s="437"/>
      <c r="R75" s="437"/>
      <c r="S75" s="437"/>
      <c r="T75" s="437"/>
      <c r="U75" s="437"/>
      <c r="V75" s="437"/>
      <c r="W75" s="437"/>
      <c r="X75" s="437"/>
      <c r="Y75" s="437"/>
      <c r="Z75" s="437"/>
      <c r="AA75" s="437"/>
      <c r="AB75" s="437"/>
      <c r="AC75" s="437"/>
      <c r="AD75" s="437"/>
      <c r="AE75" s="437"/>
    </row>
    <row r="76" spans="2:31" x14ac:dyDescent="0.25">
      <c r="B76" s="4"/>
      <c r="C76" s="4"/>
      <c r="D76" s="4"/>
      <c r="E76" s="4"/>
      <c r="F76" s="4"/>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row>
    <row r="77" spans="2:31" x14ac:dyDescent="0.25">
      <c r="B77" s="2" t="str">
        <f>B71</f>
        <v>Annual MW</v>
      </c>
      <c r="C77" s="4"/>
      <c r="D77" s="4" t="s">
        <v>133</v>
      </c>
      <c r="E77" s="4"/>
      <c r="F77" s="4"/>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row>
    <row r="78" spans="2:31" x14ac:dyDescent="0.25">
      <c r="B78" s="4" t="str">
        <f>$B$6</f>
        <v>Battery - Com 4 Hours_MISO</v>
      </c>
      <c r="C78" s="3" t="str">
        <f>$C$12</f>
        <v>Commercial Battery Storage 4Hr</v>
      </c>
      <c r="D78" s="4">
        <f>1+D72</f>
        <v>2035</v>
      </c>
      <c r="E78" s="4"/>
      <c r="F78" s="4"/>
      <c r="G78" s="437"/>
      <c r="H78" s="437"/>
      <c r="I78" s="437"/>
      <c r="J78" s="437"/>
      <c r="K78" s="437"/>
      <c r="L78" s="437"/>
      <c r="M78" s="437"/>
      <c r="N78" s="437"/>
      <c r="O78" s="437"/>
      <c r="P78" s="437"/>
      <c r="Q78" s="437"/>
      <c r="R78" s="437"/>
      <c r="S78" s="437"/>
      <c r="T78" s="437"/>
      <c r="U78" s="437"/>
      <c r="V78" s="437"/>
      <c r="W78" s="437"/>
      <c r="X78" s="437"/>
      <c r="Y78" s="437"/>
      <c r="Z78" s="437"/>
      <c r="AA78" s="437"/>
      <c r="AB78" s="437"/>
      <c r="AC78" s="437"/>
      <c r="AD78" s="437"/>
      <c r="AE78" s="437"/>
    </row>
    <row r="79" spans="2:31" x14ac:dyDescent="0.25">
      <c r="B79" s="4" t="str">
        <f>$B$7</f>
        <v>Battery - Com 4 Hours_PJM</v>
      </c>
      <c r="C79" s="3" t="str">
        <f>$C$13</f>
        <v>Commercial Battery Storage 4Hr</v>
      </c>
      <c r="D79" s="4">
        <f>D78</f>
        <v>2035</v>
      </c>
      <c r="E79" s="4"/>
      <c r="F79" s="4"/>
      <c r="G79" s="437"/>
      <c r="H79" s="437"/>
      <c r="I79" s="437"/>
      <c r="J79" s="437"/>
      <c r="K79" s="437"/>
      <c r="L79" s="437"/>
      <c r="M79" s="437"/>
      <c r="N79" s="437"/>
      <c r="O79" s="437"/>
      <c r="P79" s="437"/>
      <c r="Q79" s="437"/>
      <c r="R79" s="437"/>
      <c r="S79" s="437"/>
      <c r="T79" s="437"/>
      <c r="U79" s="437"/>
      <c r="V79" s="437"/>
      <c r="W79" s="437"/>
      <c r="X79" s="437"/>
      <c r="Y79" s="437"/>
      <c r="Z79" s="437"/>
      <c r="AA79" s="437"/>
      <c r="AB79" s="437"/>
      <c r="AC79" s="437"/>
      <c r="AD79" s="437"/>
      <c r="AE79" s="437"/>
    </row>
    <row r="80" spans="2:31" x14ac:dyDescent="0.25">
      <c r="B80" s="4" t="str">
        <f>$B$8</f>
        <v>Battery - Res 4 Hours_MISO</v>
      </c>
      <c r="C80" s="4" t="str">
        <f>$C$14</f>
        <v>Residential Battery Storage - 5 kW - 20 kWh</v>
      </c>
      <c r="D80" s="4">
        <f>D79</f>
        <v>2035</v>
      </c>
      <c r="E80" s="4"/>
      <c r="F80" s="4"/>
      <c r="G80" s="437"/>
      <c r="H80" s="437"/>
      <c r="I80" s="437"/>
      <c r="J80" s="437"/>
      <c r="K80" s="437"/>
      <c r="L80" s="437"/>
      <c r="M80" s="437"/>
      <c r="N80" s="437"/>
      <c r="O80" s="437"/>
      <c r="P80" s="437"/>
      <c r="Q80" s="437"/>
      <c r="R80" s="437"/>
      <c r="S80" s="437"/>
      <c r="T80" s="437"/>
      <c r="U80" s="437"/>
      <c r="V80" s="437"/>
      <c r="W80" s="437"/>
      <c r="X80" s="437"/>
      <c r="Y80" s="437"/>
      <c r="Z80" s="437"/>
      <c r="AA80" s="437"/>
      <c r="AB80" s="437"/>
      <c r="AC80" s="437"/>
      <c r="AD80" s="437"/>
      <c r="AE80" s="437"/>
    </row>
    <row r="81" spans="2:31" x14ac:dyDescent="0.25">
      <c r="B81" s="4" t="str">
        <f>$B$9</f>
        <v>Battery - Res 4 Hours_PJM</v>
      </c>
      <c r="C81" s="4" t="str">
        <f>$C$15</f>
        <v>Residential Battery Storage - 5 kW - 20 kWh</v>
      </c>
      <c r="D81" s="4">
        <f>D80</f>
        <v>2035</v>
      </c>
      <c r="E81" s="4"/>
      <c r="F81" s="4"/>
      <c r="G81" s="437"/>
      <c r="H81" s="437"/>
      <c r="I81" s="437"/>
      <c r="J81" s="437"/>
      <c r="K81" s="437"/>
      <c r="L81" s="437"/>
      <c r="M81" s="437"/>
      <c r="N81" s="437"/>
      <c r="O81" s="437"/>
      <c r="P81" s="437"/>
      <c r="Q81" s="437"/>
      <c r="R81" s="437"/>
      <c r="S81" s="437"/>
      <c r="T81" s="437"/>
      <c r="U81" s="437"/>
      <c r="V81" s="437"/>
      <c r="W81" s="437"/>
      <c r="X81" s="437"/>
      <c r="Y81" s="437"/>
      <c r="Z81" s="437"/>
      <c r="AA81" s="437"/>
      <c r="AB81" s="437"/>
      <c r="AC81" s="437"/>
      <c r="AD81" s="437"/>
      <c r="AE81" s="437"/>
    </row>
    <row r="82" spans="2:31" x14ac:dyDescent="0.25">
      <c r="B82" s="4"/>
      <c r="C82" s="4"/>
      <c r="D82" s="4"/>
      <c r="E82" s="4"/>
      <c r="F82" s="4"/>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row>
    <row r="83" spans="2:31" x14ac:dyDescent="0.25">
      <c r="B83" s="4"/>
      <c r="C83" s="4"/>
      <c r="D83" s="4"/>
      <c r="E83" s="4"/>
      <c r="F83" s="4"/>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row>
    <row r="84" spans="2:31" x14ac:dyDescent="0.25">
      <c r="B84" s="4"/>
      <c r="C84" s="4"/>
      <c r="D84" s="4"/>
      <c r="E84" s="4"/>
      <c r="F84" s="4"/>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row>
    <row r="85" spans="2:31" x14ac:dyDescent="0.25">
      <c r="B85" s="4"/>
      <c r="C85" s="4"/>
      <c r="D85" s="4"/>
      <c r="E85" s="4"/>
      <c r="F85" s="4"/>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row>
    <row r="86" spans="2:31" x14ac:dyDescent="0.25">
      <c r="D86" s="438"/>
      <c r="E86" s="438"/>
      <c r="F86" s="438"/>
      <c r="G86" s="33"/>
    </row>
    <row r="87" spans="2:31" x14ac:dyDescent="0.25">
      <c r="B87" s="2" t="s">
        <v>132</v>
      </c>
      <c r="C87" s="31"/>
      <c r="D87" s="438"/>
      <c r="E87" s="438"/>
      <c r="F87" s="438"/>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row>
    <row r="88" spans="2:31" x14ac:dyDescent="0.25">
      <c r="B88" s="4" t="str">
        <f>$B$6</f>
        <v>Battery - Com 4 Hours_MISO</v>
      </c>
      <c r="C88" s="3" t="str">
        <f>$C$12</f>
        <v>Commercial Battery Storage 4Hr</v>
      </c>
      <c r="D88" s="438"/>
      <c r="E88" s="438"/>
      <c r="F88" s="438"/>
      <c r="G88" s="27">
        <f t="shared" ref="G88:AE88" si="5">(G12*G48+G18*G54+G24*G60+G30*G66+G36*G72+G42*G78)*Expense_Scale*thousand</f>
        <v>29718602.360334542</v>
      </c>
      <c r="H88" s="27">
        <f t="shared" si="5"/>
        <v>29718602.360334542</v>
      </c>
      <c r="I88" s="27">
        <f t="shared" si="5"/>
        <v>29718602.360334542</v>
      </c>
      <c r="J88" s="27">
        <f t="shared" si="5"/>
        <v>29718602.360334542</v>
      </c>
      <c r="K88" s="27">
        <f t="shared" si="5"/>
        <v>29718602.360334542</v>
      </c>
      <c r="L88" s="27">
        <f t="shared" si="5"/>
        <v>29718602.360334542</v>
      </c>
      <c r="M88" s="27">
        <f t="shared" si="5"/>
        <v>29718602.360334542</v>
      </c>
      <c r="N88" s="27">
        <f t="shared" si="5"/>
        <v>29718602.360334542</v>
      </c>
      <c r="O88" s="27">
        <f t="shared" si="5"/>
        <v>29718602.360334542</v>
      </c>
      <c r="P88" s="27">
        <f t="shared" si="5"/>
        <v>29718602.360334542</v>
      </c>
      <c r="Q88" s="27">
        <f t="shared" si="5"/>
        <v>29718602.360334542</v>
      </c>
      <c r="R88" s="27">
        <f t="shared" si="5"/>
        <v>29718602.360334542</v>
      </c>
      <c r="S88" s="27">
        <f t="shared" si="5"/>
        <v>29718602.360334542</v>
      </c>
      <c r="T88" s="27">
        <f t="shared" si="5"/>
        <v>29718602.360334542</v>
      </c>
      <c r="U88" s="27">
        <f t="shared" si="5"/>
        <v>29718602.360334542</v>
      </c>
      <c r="V88" s="27">
        <f t="shared" si="5"/>
        <v>29718602.360334542</v>
      </c>
      <c r="W88" s="27">
        <f t="shared" si="5"/>
        <v>29718602.360334542</v>
      </c>
      <c r="X88" s="27">
        <f t="shared" si="5"/>
        <v>29718602.360334542</v>
      </c>
      <c r="Y88" s="27">
        <f t="shared" si="5"/>
        <v>29718602.360334542</v>
      </c>
      <c r="Z88" s="27">
        <f t="shared" si="5"/>
        <v>29718602.360334542</v>
      </c>
      <c r="AA88" s="27">
        <f t="shared" si="5"/>
        <v>29718602.360334542</v>
      </c>
      <c r="AB88" s="27">
        <f t="shared" si="5"/>
        <v>29718602.360334542</v>
      </c>
      <c r="AC88" s="27">
        <f t="shared" si="5"/>
        <v>29718602.360334542</v>
      </c>
      <c r="AD88" s="27">
        <f t="shared" si="5"/>
        <v>29718602.360334542</v>
      </c>
      <c r="AE88" s="27">
        <f t="shared" si="5"/>
        <v>29718602.360334542</v>
      </c>
    </row>
    <row r="89" spans="2:31" x14ac:dyDescent="0.25">
      <c r="B89" s="4" t="str">
        <f>$B$7</f>
        <v>Battery - Com 4 Hours_PJM</v>
      </c>
      <c r="C89" s="3" t="str">
        <f>$C$13</f>
        <v>Commercial Battery Storage 4Hr</v>
      </c>
      <c r="D89" s="438"/>
      <c r="E89" s="438"/>
      <c r="F89" s="438"/>
      <c r="G89" s="27">
        <f t="shared" ref="G89:AE89" si="6">(G13*G49+G19*G55+G25*G61+G31*G67+G37*G73+G43*G79)*Expense_Scale*thousand</f>
        <v>13000223.001966408</v>
      </c>
      <c r="H89" s="27">
        <f t="shared" si="6"/>
        <v>13000223.001966408</v>
      </c>
      <c r="I89" s="27">
        <f t="shared" si="6"/>
        <v>13000223.001966408</v>
      </c>
      <c r="J89" s="27">
        <f t="shared" si="6"/>
        <v>13000223.001966408</v>
      </c>
      <c r="K89" s="27">
        <f t="shared" si="6"/>
        <v>13000223.001966408</v>
      </c>
      <c r="L89" s="27">
        <f t="shared" si="6"/>
        <v>13000223.001966408</v>
      </c>
      <c r="M89" s="27">
        <f t="shared" si="6"/>
        <v>13000223.001966408</v>
      </c>
      <c r="N89" s="27">
        <f t="shared" si="6"/>
        <v>13000223.001966408</v>
      </c>
      <c r="O89" s="27">
        <f t="shared" si="6"/>
        <v>13000223.001966408</v>
      </c>
      <c r="P89" s="27">
        <f t="shared" si="6"/>
        <v>13000223.001966408</v>
      </c>
      <c r="Q89" s="27">
        <f t="shared" si="6"/>
        <v>13000223.001966408</v>
      </c>
      <c r="R89" s="27">
        <f t="shared" si="6"/>
        <v>13000223.001966408</v>
      </c>
      <c r="S89" s="27">
        <f t="shared" si="6"/>
        <v>13000223.001966408</v>
      </c>
      <c r="T89" s="27">
        <f t="shared" si="6"/>
        <v>13000223.001966408</v>
      </c>
      <c r="U89" s="27">
        <f t="shared" si="6"/>
        <v>13000223.001966408</v>
      </c>
      <c r="V89" s="27">
        <f t="shared" si="6"/>
        <v>13000223.001966408</v>
      </c>
      <c r="W89" s="27">
        <f t="shared" si="6"/>
        <v>13000223.001966408</v>
      </c>
      <c r="X89" s="27">
        <f t="shared" si="6"/>
        <v>13000223.001966408</v>
      </c>
      <c r="Y89" s="27">
        <f t="shared" si="6"/>
        <v>13000223.001966408</v>
      </c>
      <c r="Z89" s="27">
        <f t="shared" si="6"/>
        <v>13000223.001966408</v>
      </c>
      <c r="AA89" s="27">
        <f t="shared" si="6"/>
        <v>13000223.001966408</v>
      </c>
      <c r="AB89" s="27">
        <f t="shared" si="6"/>
        <v>13000223.001966408</v>
      </c>
      <c r="AC89" s="27">
        <f t="shared" si="6"/>
        <v>13000223.001966408</v>
      </c>
      <c r="AD89" s="27">
        <f t="shared" si="6"/>
        <v>13000223.001966408</v>
      </c>
      <c r="AE89" s="27">
        <f t="shared" si="6"/>
        <v>13000223.001966408</v>
      </c>
    </row>
    <row r="90" spans="2:31" x14ac:dyDescent="0.25">
      <c r="B90" s="4" t="str">
        <f>$B$8</f>
        <v>Battery - Res 4 Hours_MISO</v>
      </c>
      <c r="C90" s="4" t="str">
        <f>$C$14</f>
        <v>Residential Battery Storage - 5 kW - 20 kWh</v>
      </c>
      <c r="D90" s="438"/>
      <c r="E90" s="438"/>
      <c r="F90" s="438"/>
      <c r="G90" s="27">
        <f t="shared" ref="G90:AE90" si="7">(G14*G50+G20*G56+G26*G62+G32*G68+G38*G74+G44*G80)*Expense_Scale*thousand</f>
        <v>14398396.746982099</v>
      </c>
      <c r="H90" s="27">
        <f t="shared" si="7"/>
        <v>14398396.746982099</v>
      </c>
      <c r="I90" s="27">
        <f t="shared" si="7"/>
        <v>14398396.746982099</v>
      </c>
      <c r="J90" s="27">
        <f t="shared" si="7"/>
        <v>14398396.746982099</v>
      </c>
      <c r="K90" s="27">
        <f t="shared" si="7"/>
        <v>14398396.746982099</v>
      </c>
      <c r="L90" s="27">
        <f t="shared" si="7"/>
        <v>14398396.746982099</v>
      </c>
      <c r="M90" s="27">
        <f t="shared" si="7"/>
        <v>14398396.746982099</v>
      </c>
      <c r="N90" s="27">
        <f t="shared" si="7"/>
        <v>14398396.746982099</v>
      </c>
      <c r="O90" s="27">
        <f t="shared" si="7"/>
        <v>14398396.746982099</v>
      </c>
      <c r="P90" s="27">
        <f t="shared" si="7"/>
        <v>14398396.746982099</v>
      </c>
      <c r="Q90" s="27">
        <f t="shared" si="7"/>
        <v>14398396.746982099</v>
      </c>
      <c r="R90" s="27">
        <f t="shared" si="7"/>
        <v>14398396.746982099</v>
      </c>
      <c r="S90" s="27">
        <f t="shared" si="7"/>
        <v>14398396.746982099</v>
      </c>
      <c r="T90" s="27">
        <f t="shared" si="7"/>
        <v>14398396.746982099</v>
      </c>
      <c r="U90" s="27">
        <f t="shared" si="7"/>
        <v>14398396.746982099</v>
      </c>
      <c r="V90" s="27">
        <f t="shared" si="7"/>
        <v>14398396.746982099</v>
      </c>
      <c r="W90" s="27">
        <f t="shared" si="7"/>
        <v>14398396.746982099</v>
      </c>
      <c r="X90" s="27">
        <f t="shared" si="7"/>
        <v>14398396.746982099</v>
      </c>
      <c r="Y90" s="27">
        <f t="shared" si="7"/>
        <v>14398396.746982099</v>
      </c>
      <c r="Z90" s="27">
        <f t="shared" si="7"/>
        <v>14398396.746982099</v>
      </c>
      <c r="AA90" s="27">
        <f t="shared" si="7"/>
        <v>14398396.746982099</v>
      </c>
      <c r="AB90" s="27">
        <f t="shared" si="7"/>
        <v>14398396.746982099</v>
      </c>
      <c r="AC90" s="27">
        <f t="shared" si="7"/>
        <v>14398396.746982099</v>
      </c>
      <c r="AD90" s="27">
        <f t="shared" si="7"/>
        <v>14398396.746982099</v>
      </c>
      <c r="AE90" s="27">
        <f t="shared" si="7"/>
        <v>14398396.746982099</v>
      </c>
    </row>
    <row r="91" spans="2:31" x14ac:dyDescent="0.25">
      <c r="B91" s="4" t="str">
        <f>$B$9</f>
        <v>Battery - Res 4 Hours_PJM</v>
      </c>
      <c r="C91" s="4" t="str">
        <f>$C$15</f>
        <v>Residential Battery Storage - 5 kW - 20 kWh</v>
      </c>
      <c r="D91" s="438"/>
      <c r="E91" s="438"/>
      <c r="F91" s="438"/>
      <c r="G91" s="27">
        <f t="shared" ref="G91:AE91" si="8">(G15*G51+G21*G57+G27*G63+G33*G69+G39*G75+G45*G81)*Expense_Scale*thousand</f>
        <v>6298491.6421031812</v>
      </c>
      <c r="H91" s="27">
        <f t="shared" si="8"/>
        <v>6298491.6421031812</v>
      </c>
      <c r="I91" s="27">
        <f t="shared" si="8"/>
        <v>6298491.6421031812</v>
      </c>
      <c r="J91" s="27">
        <f t="shared" si="8"/>
        <v>6298491.6421031812</v>
      </c>
      <c r="K91" s="27">
        <f t="shared" si="8"/>
        <v>6298491.6421031812</v>
      </c>
      <c r="L91" s="27">
        <f t="shared" si="8"/>
        <v>6298491.6421031812</v>
      </c>
      <c r="M91" s="27">
        <f t="shared" si="8"/>
        <v>6298491.6421031812</v>
      </c>
      <c r="N91" s="27">
        <f t="shared" si="8"/>
        <v>6298491.6421031812</v>
      </c>
      <c r="O91" s="27">
        <f t="shared" si="8"/>
        <v>6298491.6421031812</v>
      </c>
      <c r="P91" s="27">
        <f t="shared" si="8"/>
        <v>6298491.6421031812</v>
      </c>
      <c r="Q91" s="27">
        <f t="shared" si="8"/>
        <v>6298491.6421031812</v>
      </c>
      <c r="R91" s="27">
        <f t="shared" si="8"/>
        <v>6298491.6421031812</v>
      </c>
      <c r="S91" s="27">
        <f t="shared" si="8"/>
        <v>6298491.6421031812</v>
      </c>
      <c r="T91" s="27">
        <f t="shared" si="8"/>
        <v>6298491.6421031812</v>
      </c>
      <c r="U91" s="27">
        <f t="shared" si="8"/>
        <v>6298491.6421031812</v>
      </c>
      <c r="V91" s="27">
        <f t="shared" si="8"/>
        <v>6298491.6421031812</v>
      </c>
      <c r="W91" s="27">
        <f t="shared" si="8"/>
        <v>6298491.6421031812</v>
      </c>
      <c r="X91" s="27">
        <f t="shared" si="8"/>
        <v>6298491.6421031812</v>
      </c>
      <c r="Y91" s="27">
        <f t="shared" si="8"/>
        <v>6298491.6421031812</v>
      </c>
      <c r="Z91" s="27">
        <f t="shared" si="8"/>
        <v>6298491.6421031812</v>
      </c>
      <c r="AA91" s="27">
        <f t="shared" si="8"/>
        <v>6298491.6421031812</v>
      </c>
      <c r="AB91" s="27">
        <f t="shared" si="8"/>
        <v>6298491.6421031812</v>
      </c>
      <c r="AC91" s="27">
        <f t="shared" si="8"/>
        <v>6298491.6421031812</v>
      </c>
      <c r="AD91" s="27">
        <f t="shared" si="8"/>
        <v>6298491.6421031812</v>
      </c>
      <c r="AE91" s="27">
        <f t="shared" si="8"/>
        <v>6298491.6421031812</v>
      </c>
    </row>
    <row r="92" spans="2:31" x14ac:dyDescent="0.25">
      <c r="B92" s="4"/>
      <c r="C92" s="4"/>
      <c r="D92" s="438"/>
      <c r="E92" s="438"/>
      <c r="F92" s="438"/>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row>
    <row r="93" spans="2:31" x14ac:dyDescent="0.25">
      <c r="B93" s="29"/>
      <c r="C93" s="29"/>
      <c r="D93" s="29"/>
      <c r="E93" s="29"/>
      <c r="F93" s="29"/>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row>
    <row r="94" spans="2:31" x14ac:dyDescent="0.25">
      <c r="B94" s="31" t="s">
        <v>131</v>
      </c>
      <c r="C94" s="31"/>
      <c r="D94" s="29"/>
      <c r="E94" s="29"/>
      <c r="F94" s="29"/>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row>
    <row r="95" spans="2:31" x14ac:dyDescent="0.25">
      <c r="B95" s="2" t="s">
        <v>130</v>
      </c>
      <c r="C95" s="2"/>
      <c r="D95" s="29"/>
      <c r="E95" s="29"/>
      <c r="F95" s="29"/>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row>
    <row r="96" spans="2:31" x14ac:dyDescent="0.25">
      <c r="B96" s="4" t="str">
        <f>$B$6</f>
        <v>Battery - Com 4 Hours_MISO</v>
      </c>
      <c r="C96" s="3" t="str">
        <f>$C$12</f>
        <v>Commercial Battery Storage 4Hr</v>
      </c>
      <c r="D96" s="29"/>
      <c r="E96" s="29"/>
      <c r="F96" s="29"/>
      <c r="G96" s="30">
        <f>Storage_Ann_Development!B16</f>
        <v>557.86666666666667</v>
      </c>
      <c r="H96" s="30"/>
      <c r="I96" s="30"/>
      <c r="J96" s="30"/>
      <c r="K96" s="30"/>
      <c r="L96" s="30"/>
      <c r="M96" s="30"/>
      <c r="N96" s="30"/>
      <c r="O96" s="30"/>
      <c r="P96" s="30"/>
      <c r="Q96" s="30"/>
      <c r="R96" s="30"/>
      <c r="S96" s="30"/>
      <c r="T96" s="30"/>
      <c r="U96" s="30"/>
      <c r="V96" s="30"/>
      <c r="W96" s="30"/>
      <c r="X96" s="30"/>
      <c r="Y96" s="30"/>
      <c r="Z96" s="30"/>
      <c r="AA96" s="30"/>
      <c r="AB96" s="30"/>
      <c r="AC96" s="30"/>
      <c r="AD96" s="30"/>
      <c r="AE96" s="30"/>
    </row>
    <row r="97" spans="1:32" x14ac:dyDescent="0.25">
      <c r="B97" s="4" t="str">
        <f>$B$7</f>
        <v>Battery - Com 4 Hours_PJM</v>
      </c>
      <c r="C97" s="3" t="str">
        <f>$C$13</f>
        <v>Commercial Battery Storage 4Hr</v>
      </c>
      <c r="D97" s="29"/>
      <c r="E97" s="29"/>
      <c r="F97" s="29"/>
      <c r="G97" s="30">
        <f>Storage_Ann_Development!B17</f>
        <v>242.13333333333333</v>
      </c>
      <c r="H97" s="30"/>
      <c r="I97" s="30"/>
      <c r="J97" s="30"/>
      <c r="K97" s="30"/>
      <c r="L97" s="30"/>
      <c r="M97" s="30"/>
      <c r="N97" s="30"/>
      <c r="O97" s="30"/>
      <c r="P97" s="30"/>
      <c r="Q97" s="30"/>
      <c r="R97" s="30"/>
      <c r="S97" s="30"/>
      <c r="T97" s="30"/>
      <c r="U97" s="30"/>
      <c r="V97" s="30"/>
      <c r="W97" s="30"/>
      <c r="X97" s="30"/>
      <c r="Y97" s="30"/>
      <c r="Z97" s="30"/>
      <c r="AA97" s="30"/>
      <c r="AB97" s="30"/>
      <c r="AC97" s="30"/>
      <c r="AD97" s="30"/>
      <c r="AE97" s="30"/>
    </row>
    <row r="98" spans="1:32" x14ac:dyDescent="0.25">
      <c r="B98" s="4" t="str">
        <f>$B$8</f>
        <v>Battery - Res 4 Hours_MISO</v>
      </c>
      <c r="C98" s="4" t="str">
        <f>$C$14</f>
        <v>Residential Battery Storage - 5 kW - 20 kWh</v>
      </c>
      <c r="D98" s="29"/>
      <c r="E98" s="29"/>
      <c r="F98" s="29"/>
      <c r="G98" s="30">
        <f>Storage_Ann_Development!B18</f>
        <v>139.46666666666667</v>
      </c>
      <c r="H98" s="30"/>
      <c r="I98" s="30"/>
      <c r="J98" s="30"/>
      <c r="K98" s="30"/>
      <c r="L98" s="30"/>
      <c r="M98" s="30"/>
      <c r="N98" s="30"/>
      <c r="O98" s="30"/>
      <c r="P98" s="30"/>
      <c r="Q98" s="30"/>
      <c r="R98" s="30"/>
      <c r="S98" s="30"/>
      <c r="T98" s="30"/>
      <c r="U98" s="30"/>
      <c r="V98" s="30"/>
      <c r="W98" s="30"/>
      <c r="X98" s="30"/>
      <c r="Y98" s="30"/>
      <c r="Z98" s="30"/>
      <c r="AA98" s="30"/>
      <c r="AB98" s="30"/>
      <c r="AC98" s="30"/>
      <c r="AD98" s="30"/>
      <c r="AE98" s="30"/>
    </row>
    <row r="99" spans="1:32" x14ac:dyDescent="0.25">
      <c r="B99" s="4" t="str">
        <f>$B$9</f>
        <v>Battery - Res 4 Hours_PJM</v>
      </c>
      <c r="C99" s="4" t="str">
        <f>$C$15</f>
        <v>Residential Battery Storage - 5 kW - 20 kWh</v>
      </c>
      <c r="D99" s="29"/>
      <c r="E99" s="29"/>
      <c r="F99" s="29"/>
      <c r="G99" s="30">
        <f>Storage_Ann_Development!B19</f>
        <v>60.533333333333331</v>
      </c>
      <c r="H99" s="30"/>
      <c r="I99" s="30"/>
      <c r="J99" s="30"/>
      <c r="K99" s="30"/>
      <c r="L99" s="30"/>
      <c r="M99" s="30"/>
      <c r="N99" s="30"/>
      <c r="O99" s="30"/>
      <c r="P99" s="30"/>
      <c r="Q99" s="30"/>
      <c r="R99" s="30"/>
      <c r="S99" s="30"/>
      <c r="T99" s="30"/>
      <c r="U99" s="30"/>
      <c r="V99" s="30"/>
      <c r="W99" s="30"/>
      <c r="X99" s="30"/>
      <c r="Y99" s="30"/>
      <c r="Z99" s="30"/>
      <c r="AA99" s="30"/>
      <c r="AB99" s="30"/>
      <c r="AC99" s="30"/>
      <c r="AD99" s="30"/>
      <c r="AE99" s="30"/>
    </row>
    <row r="100" spans="1:32" x14ac:dyDescent="0.25">
      <c r="B100" s="4"/>
      <c r="C100" s="4"/>
      <c r="D100" s="29"/>
      <c r="E100" s="29"/>
      <c r="F100" s="29"/>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row>
    <row r="101" spans="1:32" x14ac:dyDescent="0.25">
      <c r="B101" s="4"/>
      <c r="C101" s="4"/>
      <c r="D101" s="29"/>
      <c r="E101" s="29"/>
      <c r="F101" s="29"/>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row>
    <row r="102" spans="1:32" x14ac:dyDescent="0.25">
      <c r="B102" s="29"/>
      <c r="C102" s="274" t="s">
        <v>129</v>
      </c>
      <c r="D102" s="29"/>
      <c r="E102" s="29"/>
      <c r="F102" s="29"/>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row>
    <row r="103" spans="1:32" x14ac:dyDescent="0.25">
      <c r="B103" s="439" t="s">
        <v>128</v>
      </c>
      <c r="C103" s="180" t="str">
        <f>ModelFactors!$C$7</f>
        <v>Conservative</v>
      </c>
      <c r="D103" s="28" t="s">
        <v>127</v>
      </c>
      <c r="E103" s="28"/>
      <c r="F103" s="28"/>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row>
    <row r="104" spans="1:32" x14ac:dyDescent="0.25">
      <c r="B104" s="4" t="str">
        <f>$B$6</f>
        <v>Battery - Com 4 Hours_MISO</v>
      </c>
      <c r="C104" s="3" t="str">
        <f>$C$12</f>
        <v>Commercial Battery Storage 4Hr</v>
      </c>
      <c r="D104" s="440">
        <f>ModelFactors!D11</f>
        <v>1.0023622047244094</v>
      </c>
      <c r="E104" s="440"/>
      <c r="F104" s="440"/>
      <c r="G104" s="27">
        <f>VLOOKUP($C$102&amp;"_"&amp;$C104&amp;"_"&amp;$C$103,'Comm Battery Storage'!$A$44:$AJ$144,MATCH(G$2,'Comm Battery Storage'!$A$44:$AJ$44,0),0)*'FRED Graph_22Oct2023'!$D$312*$D104</f>
        <v>2130.8749302343122</v>
      </c>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row>
    <row r="105" spans="1:32" x14ac:dyDescent="0.25">
      <c r="B105" s="4" t="str">
        <f>$B$7</f>
        <v>Battery - Com 4 Hours_PJM</v>
      </c>
      <c r="C105" s="3" t="str">
        <f>$C$13</f>
        <v>Commercial Battery Storage 4Hr</v>
      </c>
      <c r="D105" s="440">
        <f>ModelFactors!D12</f>
        <v>1.0102362204724409</v>
      </c>
      <c r="E105" s="440"/>
      <c r="F105" s="440"/>
      <c r="G105" s="27">
        <f>VLOOKUP($C$102&amp;"_"&amp;$C105&amp;"_"&amp;$C$103,'Comm Battery Storage'!$A$44:$AJ$144,MATCH(G$2,'Comm Battery Storage'!$A$44:$AJ$44,0),0)*'FRED Graph_22Oct2023'!$D$312*$D105</f>
        <v>2147.6139320429083</v>
      </c>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row>
    <row r="106" spans="1:32" x14ac:dyDescent="0.25">
      <c r="B106" s="4" t="str">
        <f>$B$8</f>
        <v>Battery - Res 4 Hours_MISO</v>
      </c>
      <c r="C106" s="4" t="str">
        <f>$C$14</f>
        <v>Residential Battery Storage - 5 kW - 20 kWh</v>
      </c>
      <c r="D106" s="440">
        <f>ModelFactors!D13</f>
        <v>1.0023622047244094</v>
      </c>
      <c r="E106" s="440"/>
      <c r="F106" s="440"/>
      <c r="G106" s="27">
        <f>VLOOKUP($C$102&amp;"_"&amp;$C106&amp;"_"&amp;$C$103,'Resi Battery Storage'!$A$44:$AJ$144,MATCH(G$2,'Resi Battery Storage'!$A$40:$AJ$40,0),0)*'FRED Graph_22Oct2023'!$D$312*$D106</f>
        <v>4129.5592964575808</v>
      </c>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row>
    <row r="107" spans="1:32" x14ac:dyDescent="0.25">
      <c r="B107" s="4" t="str">
        <f>$B$9</f>
        <v>Battery - Res 4 Hours_PJM</v>
      </c>
      <c r="C107" s="4" t="str">
        <f>$C$15</f>
        <v>Residential Battery Storage - 5 kW - 20 kWh</v>
      </c>
      <c r="D107" s="440">
        <f>ModelFactors!D14</f>
        <v>1.0102362204724409</v>
      </c>
      <c r="E107" s="440"/>
      <c r="F107" s="440"/>
      <c r="G107" s="27">
        <f>VLOOKUP($C$102&amp;"_"&amp;$C107&amp;"_"&amp;$C$103,'Resi Battery Storage'!$A$44:$AJ$144,MATCH(G$2,'Resi Battery Storage'!$A$40:$AJ$40,0),0)*'FRED Graph_22Oct2023'!$D$312*$D107</f>
        <v>4161.9988824470356</v>
      </c>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row>
    <row r="108" spans="1:32" x14ac:dyDescent="0.25">
      <c r="B108" s="4"/>
      <c r="D108" s="440"/>
      <c r="E108" s="440"/>
      <c r="F108" s="440"/>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row>
    <row r="109" spans="1:32" x14ac:dyDescent="0.25">
      <c r="B109" s="4"/>
      <c r="C109" s="441"/>
      <c r="D109" s="441"/>
      <c r="E109" s="4"/>
      <c r="F109" s="4"/>
      <c r="G109" s="4"/>
    </row>
    <row r="110" spans="1:32" x14ac:dyDescent="0.25">
      <c r="B110" s="439" t="s">
        <v>122</v>
      </c>
      <c r="C110" s="4"/>
      <c r="D110" s="4"/>
      <c r="E110" s="4"/>
      <c r="F110" s="4"/>
      <c r="G110" s="4"/>
    </row>
    <row r="111" spans="1:32" ht="30" x14ac:dyDescent="0.25">
      <c r="B111" s="439" t="s">
        <v>124</v>
      </c>
      <c r="C111" s="442" t="s">
        <v>116</v>
      </c>
      <c r="D111" s="278" t="s">
        <v>123</v>
      </c>
      <c r="E111" s="278" t="s">
        <v>82</v>
      </c>
      <c r="F111" s="278" t="s">
        <v>122</v>
      </c>
      <c r="G111" s="4"/>
    </row>
    <row r="112" spans="1:32" x14ac:dyDescent="0.25">
      <c r="A112" s="3">
        <v>1</v>
      </c>
      <c r="B112" s="4" t="str">
        <f t="shared" ref="B112:B117" si="9">$B$6</f>
        <v>Battery - Com 4 Hours_MISO</v>
      </c>
      <c r="C112" s="443">
        <f t="array" ref="C112:C117">TRANSPOSE($G$96:$L$96)</f>
        <v>557.86666666666667</v>
      </c>
      <c r="D112" s="444">
        <f t="array" ref="D112:D117">TRANSPOSE(G104:L104)</f>
        <v>2130.8749302343122</v>
      </c>
      <c r="E112" s="445">
        <f>CCR_BTM!RCCR</f>
        <v>5.3013198735662778E-2</v>
      </c>
      <c r="F112" s="446">
        <f t="shared" ref="F112:F125" si="10">C112*(D112*E112*10^3)</f>
        <v>63019126.922982074</v>
      </c>
      <c r="G112" s="447">
        <f t="shared" ref="G112:Z112" si="11">$F$112</f>
        <v>63019126.922982074</v>
      </c>
      <c r="H112" s="447">
        <f t="shared" si="11"/>
        <v>63019126.922982074</v>
      </c>
      <c r="I112" s="447">
        <f t="shared" si="11"/>
        <v>63019126.922982074</v>
      </c>
      <c r="J112" s="447">
        <f t="shared" si="11"/>
        <v>63019126.922982074</v>
      </c>
      <c r="K112" s="447">
        <f t="shared" si="11"/>
        <v>63019126.922982074</v>
      </c>
      <c r="L112" s="447">
        <f t="shared" si="11"/>
        <v>63019126.922982074</v>
      </c>
      <c r="M112" s="447">
        <f t="shared" si="11"/>
        <v>63019126.922982074</v>
      </c>
      <c r="N112" s="447">
        <f t="shared" si="11"/>
        <v>63019126.922982074</v>
      </c>
      <c r="O112" s="447">
        <f t="shared" si="11"/>
        <v>63019126.922982074</v>
      </c>
      <c r="P112" s="447">
        <f t="shared" si="11"/>
        <v>63019126.922982074</v>
      </c>
      <c r="Q112" s="447">
        <f t="shared" si="11"/>
        <v>63019126.922982074</v>
      </c>
      <c r="R112" s="447">
        <f t="shared" si="11"/>
        <v>63019126.922982074</v>
      </c>
      <c r="S112" s="447">
        <f t="shared" si="11"/>
        <v>63019126.922982074</v>
      </c>
      <c r="T112" s="447">
        <f t="shared" si="11"/>
        <v>63019126.922982074</v>
      </c>
      <c r="U112" s="447">
        <f t="shared" si="11"/>
        <v>63019126.922982074</v>
      </c>
      <c r="V112" s="447">
        <f t="shared" si="11"/>
        <v>63019126.922982074</v>
      </c>
      <c r="W112" s="447">
        <f t="shared" si="11"/>
        <v>63019126.922982074</v>
      </c>
      <c r="X112" s="447">
        <f t="shared" si="11"/>
        <v>63019126.922982074</v>
      </c>
      <c r="Y112" s="447">
        <f t="shared" si="11"/>
        <v>63019126.922982074</v>
      </c>
      <c r="Z112" s="447">
        <f t="shared" si="11"/>
        <v>63019126.922982074</v>
      </c>
    </row>
    <row r="113" spans="1:26" x14ac:dyDescent="0.25">
      <c r="A113" s="3">
        <v>2</v>
      </c>
      <c r="B113" s="4" t="str">
        <f t="shared" si="9"/>
        <v>Battery - Com 4 Hours_MISO</v>
      </c>
      <c r="C113" s="443">
        <v>0</v>
      </c>
      <c r="D113" s="444">
        <v>0</v>
      </c>
      <c r="E113" s="445">
        <f>CCR_BTM!RCCR</f>
        <v>5.3013198735662778E-2</v>
      </c>
      <c r="F113" s="448">
        <f t="shared" si="10"/>
        <v>0</v>
      </c>
      <c r="G113" s="447"/>
      <c r="H113" s="447">
        <f t="shared" ref="H113:Z113" si="12">$F$113</f>
        <v>0</v>
      </c>
      <c r="I113" s="447">
        <f t="shared" si="12"/>
        <v>0</v>
      </c>
      <c r="J113" s="447">
        <f t="shared" si="12"/>
        <v>0</v>
      </c>
      <c r="K113" s="447">
        <f t="shared" si="12"/>
        <v>0</v>
      </c>
      <c r="L113" s="447">
        <f t="shared" si="12"/>
        <v>0</v>
      </c>
      <c r="M113" s="447">
        <f t="shared" si="12"/>
        <v>0</v>
      </c>
      <c r="N113" s="447">
        <f t="shared" si="12"/>
        <v>0</v>
      </c>
      <c r="O113" s="447">
        <f t="shared" si="12"/>
        <v>0</v>
      </c>
      <c r="P113" s="447">
        <f t="shared" si="12"/>
        <v>0</v>
      </c>
      <c r="Q113" s="447">
        <f t="shared" si="12"/>
        <v>0</v>
      </c>
      <c r="R113" s="447">
        <f t="shared" si="12"/>
        <v>0</v>
      </c>
      <c r="S113" s="447">
        <f t="shared" si="12"/>
        <v>0</v>
      </c>
      <c r="T113" s="447">
        <f t="shared" si="12"/>
        <v>0</v>
      </c>
      <c r="U113" s="447">
        <f t="shared" si="12"/>
        <v>0</v>
      </c>
      <c r="V113" s="447">
        <f t="shared" si="12"/>
        <v>0</v>
      </c>
      <c r="W113" s="447">
        <f t="shared" si="12"/>
        <v>0</v>
      </c>
      <c r="X113" s="447">
        <f t="shared" si="12"/>
        <v>0</v>
      </c>
      <c r="Y113" s="447">
        <f t="shared" si="12"/>
        <v>0</v>
      </c>
      <c r="Z113" s="447">
        <f t="shared" si="12"/>
        <v>0</v>
      </c>
    </row>
    <row r="114" spans="1:26" x14ac:dyDescent="0.25">
      <c r="A114" s="3">
        <v>3</v>
      </c>
      <c r="B114" s="4" t="str">
        <f t="shared" si="9"/>
        <v>Battery - Com 4 Hours_MISO</v>
      </c>
      <c r="C114" s="443">
        <v>0</v>
      </c>
      <c r="D114" s="444">
        <v>0</v>
      </c>
      <c r="E114" s="445">
        <f>CCR_BTM!RCCR</f>
        <v>5.3013198735662778E-2</v>
      </c>
      <c r="F114" s="448">
        <f t="shared" si="10"/>
        <v>0</v>
      </c>
      <c r="G114" s="447"/>
      <c r="H114" s="449"/>
      <c r="I114" s="447">
        <f t="shared" ref="I114:Z114" si="13">$F$114</f>
        <v>0</v>
      </c>
      <c r="J114" s="447">
        <f t="shared" si="13"/>
        <v>0</v>
      </c>
      <c r="K114" s="447">
        <f t="shared" si="13"/>
        <v>0</v>
      </c>
      <c r="L114" s="447">
        <f t="shared" si="13"/>
        <v>0</v>
      </c>
      <c r="M114" s="447">
        <f t="shared" si="13"/>
        <v>0</v>
      </c>
      <c r="N114" s="447">
        <f t="shared" si="13"/>
        <v>0</v>
      </c>
      <c r="O114" s="447">
        <f t="shared" si="13"/>
        <v>0</v>
      </c>
      <c r="P114" s="447">
        <f t="shared" si="13"/>
        <v>0</v>
      </c>
      <c r="Q114" s="447">
        <f t="shared" si="13"/>
        <v>0</v>
      </c>
      <c r="R114" s="447">
        <f t="shared" si="13"/>
        <v>0</v>
      </c>
      <c r="S114" s="447">
        <f t="shared" si="13"/>
        <v>0</v>
      </c>
      <c r="T114" s="447">
        <f t="shared" si="13"/>
        <v>0</v>
      </c>
      <c r="U114" s="447">
        <f t="shared" si="13"/>
        <v>0</v>
      </c>
      <c r="V114" s="447">
        <f t="shared" si="13"/>
        <v>0</v>
      </c>
      <c r="W114" s="447">
        <f t="shared" si="13"/>
        <v>0</v>
      </c>
      <c r="X114" s="447">
        <f t="shared" si="13"/>
        <v>0</v>
      </c>
      <c r="Y114" s="447">
        <f t="shared" si="13"/>
        <v>0</v>
      </c>
      <c r="Z114" s="447">
        <f t="shared" si="13"/>
        <v>0</v>
      </c>
    </row>
    <row r="115" spans="1:26" x14ac:dyDescent="0.25">
      <c r="A115" s="3">
        <v>4</v>
      </c>
      <c r="B115" s="4" t="str">
        <f t="shared" si="9"/>
        <v>Battery - Com 4 Hours_MISO</v>
      </c>
      <c r="C115" s="443">
        <v>0</v>
      </c>
      <c r="D115" s="444">
        <v>0</v>
      </c>
      <c r="E115" s="445">
        <f>CCR_BTM!RCCR</f>
        <v>5.3013198735662778E-2</v>
      </c>
      <c r="F115" s="448">
        <f t="shared" si="10"/>
        <v>0</v>
      </c>
      <c r="G115" s="447"/>
      <c r="H115" s="449"/>
      <c r="I115" s="449"/>
      <c r="J115" s="447">
        <f t="shared" ref="J115:Z115" si="14">$F$115</f>
        <v>0</v>
      </c>
      <c r="K115" s="447">
        <f t="shared" si="14"/>
        <v>0</v>
      </c>
      <c r="L115" s="447">
        <f t="shared" si="14"/>
        <v>0</v>
      </c>
      <c r="M115" s="447">
        <f t="shared" si="14"/>
        <v>0</v>
      </c>
      <c r="N115" s="447">
        <f t="shared" si="14"/>
        <v>0</v>
      </c>
      <c r="O115" s="447">
        <f t="shared" si="14"/>
        <v>0</v>
      </c>
      <c r="P115" s="447">
        <f t="shared" si="14"/>
        <v>0</v>
      </c>
      <c r="Q115" s="447">
        <f t="shared" si="14"/>
        <v>0</v>
      </c>
      <c r="R115" s="447">
        <f t="shared" si="14"/>
        <v>0</v>
      </c>
      <c r="S115" s="447">
        <f t="shared" si="14"/>
        <v>0</v>
      </c>
      <c r="T115" s="447">
        <f t="shared" si="14"/>
        <v>0</v>
      </c>
      <c r="U115" s="447">
        <f t="shared" si="14"/>
        <v>0</v>
      </c>
      <c r="V115" s="447">
        <f t="shared" si="14"/>
        <v>0</v>
      </c>
      <c r="W115" s="447">
        <f t="shared" si="14"/>
        <v>0</v>
      </c>
      <c r="X115" s="447">
        <f t="shared" si="14"/>
        <v>0</v>
      </c>
      <c r="Y115" s="447">
        <f t="shared" si="14"/>
        <v>0</v>
      </c>
      <c r="Z115" s="447">
        <f t="shared" si="14"/>
        <v>0</v>
      </c>
    </row>
    <row r="116" spans="1:26" x14ac:dyDescent="0.25">
      <c r="A116" s="3">
        <v>5</v>
      </c>
      <c r="B116" s="4" t="str">
        <f t="shared" si="9"/>
        <v>Battery - Com 4 Hours_MISO</v>
      </c>
      <c r="C116" s="443">
        <v>0</v>
      </c>
      <c r="D116" s="444">
        <v>0</v>
      </c>
      <c r="E116" s="445">
        <f>CCR_BTM!RCCR</f>
        <v>5.3013198735662778E-2</v>
      </c>
      <c r="F116" s="448">
        <f t="shared" si="10"/>
        <v>0</v>
      </c>
      <c r="G116" s="447"/>
      <c r="H116" s="449"/>
      <c r="I116" s="449"/>
      <c r="J116" s="449"/>
      <c r="K116" s="447">
        <f t="shared" ref="K116:Z116" si="15">$F$116</f>
        <v>0</v>
      </c>
      <c r="L116" s="447">
        <f t="shared" si="15"/>
        <v>0</v>
      </c>
      <c r="M116" s="447">
        <f t="shared" si="15"/>
        <v>0</v>
      </c>
      <c r="N116" s="447">
        <f t="shared" si="15"/>
        <v>0</v>
      </c>
      <c r="O116" s="447">
        <f t="shared" si="15"/>
        <v>0</v>
      </c>
      <c r="P116" s="447">
        <f t="shared" si="15"/>
        <v>0</v>
      </c>
      <c r="Q116" s="447">
        <f t="shared" si="15"/>
        <v>0</v>
      </c>
      <c r="R116" s="447">
        <f t="shared" si="15"/>
        <v>0</v>
      </c>
      <c r="S116" s="447">
        <f t="shared" si="15"/>
        <v>0</v>
      </c>
      <c r="T116" s="447">
        <f t="shared" si="15"/>
        <v>0</v>
      </c>
      <c r="U116" s="447">
        <f t="shared" si="15"/>
        <v>0</v>
      </c>
      <c r="V116" s="447">
        <f t="shared" si="15"/>
        <v>0</v>
      </c>
      <c r="W116" s="447">
        <f t="shared" si="15"/>
        <v>0</v>
      </c>
      <c r="X116" s="447">
        <f t="shared" si="15"/>
        <v>0</v>
      </c>
      <c r="Y116" s="447">
        <f t="shared" si="15"/>
        <v>0</v>
      </c>
      <c r="Z116" s="447">
        <f t="shared" si="15"/>
        <v>0</v>
      </c>
    </row>
    <row r="117" spans="1:26" x14ac:dyDescent="0.25">
      <c r="A117" s="3">
        <v>6</v>
      </c>
      <c r="B117" s="4" t="str">
        <f t="shared" si="9"/>
        <v>Battery - Com 4 Hours_MISO</v>
      </c>
      <c r="C117" s="443">
        <v>0</v>
      </c>
      <c r="D117" s="444">
        <v>0</v>
      </c>
      <c r="E117" s="445">
        <f>CCR_BTM!RCCR</f>
        <v>5.3013198735662778E-2</v>
      </c>
      <c r="F117" s="448">
        <f t="shared" si="10"/>
        <v>0</v>
      </c>
      <c r="G117" s="447"/>
      <c r="H117" s="449"/>
      <c r="I117" s="449"/>
      <c r="J117" s="449"/>
      <c r="K117" s="449"/>
      <c r="L117" s="447">
        <f t="shared" ref="L117:Z117" si="16">$F$117</f>
        <v>0</v>
      </c>
      <c r="M117" s="447">
        <f t="shared" si="16"/>
        <v>0</v>
      </c>
      <c r="N117" s="447">
        <f t="shared" si="16"/>
        <v>0</v>
      </c>
      <c r="O117" s="447">
        <f t="shared" si="16"/>
        <v>0</v>
      </c>
      <c r="P117" s="447">
        <f t="shared" si="16"/>
        <v>0</v>
      </c>
      <c r="Q117" s="447">
        <f t="shared" si="16"/>
        <v>0</v>
      </c>
      <c r="R117" s="447">
        <f t="shared" si="16"/>
        <v>0</v>
      </c>
      <c r="S117" s="447">
        <f t="shared" si="16"/>
        <v>0</v>
      </c>
      <c r="T117" s="447">
        <f t="shared" si="16"/>
        <v>0</v>
      </c>
      <c r="U117" s="447">
        <f t="shared" si="16"/>
        <v>0</v>
      </c>
      <c r="V117" s="447">
        <f t="shared" si="16"/>
        <v>0</v>
      </c>
      <c r="W117" s="447">
        <f t="shared" si="16"/>
        <v>0</v>
      </c>
      <c r="X117" s="447">
        <f t="shared" si="16"/>
        <v>0</v>
      </c>
      <c r="Y117" s="447">
        <f t="shared" si="16"/>
        <v>0</v>
      </c>
      <c r="Z117" s="447">
        <f t="shared" si="16"/>
        <v>0</v>
      </c>
    </row>
    <row r="118" spans="1:26" x14ac:dyDescent="0.25">
      <c r="A118" s="3">
        <v>1</v>
      </c>
      <c r="B118" s="4" t="str">
        <f t="shared" ref="B118:B123" si="17">$B$7</f>
        <v>Battery - Com 4 Hours_PJM</v>
      </c>
      <c r="C118" s="443">
        <f t="array" ref="C118:C123">TRANSPOSE($G$97:$L$97)</f>
        <v>242.13333333333333</v>
      </c>
      <c r="D118" s="444">
        <f t="array" ref="D118:D123">TRANSPOSE($G$105:$L$105)</f>
        <v>2147.6139320429083</v>
      </c>
      <c r="E118" s="445">
        <f>CCR_BTM!RCCR</f>
        <v>5.3013198735662778E-2</v>
      </c>
      <c r="F118" s="448">
        <f t="shared" si="10"/>
        <v>27567336.224447183</v>
      </c>
      <c r="G118" s="447">
        <f t="shared" ref="G118:Z118" si="18">$F118</f>
        <v>27567336.224447183</v>
      </c>
      <c r="H118" s="447">
        <f t="shared" si="18"/>
        <v>27567336.224447183</v>
      </c>
      <c r="I118" s="447">
        <f t="shared" si="18"/>
        <v>27567336.224447183</v>
      </c>
      <c r="J118" s="447">
        <f t="shared" si="18"/>
        <v>27567336.224447183</v>
      </c>
      <c r="K118" s="447">
        <f t="shared" si="18"/>
        <v>27567336.224447183</v>
      </c>
      <c r="L118" s="447">
        <f t="shared" si="18"/>
        <v>27567336.224447183</v>
      </c>
      <c r="M118" s="447">
        <f t="shared" si="18"/>
        <v>27567336.224447183</v>
      </c>
      <c r="N118" s="447">
        <f t="shared" si="18"/>
        <v>27567336.224447183</v>
      </c>
      <c r="O118" s="447">
        <f t="shared" si="18"/>
        <v>27567336.224447183</v>
      </c>
      <c r="P118" s="447">
        <f t="shared" si="18"/>
        <v>27567336.224447183</v>
      </c>
      <c r="Q118" s="447">
        <f t="shared" si="18"/>
        <v>27567336.224447183</v>
      </c>
      <c r="R118" s="447">
        <f t="shared" si="18"/>
        <v>27567336.224447183</v>
      </c>
      <c r="S118" s="447">
        <f t="shared" si="18"/>
        <v>27567336.224447183</v>
      </c>
      <c r="T118" s="447">
        <f t="shared" si="18"/>
        <v>27567336.224447183</v>
      </c>
      <c r="U118" s="447">
        <f t="shared" si="18"/>
        <v>27567336.224447183</v>
      </c>
      <c r="V118" s="447">
        <f t="shared" si="18"/>
        <v>27567336.224447183</v>
      </c>
      <c r="W118" s="447">
        <f t="shared" si="18"/>
        <v>27567336.224447183</v>
      </c>
      <c r="X118" s="447">
        <f t="shared" si="18"/>
        <v>27567336.224447183</v>
      </c>
      <c r="Y118" s="447">
        <f t="shared" si="18"/>
        <v>27567336.224447183</v>
      </c>
      <c r="Z118" s="447">
        <f t="shared" si="18"/>
        <v>27567336.224447183</v>
      </c>
    </row>
    <row r="119" spans="1:26" x14ac:dyDescent="0.25">
      <c r="A119" s="3">
        <v>2</v>
      </c>
      <c r="B119" s="4" t="str">
        <f t="shared" si="17"/>
        <v>Battery - Com 4 Hours_PJM</v>
      </c>
      <c r="C119" s="443">
        <v>0</v>
      </c>
      <c r="D119" s="444">
        <v>0</v>
      </c>
      <c r="E119" s="445">
        <f>CCR_BTM!RCCR</f>
        <v>5.3013198735662778E-2</v>
      </c>
      <c r="F119" s="448">
        <f t="shared" si="10"/>
        <v>0</v>
      </c>
      <c r="G119" s="444"/>
      <c r="H119" s="447">
        <f t="shared" ref="H119:Z119" si="19">$F119</f>
        <v>0</v>
      </c>
      <c r="I119" s="447">
        <f t="shared" si="19"/>
        <v>0</v>
      </c>
      <c r="J119" s="447">
        <f t="shared" si="19"/>
        <v>0</v>
      </c>
      <c r="K119" s="447">
        <f t="shared" si="19"/>
        <v>0</v>
      </c>
      <c r="L119" s="447">
        <f t="shared" si="19"/>
        <v>0</v>
      </c>
      <c r="M119" s="447">
        <f t="shared" si="19"/>
        <v>0</v>
      </c>
      <c r="N119" s="447">
        <f t="shared" si="19"/>
        <v>0</v>
      </c>
      <c r="O119" s="447">
        <f t="shared" si="19"/>
        <v>0</v>
      </c>
      <c r="P119" s="447">
        <f t="shared" si="19"/>
        <v>0</v>
      </c>
      <c r="Q119" s="447">
        <f t="shared" si="19"/>
        <v>0</v>
      </c>
      <c r="R119" s="447">
        <f t="shared" si="19"/>
        <v>0</v>
      </c>
      <c r="S119" s="447">
        <f t="shared" si="19"/>
        <v>0</v>
      </c>
      <c r="T119" s="447">
        <f t="shared" si="19"/>
        <v>0</v>
      </c>
      <c r="U119" s="447">
        <f t="shared" si="19"/>
        <v>0</v>
      </c>
      <c r="V119" s="447">
        <f t="shared" si="19"/>
        <v>0</v>
      </c>
      <c r="W119" s="447">
        <f t="shared" si="19"/>
        <v>0</v>
      </c>
      <c r="X119" s="447">
        <f t="shared" si="19"/>
        <v>0</v>
      </c>
      <c r="Y119" s="447">
        <f t="shared" si="19"/>
        <v>0</v>
      </c>
      <c r="Z119" s="447">
        <f t="shared" si="19"/>
        <v>0</v>
      </c>
    </row>
    <row r="120" spans="1:26" x14ac:dyDescent="0.25">
      <c r="A120" s="3">
        <v>3</v>
      </c>
      <c r="B120" s="4" t="str">
        <f t="shared" si="17"/>
        <v>Battery - Com 4 Hours_PJM</v>
      </c>
      <c r="C120" s="443">
        <v>0</v>
      </c>
      <c r="D120" s="444">
        <v>0</v>
      </c>
      <c r="E120" s="445">
        <f>CCR_BTM!RCCR</f>
        <v>5.3013198735662778E-2</v>
      </c>
      <c r="F120" s="448">
        <f t="shared" si="10"/>
        <v>0</v>
      </c>
      <c r="G120" s="444"/>
      <c r="H120" s="450"/>
      <c r="I120" s="447">
        <f t="shared" ref="I120:Z120" si="20">$F120</f>
        <v>0</v>
      </c>
      <c r="J120" s="447">
        <f t="shared" si="20"/>
        <v>0</v>
      </c>
      <c r="K120" s="447">
        <f t="shared" si="20"/>
        <v>0</v>
      </c>
      <c r="L120" s="447">
        <f t="shared" si="20"/>
        <v>0</v>
      </c>
      <c r="M120" s="447">
        <f t="shared" si="20"/>
        <v>0</v>
      </c>
      <c r="N120" s="447">
        <f t="shared" si="20"/>
        <v>0</v>
      </c>
      <c r="O120" s="447">
        <f t="shared" si="20"/>
        <v>0</v>
      </c>
      <c r="P120" s="447">
        <f t="shared" si="20"/>
        <v>0</v>
      </c>
      <c r="Q120" s="447">
        <f t="shared" si="20"/>
        <v>0</v>
      </c>
      <c r="R120" s="447">
        <f t="shared" si="20"/>
        <v>0</v>
      </c>
      <c r="S120" s="447">
        <f t="shared" si="20"/>
        <v>0</v>
      </c>
      <c r="T120" s="447">
        <f t="shared" si="20"/>
        <v>0</v>
      </c>
      <c r="U120" s="447">
        <f t="shared" si="20"/>
        <v>0</v>
      </c>
      <c r="V120" s="447">
        <f t="shared" si="20"/>
        <v>0</v>
      </c>
      <c r="W120" s="447">
        <f t="shared" si="20"/>
        <v>0</v>
      </c>
      <c r="X120" s="447">
        <f t="shared" si="20"/>
        <v>0</v>
      </c>
      <c r="Y120" s="447">
        <f t="shared" si="20"/>
        <v>0</v>
      </c>
      <c r="Z120" s="447">
        <f t="shared" si="20"/>
        <v>0</v>
      </c>
    </row>
    <row r="121" spans="1:26" x14ac:dyDescent="0.25">
      <c r="A121" s="3">
        <v>4</v>
      </c>
      <c r="B121" s="4" t="str">
        <f t="shared" si="17"/>
        <v>Battery - Com 4 Hours_PJM</v>
      </c>
      <c r="C121" s="443">
        <v>0</v>
      </c>
      <c r="D121" s="444">
        <v>0</v>
      </c>
      <c r="E121" s="445">
        <f>CCR_BTM!RCCR</f>
        <v>5.3013198735662778E-2</v>
      </c>
      <c r="F121" s="448">
        <f t="shared" si="10"/>
        <v>0</v>
      </c>
      <c r="G121" s="444"/>
      <c r="H121" s="450"/>
      <c r="I121" s="450"/>
      <c r="J121" s="447">
        <f t="shared" ref="J121:Z121" si="21">$F121</f>
        <v>0</v>
      </c>
      <c r="K121" s="447">
        <f t="shared" si="21"/>
        <v>0</v>
      </c>
      <c r="L121" s="447">
        <f t="shared" si="21"/>
        <v>0</v>
      </c>
      <c r="M121" s="447">
        <f t="shared" si="21"/>
        <v>0</v>
      </c>
      <c r="N121" s="447">
        <f t="shared" si="21"/>
        <v>0</v>
      </c>
      <c r="O121" s="447">
        <f t="shared" si="21"/>
        <v>0</v>
      </c>
      <c r="P121" s="447">
        <f t="shared" si="21"/>
        <v>0</v>
      </c>
      <c r="Q121" s="447">
        <f t="shared" si="21"/>
        <v>0</v>
      </c>
      <c r="R121" s="447">
        <f t="shared" si="21"/>
        <v>0</v>
      </c>
      <c r="S121" s="447">
        <f t="shared" si="21"/>
        <v>0</v>
      </c>
      <c r="T121" s="447">
        <f t="shared" si="21"/>
        <v>0</v>
      </c>
      <c r="U121" s="447">
        <f t="shared" si="21"/>
        <v>0</v>
      </c>
      <c r="V121" s="447">
        <f t="shared" si="21"/>
        <v>0</v>
      </c>
      <c r="W121" s="447">
        <f t="shared" si="21"/>
        <v>0</v>
      </c>
      <c r="X121" s="447">
        <f t="shared" si="21"/>
        <v>0</v>
      </c>
      <c r="Y121" s="447">
        <f t="shared" si="21"/>
        <v>0</v>
      </c>
      <c r="Z121" s="447">
        <f t="shared" si="21"/>
        <v>0</v>
      </c>
    </row>
    <row r="122" spans="1:26" x14ac:dyDescent="0.25">
      <c r="A122" s="3">
        <v>5</v>
      </c>
      <c r="B122" s="4" t="str">
        <f t="shared" si="17"/>
        <v>Battery - Com 4 Hours_PJM</v>
      </c>
      <c r="C122" s="443">
        <v>0</v>
      </c>
      <c r="D122" s="444">
        <v>0</v>
      </c>
      <c r="E122" s="445">
        <f>CCR_BTM!RCCR</f>
        <v>5.3013198735662778E-2</v>
      </c>
      <c r="F122" s="448">
        <f t="shared" si="10"/>
        <v>0</v>
      </c>
      <c r="G122" s="444"/>
      <c r="H122" s="450"/>
      <c r="I122" s="450"/>
      <c r="J122" s="450"/>
      <c r="K122" s="447">
        <f t="shared" ref="K122:Z122" si="22">$F122</f>
        <v>0</v>
      </c>
      <c r="L122" s="447">
        <f t="shared" si="22"/>
        <v>0</v>
      </c>
      <c r="M122" s="447">
        <f t="shared" si="22"/>
        <v>0</v>
      </c>
      <c r="N122" s="447">
        <f t="shared" si="22"/>
        <v>0</v>
      </c>
      <c r="O122" s="447">
        <f t="shared" si="22"/>
        <v>0</v>
      </c>
      <c r="P122" s="447">
        <f t="shared" si="22"/>
        <v>0</v>
      </c>
      <c r="Q122" s="447">
        <f t="shared" si="22"/>
        <v>0</v>
      </c>
      <c r="R122" s="447">
        <f t="shared" si="22"/>
        <v>0</v>
      </c>
      <c r="S122" s="447">
        <f t="shared" si="22"/>
        <v>0</v>
      </c>
      <c r="T122" s="447">
        <f t="shared" si="22"/>
        <v>0</v>
      </c>
      <c r="U122" s="447">
        <f t="shared" si="22"/>
        <v>0</v>
      </c>
      <c r="V122" s="447">
        <f t="shared" si="22"/>
        <v>0</v>
      </c>
      <c r="W122" s="447">
        <f t="shared" si="22"/>
        <v>0</v>
      </c>
      <c r="X122" s="447">
        <f t="shared" si="22"/>
        <v>0</v>
      </c>
      <c r="Y122" s="447">
        <f t="shared" si="22"/>
        <v>0</v>
      </c>
      <c r="Z122" s="447">
        <f t="shared" si="22"/>
        <v>0</v>
      </c>
    </row>
    <row r="123" spans="1:26" x14ac:dyDescent="0.25">
      <c r="A123" s="3">
        <v>6</v>
      </c>
      <c r="B123" s="4" t="str">
        <f t="shared" si="17"/>
        <v>Battery - Com 4 Hours_PJM</v>
      </c>
      <c r="C123" s="443">
        <v>0</v>
      </c>
      <c r="D123" s="444">
        <v>0</v>
      </c>
      <c r="E123" s="445">
        <f>CCR_BTM!RCCR</f>
        <v>5.3013198735662778E-2</v>
      </c>
      <c r="F123" s="448">
        <f t="shared" si="10"/>
        <v>0</v>
      </c>
      <c r="G123" s="444"/>
      <c r="H123" s="450"/>
      <c r="I123" s="450"/>
      <c r="J123" s="450"/>
      <c r="K123" s="450"/>
      <c r="L123" s="447">
        <f t="shared" ref="L123:Z125" si="23">$F123</f>
        <v>0</v>
      </c>
      <c r="M123" s="447">
        <f t="shared" si="23"/>
        <v>0</v>
      </c>
      <c r="N123" s="447">
        <f t="shared" si="23"/>
        <v>0</v>
      </c>
      <c r="O123" s="447">
        <f t="shared" si="23"/>
        <v>0</v>
      </c>
      <c r="P123" s="447">
        <f t="shared" si="23"/>
        <v>0</v>
      </c>
      <c r="Q123" s="447">
        <f t="shared" si="23"/>
        <v>0</v>
      </c>
      <c r="R123" s="447">
        <f t="shared" si="23"/>
        <v>0</v>
      </c>
      <c r="S123" s="447">
        <f t="shared" si="23"/>
        <v>0</v>
      </c>
      <c r="T123" s="447">
        <f t="shared" si="23"/>
        <v>0</v>
      </c>
      <c r="U123" s="447">
        <f t="shared" si="23"/>
        <v>0</v>
      </c>
      <c r="V123" s="447">
        <f t="shared" si="23"/>
        <v>0</v>
      </c>
      <c r="W123" s="447">
        <f t="shared" si="23"/>
        <v>0</v>
      </c>
      <c r="X123" s="447">
        <f t="shared" si="23"/>
        <v>0</v>
      </c>
      <c r="Y123" s="447">
        <f t="shared" si="23"/>
        <v>0</v>
      </c>
      <c r="Z123" s="447">
        <f t="shared" si="23"/>
        <v>0</v>
      </c>
    </row>
    <row r="124" spans="1:26" x14ac:dyDescent="0.25">
      <c r="B124" s="4" t="str">
        <f>$B$8</f>
        <v>Battery - Res 4 Hours_MISO</v>
      </c>
      <c r="C124" s="443">
        <f>G98</f>
        <v>139.46666666666667</v>
      </c>
      <c r="D124" s="444">
        <f>G106</f>
        <v>4129.5592964575808</v>
      </c>
      <c r="E124" s="445">
        <f>CCR_BTM!RCCR</f>
        <v>5.3013198735662778E-2</v>
      </c>
      <c r="F124" s="448">
        <f t="shared" si="10"/>
        <v>30532202.728907298</v>
      </c>
      <c r="G124" s="447">
        <f t="shared" ref="G124:K125" si="24">$F124</f>
        <v>30532202.728907298</v>
      </c>
      <c r="H124" s="447">
        <f t="shared" si="24"/>
        <v>30532202.728907298</v>
      </c>
      <c r="I124" s="447">
        <f t="shared" si="24"/>
        <v>30532202.728907298</v>
      </c>
      <c r="J124" s="447">
        <f t="shared" si="24"/>
        <v>30532202.728907298</v>
      </c>
      <c r="K124" s="447">
        <f t="shared" si="24"/>
        <v>30532202.728907298</v>
      </c>
      <c r="L124" s="447">
        <f t="shared" si="23"/>
        <v>30532202.728907298</v>
      </c>
      <c r="M124" s="447">
        <f t="shared" si="23"/>
        <v>30532202.728907298</v>
      </c>
      <c r="N124" s="447">
        <f t="shared" si="23"/>
        <v>30532202.728907298</v>
      </c>
      <c r="O124" s="447">
        <f t="shared" si="23"/>
        <v>30532202.728907298</v>
      </c>
      <c r="P124" s="447">
        <f t="shared" si="23"/>
        <v>30532202.728907298</v>
      </c>
      <c r="Q124" s="447">
        <f t="shared" si="23"/>
        <v>30532202.728907298</v>
      </c>
      <c r="R124" s="447">
        <f t="shared" si="23"/>
        <v>30532202.728907298</v>
      </c>
      <c r="S124" s="447">
        <f t="shared" si="23"/>
        <v>30532202.728907298</v>
      </c>
      <c r="T124" s="447">
        <f t="shared" si="23"/>
        <v>30532202.728907298</v>
      </c>
      <c r="U124" s="447">
        <f t="shared" si="23"/>
        <v>30532202.728907298</v>
      </c>
      <c r="V124" s="447">
        <f t="shared" si="23"/>
        <v>30532202.728907298</v>
      </c>
      <c r="W124" s="447">
        <f t="shared" si="23"/>
        <v>30532202.728907298</v>
      </c>
      <c r="X124" s="447">
        <f t="shared" si="23"/>
        <v>30532202.728907298</v>
      </c>
      <c r="Y124" s="447">
        <f t="shared" si="23"/>
        <v>30532202.728907298</v>
      </c>
      <c r="Z124" s="447">
        <f t="shared" si="23"/>
        <v>30532202.728907298</v>
      </c>
    </row>
    <row r="125" spans="1:26" x14ac:dyDescent="0.25">
      <c r="B125" s="4" t="str">
        <f>$B$9</f>
        <v>Battery - Res 4 Hours_PJM</v>
      </c>
      <c r="C125" s="443">
        <f>G99</f>
        <v>60.533333333333331</v>
      </c>
      <c r="D125" s="444">
        <f>G107</f>
        <v>4161.9988824470356</v>
      </c>
      <c r="E125" s="445">
        <f>CCR_BTM!RCCR</f>
        <v>5.3013198735662778E-2</v>
      </c>
      <c r="F125" s="448">
        <f t="shared" si="10"/>
        <v>13356127.566309076</v>
      </c>
      <c r="G125" s="447">
        <f t="shared" si="24"/>
        <v>13356127.566309076</v>
      </c>
      <c r="H125" s="447">
        <f t="shared" si="24"/>
        <v>13356127.566309076</v>
      </c>
      <c r="I125" s="447">
        <f t="shared" si="24"/>
        <v>13356127.566309076</v>
      </c>
      <c r="J125" s="447">
        <f t="shared" si="24"/>
        <v>13356127.566309076</v>
      </c>
      <c r="K125" s="447">
        <f t="shared" si="24"/>
        <v>13356127.566309076</v>
      </c>
      <c r="L125" s="447">
        <f t="shared" si="23"/>
        <v>13356127.566309076</v>
      </c>
      <c r="M125" s="447">
        <f t="shared" si="23"/>
        <v>13356127.566309076</v>
      </c>
      <c r="N125" s="447">
        <f t="shared" si="23"/>
        <v>13356127.566309076</v>
      </c>
      <c r="O125" s="447">
        <f t="shared" si="23"/>
        <v>13356127.566309076</v>
      </c>
      <c r="P125" s="447">
        <f t="shared" si="23"/>
        <v>13356127.566309076</v>
      </c>
      <c r="Q125" s="447">
        <f t="shared" si="23"/>
        <v>13356127.566309076</v>
      </c>
      <c r="R125" s="447">
        <f t="shared" si="23"/>
        <v>13356127.566309076</v>
      </c>
      <c r="S125" s="447">
        <f t="shared" si="23"/>
        <v>13356127.566309076</v>
      </c>
      <c r="T125" s="447">
        <f t="shared" si="23"/>
        <v>13356127.566309076</v>
      </c>
      <c r="U125" s="447">
        <f t="shared" si="23"/>
        <v>13356127.566309076</v>
      </c>
      <c r="V125" s="447">
        <f t="shared" si="23"/>
        <v>13356127.566309076</v>
      </c>
      <c r="W125" s="447">
        <f t="shared" si="23"/>
        <v>13356127.566309076</v>
      </c>
      <c r="X125" s="447">
        <f t="shared" si="23"/>
        <v>13356127.566309076</v>
      </c>
      <c r="Y125" s="447">
        <f t="shared" si="23"/>
        <v>13356127.566309076</v>
      </c>
      <c r="Z125" s="447">
        <f t="shared" si="23"/>
        <v>13356127.566309076</v>
      </c>
    </row>
    <row r="126" spans="1:26" x14ac:dyDescent="0.25">
      <c r="B126" s="4"/>
      <c r="C126" s="443"/>
      <c r="D126" s="444"/>
      <c r="E126" s="445"/>
      <c r="F126" s="448"/>
      <c r="G126" s="447"/>
      <c r="H126" s="447"/>
      <c r="I126" s="447"/>
      <c r="J126" s="447"/>
      <c r="K126" s="447"/>
      <c r="L126" s="447"/>
      <c r="M126" s="447"/>
      <c r="N126" s="447"/>
      <c r="O126" s="447"/>
      <c r="P126" s="447"/>
      <c r="Q126" s="447"/>
      <c r="R126" s="447"/>
      <c r="S126" s="447"/>
      <c r="T126" s="447"/>
      <c r="U126" s="447"/>
      <c r="V126" s="447"/>
      <c r="W126" s="447"/>
      <c r="X126" s="447"/>
      <c r="Y126" s="447"/>
      <c r="Z126" s="447"/>
    </row>
    <row r="127" spans="1:26" x14ac:dyDescent="0.25">
      <c r="B127" s="4"/>
      <c r="C127" s="4"/>
      <c r="D127" s="4"/>
      <c r="E127" s="4"/>
      <c r="F127" s="4"/>
      <c r="G127" s="4"/>
    </row>
    <row r="128" spans="1:26" x14ac:dyDescent="0.25">
      <c r="B128" s="2" t="s">
        <v>117</v>
      </c>
      <c r="C128" s="4"/>
      <c r="D128" s="4"/>
      <c r="E128" s="4"/>
      <c r="F128" s="4"/>
      <c r="G128" s="4"/>
    </row>
    <row r="129" spans="2:31" x14ac:dyDescent="0.25">
      <c r="B129" s="2" t="s">
        <v>43</v>
      </c>
      <c r="C129" s="4"/>
      <c r="D129" s="4"/>
      <c r="E129" s="4"/>
      <c r="F129" s="4"/>
      <c r="G129" s="235">
        <f t="shared" ref="G129:Z129" si="25">G2</f>
        <v>2030</v>
      </c>
      <c r="H129" s="235">
        <f t="shared" si="25"/>
        <v>2031</v>
      </c>
      <c r="I129" s="235">
        <f t="shared" si="25"/>
        <v>2032</v>
      </c>
      <c r="J129" s="235">
        <f t="shared" si="25"/>
        <v>2033</v>
      </c>
      <c r="K129" s="235">
        <f t="shared" si="25"/>
        <v>2034</v>
      </c>
      <c r="L129" s="235">
        <f t="shared" si="25"/>
        <v>2035</v>
      </c>
      <c r="M129" s="235">
        <f t="shared" si="25"/>
        <v>2036</v>
      </c>
      <c r="N129" s="235">
        <f t="shared" si="25"/>
        <v>2037</v>
      </c>
      <c r="O129" s="235">
        <f t="shared" si="25"/>
        <v>2038</v>
      </c>
      <c r="P129" s="235">
        <f t="shared" si="25"/>
        <v>2039</v>
      </c>
      <c r="Q129" s="235">
        <f t="shared" si="25"/>
        <v>2040</v>
      </c>
      <c r="R129" s="235">
        <f t="shared" si="25"/>
        <v>2041</v>
      </c>
      <c r="S129" s="235">
        <f t="shared" si="25"/>
        <v>2042</v>
      </c>
      <c r="T129" s="235">
        <f t="shared" si="25"/>
        <v>2043</v>
      </c>
      <c r="U129" s="235">
        <f t="shared" si="25"/>
        <v>2044</v>
      </c>
      <c r="V129" s="235">
        <f t="shared" si="25"/>
        <v>2045</v>
      </c>
      <c r="W129" s="235">
        <f t="shared" si="25"/>
        <v>2046</v>
      </c>
      <c r="X129" s="235">
        <f t="shared" si="25"/>
        <v>2047</v>
      </c>
      <c r="Y129" s="235">
        <f t="shared" si="25"/>
        <v>2048</v>
      </c>
      <c r="Z129" s="235">
        <f t="shared" si="25"/>
        <v>2049</v>
      </c>
      <c r="AA129" s="235"/>
      <c r="AB129" s="235"/>
      <c r="AC129" s="235"/>
      <c r="AD129" s="235"/>
      <c r="AE129" s="235"/>
    </row>
    <row r="130" spans="2:31" x14ac:dyDescent="0.25">
      <c r="B130" s="4" t="s">
        <v>44</v>
      </c>
      <c r="C130" s="4"/>
      <c r="D130" s="4"/>
      <c r="E130" s="4"/>
      <c r="F130" s="4"/>
      <c r="G130" s="5">
        <f t="shared" ref="G130:Z130" si="26">SUM(G88:G91)</f>
        <v>63415713.751386225</v>
      </c>
      <c r="H130" s="5">
        <f t="shared" si="26"/>
        <v>63415713.751386225</v>
      </c>
      <c r="I130" s="5">
        <f t="shared" si="26"/>
        <v>63415713.751386225</v>
      </c>
      <c r="J130" s="5">
        <f t="shared" si="26"/>
        <v>63415713.751386225</v>
      </c>
      <c r="K130" s="5">
        <f t="shared" si="26"/>
        <v>63415713.751386225</v>
      </c>
      <c r="L130" s="5">
        <f t="shared" si="26"/>
        <v>63415713.751386225</v>
      </c>
      <c r="M130" s="5">
        <f t="shared" si="26"/>
        <v>63415713.751386225</v>
      </c>
      <c r="N130" s="5">
        <f t="shared" si="26"/>
        <v>63415713.751386225</v>
      </c>
      <c r="O130" s="5">
        <f t="shared" si="26"/>
        <v>63415713.751386225</v>
      </c>
      <c r="P130" s="5">
        <f t="shared" si="26"/>
        <v>63415713.751386225</v>
      </c>
      <c r="Q130" s="5">
        <f t="shared" si="26"/>
        <v>63415713.751386225</v>
      </c>
      <c r="R130" s="5">
        <f t="shared" si="26"/>
        <v>63415713.751386225</v>
      </c>
      <c r="S130" s="5">
        <f t="shared" si="26"/>
        <v>63415713.751386225</v>
      </c>
      <c r="T130" s="5">
        <f t="shared" si="26"/>
        <v>63415713.751386225</v>
      </c>
      <c r="U130" s="5">
        <f t="shared" si="26"/>
        <v>63415713.751386225</v>
      </c>
      <c r="V130" s="5">
        <f t="shared" si="26"/>
        <v>63415713.751386225</v>
      </c>
      <c r="W130" s="5">
        <f t="shared" si="26"/>
        <v>63415713.751386225</v>
      </c>
      <c r="X130" s="5">
        <f t="shared" si="26"/>
        <v>63415713.751386225</v>
      </c>
      <c r="Y130" s="5">
        <f t="shared" si="26"/>
        <v>63415713.751386225</v>
      </c>
      <c r="Z130" s="5">
        <f t="shared" si="26"/>
        <v>63415713.751386225</v>
      </c>
      <c r="AA130" s="5"/>
      <c r="AB130" s="5"/>
      <c r="AC130" s="5"/>
      <c r="AD130" s="5"/>
      <c r="AE130" s="5"/>
    </row>
    <row r="131" spans="2:31" x14ac:dyDescent="0.25">
      <c r="B131" s="4" t="s">
        <v>45</v>
      </c>
      <c r="C131" s="4"/>
      <c r="D131" s="4"/>
      <c r="E131" s="4"/>
      <c r="F131" s="4"/>
      <c r="G131" s="6">
        <f t="shared" ref="G131:Z131" si="27">SUM(G112:G125)</f>
        <v>134474793.44264564</v>
      </c>
      <c r="H131" s="6">
        <f t="shared" si="27"/>
        <v>134474793.44264564</v>
      </c>
      <c r="I131" s="6">
        <f t="shared" si="27"/>
        <v>134474793.44264564</v>
      </c>
      <c r="J131" s="6">
        <f t="shared" si="27"/>
        <v>134474793.44264564</v>
      </c>
      <c r="K131" s="6">
        <f t="shared" si="27"/>
        <v>134474793.44264564</v>
      </c>
      <c r="L131" s="6">
        <f t="shared" si="27"/>
        <v>134474793.44264564</v>
      </c>
      <c r="M131" s="6">
        <f t="shared" si="27"/>
        <v>134474793.44264564</v>
      </c>
      <c r="N131" s="6">
        <f t="shared" si="27"/>
        <v>134474793.44264564</v>
      </c>
      <c r="O131" s="6">
        <f t="shared" si="27"/>
        <v>134474793.44264564</v>
      </c>
      <c r="P131" s="6">
        <f t="shared" si="27"/>
        <v>134474793.44264564</v>
      </c>
      <c r="Q131" s="6">
        <f t="shared" si="27"/>
        <v>134474793.44264564</v>
      </c>
      <c r="R131" s="6">
        <f t="shared" si="27"/>
        <v>134474793.44264564</v>
      </c>
      <c r="S131" s="6">
        <f t="shared" si="27"/>
        <v>134474793.44264564</v>
      </c>
      <c r="T131" s="6">
        <f t="shared" si="27"/>
        <v>134474793.44264564</v>
      </c>
      <c r="U131" s="6">
        <f t="shared" si="27"/>
        <v>134474793.44264564</v>
      </c>
      <c r="V131" s="6">
        <f t="shared" si="27"/>
        <v>134474793.44264564</v>
      </c>
      <c r="W131" s="6">
        <f t="shared" si="27"/>
        <v>134474793.44264564</v>
      </c>
      <c r="X131" s="6">
        <f t="shared" si="27"/>
        <v>134474793.44264564</v>
      </c>
      <c r="Y131" s="6">
        <f t="shared" si="27"/>
        <v>134474793.44264564</v>
      </c>
      <c r="Z131" s="6">
        <f t="shared" si="27"/>
        <v>134474793.44264564</v>
      </c>
      <c r="AA131" s="6"/>
      <c r="AB131" s="6"/>
      <c r="AC131" s="6"/>
      <c r="AD131" s="6"/>
      <c r="AE131" s="6"/>
    </row>
  </sheetData>
  <sheetProtection selectLockedCells="1"/>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C2FF7-BB4D-4B40-9F3A-196D2D0B1499}">
  <sheetPr codeName="Sheet40">
    <tabColor theme="5" tint="0.39997558519241921"/>
  </sheetPr>
  <dimension ref="A3:D22"/>
  <sheetViews>
    <sheetView zoomScale="70" zoomScaleNormal="70" workbookViewId="0"/>
  </sheetViews>
  <sheetFormatPr defaultRowHeight="15" x14ac:dyDescent="0.25"/>
  <cols>
    <col min="1" max="1" width="23.28515625" style="3" bestFit="1" customWidth="1"/>
    <col min="2" max="2" width="26.85546875" style="3" bestFit="1" customWidth="1"/>
    <col min="3" max="3" width="16.7109375" style="3" bestFit="1" customWidth="1"/>
    <col min="4" max="4" width="17.5703125" style="274" customWidth="1"/>
    <col min="5" max="16384" width="9.140625" style="3"/>
  </cols>
  <sheetData>
    <row r="3" spans="1:4" x14ac:dyDescent="0.25">
      <c r="A3" s="189"/>
      <c r="B3" s="189"/>
      <c r="C3" s="198" t="s">
        <v>199</v>
      </c>
      <c r="D3" s="275"/>
    </row>
    <row r="4" spans="1:4" ht="30" x14ac:dyDescent="0.25">
      <c r="A4" s="276" t="s">
        <v>198</v>
      </c>
      <c r="B4" s="276"/>
      <c r="C4" s="426" t="s">
        <v>197</v>
      </c>
      <c r="D4" s="277" t="s">
        <v>196</v>
      </c>
    </row>
    <row r="5" spans="1:4" x14ac:dyDescent="0.25">
      <c r="A5" s="276"/>
      <c r="B5" s="276"/>
      <c r="C5" s="426"/>
      <c r="D5" s="277"/>
    </row>
    <row r="6" spans="1:4" x14ac:dyDescent="0.25">
      <c r="A6" s="276"/>
      <c r="B6" s="276"/>
      <c r="C6" s="426"/>
      <c r="D6" s="277" t="s">
        <v>195</v>
      </c>
    </row>
    <row r="7" spans="1:4" x14ac:dyDescent="0.25">
      <c r="A7" s="4" t="s">
        <v>192</v>
      </c>
      <c r="B7" s="4" t="s">
        <v>121</v>
      </c>
      <c r="C7" s="3" t="s">
        <v>194</v>
      </c>
      <c r="D7" s="427">
        <f>'EIA_AEO_2023_Table 4'!$F$35</f>
        <v>1.0023622047244094</v>
      </c>
    </row>
    <row r="8" spans="1:4" x14ac:dyDescent="0.25">
      <c r="A8" s="4" t="s">
        <v>192</v>
      </c>
      <c r="B8" s="4" t="s">
        <v>120</v>
      </c>
      <c r="C8" s="3" t="str">
        <f>C7</f>
        <v>Conservative</v>
      </c>
      <c r="D8" s="427">
        <f>'EIA_AEO_2023_Table 4'!$M$35</f>
        <v>1.0102362204724409</v>
      </c>
    </row>
    <row r="9" spans="1:4" x14ac:dyDescent="0.25">
      <c r="A9" s="4" t="s">
        <v>193</v>
      </c>
      <c r="B9" s="4" t="s">
        <v>119</v>
      </c>
      <c r="C9" s="3" t="str">
        <f>C8</f>
        <v>Conservative</v>
      </c>
      <c r="D9" s="427">
        <f>'EIA_AEO_2023_Table 4'!$F$35</f>
        <v>1.0023622047244094</v>
      </c>
    </row>
    <row r="10" spans="1:4" x14ac:dyDescent="0.25">
      <c r="A10" s="4" t="s">
        <v>193</v>
      </c>
      <c r="B10" s="4" t="s">
        <v>118</v>
      </c>
      <c r="C10" s="3" t="str">
        <f>C9</f>
        <v>Conservative</v>
      </c>
      <c r="D10" s="427">
        <f>'EIA_AEO_2023_Table 4'!$M$35</f>
        <v>1.0102362204724409</v>
      </c>
    </row>
    <row r="11" spans="1:4" x14ac:dyDescent="0.25">
      <c r="A11" s="4" t="s">
        <v>192</v>
      </c>
      <c r="B11" s="4" t="s">
        <v>150</v>
      </c>
      <c r="C11" s="3" t="str">
        <f>$C$7</f>
        <v>Conservative</v>
      </c>
      <c r="D11" s="427">
        <f>'EIA_AEO_2023_Table 4'!$F$35</f>
        <v>1.0023622047244094</v>
      </c>
    </row>
    <row r="12" spans="1:4" x14ac:dyDescent="0.25">
      <c r="A12" s="4" t="s">
        <v>192</v>
      </c>
      <c r="B12" s="4" t="s">
        <v>149</v>
      </c>
      <c r="C12" s="3" t="str">
        <f>$C$7</f>
        <v>Conservative</v>
      </c>
      <c r="D12" s="427">
        <f>'EIA_AEO_2023_Table 4'!$M$35</f>
        <v>1.0102362204724409</v>
      </c>
    </row>
    <row r="13" spans="1:4" x14ac:dyDescent="0.25">
      <c r="A13" s="4" t="s">
        <v>192</v>
      </c>
      <c r="B13" s="4" t="s">
        <v>148</v>
      </c>
      <c r="C13" s="3" t="str">
        <f>$C$7</f>
        <v>Conservative</v>
      </c>
      <c r="D13" s="427">
        <f>'EIA_AEO_2023_Table 4'!$F$35</f>
        <v>1.0023622047244094</v>
      </c>
    </row>
    <row r="14" spans="1:4" x14ac:dyDescent="0.25">
      <c r="A14" s="4" t="s">
        <v>192</v>
      </c>
      <c r="B14" s="4" t="s">
        <v>147</v>
      </c>
      <c r="C14" s="3" t="str">
        <f>$C$7</f>
        <v>Conservative</v>
      </c>
      <c r="D14" s="427">
        <f>'EIA_AEO_2023_Table 4'!$M$35</f>
        <v>1.0102362204724409</v>
      </c>
    </row>
    <row r="17" spans="1:2" x14ac:dyDescent="0.25">
      <c r="A17" s="4"/>
    </row>
    <row r="21" spans="1:2" x14ac:dyDescent="0.25">
      <c r="A21" s="4"/>
      <c r="B21" s="4"/>
    </row>
    <row r="22" spans="1:2" x14ac:dyDescent="0.25">
      <c r="A22" s="4"/>
      <c r="B22" s="4"/>
    </row>
  </sheetData>
  <sheetProtection selectLockedCells="1"/>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EAB808C-5494-4A00-B63B-17941CCD9C49}">
          <x14:formula1>
            <xm:f>Assumptions!#REF!</xm:f>
          </x14:formula1>
          <xm:sqref>C7</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FCBCA-5EAE-4B0F-811D-061374817AAB}">
  <sheetPr codeName="Sheet41">
    <tabColor theme="5" tint="0.39997558519241921"/>
  </sheetPr>
  <dimension ref="A1"/>
  <sheetViews>
    <sheetView workbookViewId="0"/>
  </sheetViews>
  <sheetFormatPr defaultRowHeight="15" x14ac:dyDescent="0.25"/>
  <cols>
    <col min="1" max="16384" width="9.140625" style="3"/>
  </cols>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21CC2-FF86-482E-AB7B-9A9BE4525981}">
  <sheetPr codeName="Sheet42">
    <tabColor theme="5" tint="0.39997558519241921"/>
  </sheetPr>
  <dimension ref="A1:Z25"/>
  <sheetViews>
    <sheetView zoomScaleNormal="100" workbookViewId="0"/>
  </sheetViews>
  <sheetFormatPr defaultRowHeight="15" x14ac:dyDescent="0.25"/>
  <cols>
    <col min="1" max="1" width="16.85546875" style="3" bestFit="1" customWidth="1"/>
    <col min="2" max="16384" width="9.140625" style="3"/>
  </cols>
  <sheetData>
    <row r="1" spans="1:26" x14ac:dyDescent="0.25">
      <c r="B1" s="31">
        <v>2030</v>
      </c>
      <c r="C1" s="31">
        <v>2031</v>
      </c>
      <c r="D1" s="31">
        <v>2032</v>
      </c>
      <c r="E1" s="31">
        <v>2033</v>
      </c>
      <c r="F1" s="31">
        <v>2034</v>
      </c>
      <c r="G1" s="31">
        <v>2035</v>
      </c>
      <c r="H1" s="31">
        <v>2036</v>
      </c>
      <c r="I1" s="31">
        <v>2037</v>
      </c>
      <c r="J1" s="31">
        <v>2038</v>
      </c>
      <c r="K1" s="31">
        <v>2039</v>
      </c>
      <c r="L1" s="31">
        <v>2040</v>
      </c>
      <c r="M1" s="31">
        <v>2041</v>
      </c>
      <c r="N1" s="31">
        <v>2042</v>
      </c>
      <c r="O1" s="31">
        <v>2043</v>
      </c>
      <c r="P1" s="31">
        <v>2044</v>
      </c>
      <c r="Q1" s="31">
        <v>2045</v>
      </c>
      <c r="R1" s="31">
        <v>2046</v>
      </c>
      <c r="S1" s="31">
        <v>2047</v>
      </c>
      <c r="T1" s="31">
        <v>2048</v>
      </c>
      <c r="U1" s="31">
        <v>2049</v>
      </c>
      <c r="V1" s="31">
        <v>2050</v>
      </c>
      <c r="W1" s="31">
        <v>2051</v>
      </c>
      <c r="X1" s="31">
        <v>2052</v>
      </c>
      <c r="Y1" s="31">
        <v>2053</v>
      </c>
      <c r="Z1" s="31">
        <v>2054</v>
      </c>
    </row>
    <row r="2" spans="1:26" x14ac:dyDescent="0.25">
      <c r="A2" s="3" t="s">
        <v>56</v>
      </c>
      <c r="B2" s="3">
        <f t="shared" ref="B2:Z2" si="0">0.7*B4-20</f>
        <v>1030</v>
      </c>
      <c r="C2" s="3">
        <f t="shared" si="0"/>
        <v>2080</v>
      </c>
      <c r="D2" s="3">
        <f t="shared" si="0"/>
        <v>2780</v>
      </c>
      <c r="E2" s="3">
        <f t="shared" si="0"/>
        <v>3480</v>
      </c>
      <c r="F2" s="3">
        <f t="shared" si="0"/>
        <v>4355</v>
      </c>
      <c r="G2" s="3">
        <f t="shared" si="0"/>
        <v>5230</v>
      </c>
      <c r="H2" s="3">
        <f t="shared" si="0"/>
        <v>5230</v>
      </c>
      <c r="I2" s="3">
        <f t="shared" si="0"/>
        <v>5230</v>
      </c>
      <c r="J2" s="3">
        <f t="shared" si="0"/>
        <v>5230</v>
      </c>
      <c r="K2" s="3">
        <f t="shared" si="0"/>
        <v>5230</v>
      </c>
      <c r="L2" s="3">
        <f t="shared" si="0"/>
        <v>5230</v>
      </c>
      <c r="M2" s="3">
        <f t="shared" si="0"/>
        <v>5230</v>
      </c>
      <c r="N2" s="3">
        <f t="shared" si="0"/>
        <v>5230</v>
      </c>
      <c r="O2" s="3">
        <f t="shared" si="0"/>
        <v>5230</v>
      </c>
      <c r="P2" s="3">
        <f t="shared" si="0"/>
        <v>5230</v>
      </c>
      <c r="Q2" s="3">
        <f t="shared" si="0"/>
        <v>5230</v>
      </c>
      <c r="R2" s="3">
        <f t="shared" si="0"/>
        <v>5230</v>
      </c>
      <c r="S2" s="3">
        <f t="shared" si="0"/>
        <v>5230</v>
      </c>
      <c r="T2" s="3">
        <f t="shared" si="0"/>
        <v>5230</v>
      </c>
      <c r="U2" s="3">
        <f t="shared" si="0"/>
        <v>5230</v>
      </c>
      <c r="V2" s="3">
        <f t="shared" si="0"/>
        <v>5230</v>
      </c>
      <c r="W2" s="3">
        <f t="shared" si="0"/>
        <v>5230</v>
      </c>
      <c r="X2" s="3">
        <f t="shared" si="0"/>
        <v>5230</v>
      </c>
      <c r="Y2" s="3">
        <f t="shared" si="0"/>
        <v>5230</v>
      </c>
      <c r="Z2" s="3">
        <f t="shared" si="0"/>
        <v>5230</v>
      </c>
    </row>
    <row r="3" spans="1:26" x14ac:dyDescent="0.25">
      <c r="A3" s="3" t="s">
        <v>212</v>
      </c>
      <c r="B3" s="3">
        <f t="shared" ref="B3:Z3" si="1">0.3*B4-20</f>
        <v>430</v>
      </c>
      <c r="C3" s="3">
        <f t="shared" si="1"/>
        <v>880</v>
      </c>
      <c r="D3" s="3">
        <f t="shared" si="1"/>
        <v>1180</v>
      </c>
      <c r="E3" s="3">
        <f t="shared" si="1"/>
        <v>1480</v>
      </c>
      <c r="F3" s="3">
        <f t="shared" si="1"/>
        <v>1855</v>
      </c>
      <c r="G3" s="3">
        <f t="shared" si="1"/>
        <v>2230</v>
      </c>
      <c r="H3" s="3">
        <f t="shared" si="1"/>
        <v>2230</v>
      </c>
      <c r="I3" s="3">
        <f t="shared" si="1"/>
        <v>2230</v>
      </c>
      <c r="J3" s="3">
        <f t="shared" si="1"/>
        <v>2230</v>
      </c>
      <c r="K3" s="3">
        <f t="shared" si="1"/>
        <v>2230</v>
      </c>
      <c r="L3" s="3">
        <f t="shared" si="1"/>
        <v>2230</v>
      </c>
      <c r="M3" s="3">
        <f t="shared" si="1"/>
        <v>2230</v>
      </c>
      <c r="N3" s="3">
        <f t="shared" si="1"/>
        <v>2230</v>
      </c>
      <c r="O3" s="3">
        <f t="shared" si="1"/>
        <v>2230</v>
      </c>
      <c r="P3" s="3">
        <f t="shared" si="1"/>
        <v>2230</v>
      </c>
      <c r="Q3" s="3">
        <f t="shared" si="1"/>
        <v>2230</v>
      </c>
      <c r="R3" s="3">
        <f t="shared" si="1"/>
        <v>2230</v>
      </c>
      <c r="S3" s="3">
        <f t="shared" si="1"/>
        <v>2230</v>
      </c>
      <c r="T3" s="3">
        <f t="shared" si="1"/>
        <v>2230</v>
      </c>
      <c r="U3" s="3">
        <f t="shared" si="1"/>
        <v>2230</v>
      </c>
      <c r="V3" s="3">
        <f t="shared" si="1"/>
        <v>2230</v>
      </c>
      <c r="W3" s="3">
        <f t="shared" si="1"/>
        <v>2230</v>
      </c>
      <c r="X3" s="3">
        <f t="shared" si="1"/>
        <v>2230</v>
      </c>
      <c r="Y3" s="3">
        <f t="shared" si="1"/>
        <v>2230</v>
      </c>
      <c r="Z3" s="3">
        <f t="shared" si="1"/>
        <v>2230</v>
      </c>
    </row>
    <row r="4" spans="1:26" x14ac:dyDescent="0.25">
      <c r="A4" s="3" t="s">
        <v>12</v>
      </c>
      <c r="B4" s="3">
        <v>1500</v>
      </c>
      <c r="C4" s="3">
        <v>3000</v>
      </c>
      <c r="D4" s="3">
        <v>4000</v>
      </c>
      <c r="E4" s="3">
        <v>5000</v>
      </c>
      <c r="F4" s="3">
        <v>6250</v>
      </c>
      <c r="G4" s="3">
        <v>7500</v>
      </c>
      <c r="H4" s="3">
        <f t="shared" ref="H4:Z4" si="2">G4</f>
        <v>7500</v>
      </c>
      <c r="I4" s="3">
        <f t="shared" si="2"/>
        <v>7500</v>
      </c>
      <c r="J4" s="3">
        <f t="shared" si="2"/>
        <v>7500</v>
      </c>
      <c r="K4" s="3">
        <f t="shared" si="2"/>
        <v>7500</v>
      </c>
      <c r="L4" s="3">
        <f t="shared" si="2"/>
        <v>7500</v>
      </c>
      <c r="M4" s="3">
        <f t="shared" si="2"/>
        <v>7500</v>
      </c>
      <c r="N4" s="3">
        <f t="shared" si="2"/>
        <v>7500</v>
      </c>
      <c r="O4" s="3">
        <f t="shared" si="2"/>
        <v>7500</v>
      </c>
      <c r="P4" s="3">
        <f t="shared" si="2"/>
        <v>7500</v>
      </c>
      <c r="Q4" s="3">
        <f t="shared" si="2"/>
        <v>7500</v>
      </c>
      <c r="R4" s="3">
        <f t="shared" si="2"/>
        <v>7500</v>
      </c>
      <c r="S4" s="3">
        <f t="shared" si="2"/>
        <v>7500</v>
      </c>
      <c r="T4" s="3">
        <f t="shared" si="2"/>
        <v>7500</v>
      </c>
      <c r="U4" s="3">
        <f t="shared" si="2"/>
        <v>7500</v>
      </c>
      <c r="V4" s="3">
        <f t="shared" si="2"/>
        <v>7500</v>
      </c>
      <c r="W4" s="3">
        <f t="shared" si="2"/>
        <v>7500</v>
      </c>
      <c r="X4" s="3">
        <f t="shared" si="2"/>
        <v>7500</v>
      </c>
      <c r="Y4" s="3">
        <f t="shared" si="2"/>
        <v>7500</v>
      </c>
      <c r="Z4" s="3">
        <f t="shared" si="2"/>
        <v>7500</v>
      </c>
    </row>
    <row r="5" spans="1:26" x14ac:dyDescent="0.25">
      <c r="B5" s="3">
        <f t="shared" ref="B5:Z5" si="3">B2*4</f>
        <v>4120</v>
      </c>
      <c r="C5" s="3">
        <f t="shared" si="3"/>
        <v>8320</v>
      </c>
      <c r="D5" s="3">
        <f t="shared" si="3"/>
        <v>11120</v>
      </c>
      <c r="E5" s="3">
        <f t="shared" si="3"/>
        <v>13920</v>
      </c>
      <c r="F5" s="3">
        <f t="shared" si="3"/>
        <v>17420</v>
      </c>
      <c r="G5" s="3">
        <f t="shared" si="3"/>
        <v>20920</v>
      </c>
      <c r="H5" s="3">
        <f t="shared" si="3"/>
        <v>20920</v>
      </c>
      <c r="I5" s="3">
        <f t="shared" si="3"/>
        <v>20920</v>
      </c>
      <c r="J5" s="3">
        <f t="shared" si="3"/>
        <v>20920</v>
      </c>
      <c r="K5" s="3">
        <f t="shared" si="3"/>
        <v>20920</v>
      </c>
      <c r="L5" s="3">
        <f t="shared" si="3"/>
        <v>20920</v>
      </c>
      <c r="M5" s="3">
        <f t="shared" si="3"/>
        <v>20920</v>
      </c>
      <c r="N5" s="3">
        <f t="shared" si="3"/>
        <v>20920</v>
      </c>
      <c r="O5" s="3">
        <f t="shared" si="3"/>
        <v>20920</v>
      </c>
      <c r="P5" s="3">
        <f t="shared" si="3"/>
        <v>20920</v>
      </c>
      <c r="Q5" s="3">
        <f t="shared" si="3"/>
        <v>20920</v>
      </c>
      <c r="R5" s="3">
        <f t="shared" si="3"/>
        <v>20920</v>
      </c>
      <c r="S5" s="3">
        <f t="shared" si="3"/>
        <v>20920</v>
      </c>
      <c r="T5" s="3">
        <f t="shared" si="3"/>
        <v>20920</v>
      </c>
      <c r="U5" s="3">
        <f t="shared" si="3"/>
        <v>20920</v>
      </c>
      <c r="V5" s="3">
        <f t="shared" si="3"/>
        <v>20920</v>
      </c>
      <c r="W5" s="3">
        <f t="shared" si="3"/>
        <v>20920</v>
      </c>
      <c r="X5" s="3">
        <f t="shared" si="3"/>
        <v>20920</v>
      </c>
      <c r="Y5" s="3">
        <f t="shared" si="3"/>
        <v>20920</v>
      </c>
      <c r="Z5" s="3">
        <f t="shared" si="3"/>
        <v>20920</v>
      </c>
    </row>
    <row r="6" spans="1:26" x14ac:dyDescent="0.25">
      <c r="B6" s="3">
        <f t="shared" ref="B6:Z6" si="4">B3*4</f>
        <v>1720</v>
      </c>
      <c r="C6" s="3">
        <f t="shared" si="4"/>
        <v>3520</v>
      </c>
      <c r="D6" s="3">
        <f t="shared" si="4"/>
        <v>4720</v>
      </c>
      <c r="E6" s="3">
        <f t="shared" si="4"/>
        <v>5920</v>
      </c>
      <c r="F6" s="3">
        <f t="shared" si="4"/>
        <v>7420</v>
      </c>
      <c r="G6" s="3">
        <f t="shared" si="4"/>
        <v>8920</v>
      </c>
      <c r="H6" s="3">
        <f t="shared" si="4"/>
        <v>8920</v>
      </c>
      <c r="I6" s="3">
        <f t="shared" si="4"/>
        <v>8920</v>
      </c>
      <c r="J6" s="3">
        <f t="shared" si="4"/>
        <v>8920</v>
      </c>
      <c r="K6" s="3">
        <f t="shared" si="4"/>
        <v>8920</v>
      </c>
      <c r="L6" s="3">
        <f t="shared" si="4"/>
        <v>8920</v>
      </c>
      <c r="M6" s="3">
        <f t="shared" si="4"/>
        <v>8920</v>
      </c>
      <c r="N6" s="3">
        <f t="shared" si="4"/>
        <v>8920</v>
      </c>
      <c r="O6" s="3">
        <f t="shared" si="4"/>
        <v>8920</v>
      </c>
      <c r="P6" s="3">
        <f t="shared" si="4"/>
        <v>8920</v>
      </c>
      <c r="Q6" s="3">
        <f t="shared" si="4"/>
        <v>8920</v>
      </c>
      <c r="R6" s="3">
        <f t="shared" si="4"/>
        <v>8920</v>
      </c>
      <c r="S6" s="3">
        <f t="shared" si="4"/>
        <v>8920</v>
      </c>
      <c r="T6" s="3">
        <f t="shared" si="4"/>
        <v>8920</v>
      </c>
      <c r="U6" s="3">
        <f t="shared" si="4"/>
        <v>8920</v>
      </c>
      <c r="V6" s="3">
        <f t="shared" si="4"/>
        <v>8920</v>
      </c>
      <c r="W6" s="3">
        <f t="shared" si="4"/>
        <v>8920</v>
      </c>
      <c r="X6" s="3">
        <f t="shared" si="4"/>
        <v>8920</v>
      </c>
      <c r="Y6" s="3">
        <f t="shared" si="4"/>
        <v>8920</v>
      </c>
      <c r="Z6" s="3">
        <f t="shared" si="4"/>
        <v>8920</v>
      </c>
    </row>
    <row r="9" spans="1:26" x14ac:dyDescent="0.25">
      <c r="B9" s="3">
        <f t="shared" ref="B9:Z9" si="5">B1</f>
        <v>2030</v>
      </c>
      <c r="C9" s="3">
        <f t="shared" si="5"/>
        <v>2031</v>
      </c>
      <c r="D9" s="3">
        <f t="shared" si="5"/>
        <v>2032</v>
      </c>
      <c r="E9" s="3">
        <f t="shared" si="5"/>
        <v>2033</v>
      </c>
      <c r="F9" s="3">
        <f t="shared" si="5"/>
        <v>2034</v>
      </c>
      <c r="G9" s="3">
        <f t="shared" si="5"/>
        <v>2035</v>
      </c>
      <c r="H9" s="3">
        <f t="shared" si="5"/>
        <v>2036</v>
      </c>
      <c r="I9" s="3">
        <f t="shared" si="5"/>
        <v>2037</v>
      </c>
      <c r="J9" s="3">
        <f t="shared" si="5"/>
        <v>2038</v>
      </c>
      <c r="K9" s="3">
        <f t="shared" si="5"/>
        <v>2039</v>
      </c>
      <c r="L9" s="3">
        <f t="shared" si="5"/>
        <v>2040</v>
      </c>
      <c r="M9" s="3">
        <f t="shared" si="5"/>
        <v>2041</v>
      </c>
      <c r="N9" s="3">
        <f t="shared" si="5"/>
        <v>2042</v>
      </c>
      <c r="O9" s="3">
        <f t="shared" si="5"/>
        <v>2043</v>
      </c>
      <c r="P9" s="3">
        <f t="shared" si="5"/>
        <v>2044</v>
      </c>
      <c r="Q9" s="3">
        <f t="shared" si="5"/>
        <v>2045</v>
      </c>
      <c r="R9" s="3">
        <f t="shared" si="5"/>
        <v>2046</v>
      </c>
      <c r="S9" s="3">
        <f t="shared" si="5"/>
        <v>2047</v>
      </c>
      <c r="T9" s="3">
        <f t="shared" si="5"/>
        <v>2048</v>
      </c>
      <c r="U9" s="3">
        <f t="shared" si="5"/>
        <v>2049</v>
      </c>
      <c r="V9" s="3">
        <f t="shared" si="5"/>
        <v>2050</v>
      </c>
      <c r="W9" s="3">
        <f t="shared" si="5"/>
        <v>2051</v>
      </c>
      <c r="X9" s="3">
        <f t="shared" si="5"/>
        <v>2052</v>
      </c>
      <c r="Y9" s="3">
        <f t="shared" si="5"/>
        <v>2053</v>
      </c>
      <c r="Z9" s="3">
        <f t="shared" si="5"/>
        <v>2054</v>
      </c>
    </row>
    <row r="10" spans="1:26" x14ac:dyDescent="0.25">
      <c r="A10" s="3" t="s">
        <v>56</v>
      </c>
      <c r="B10" s="3">
        <f>B2</f>
        <v>1030</v>
      </c>
      <c r="C10" s="3">
        <f t="shared" ref="C10:Z10" si="6">C2-B2</f>
        <v>1050</v>
      </c>
      <c r="D10" s="3">
        <f t="shared" si="6"/>
        <v>700</v>
      </c>
      <c r="E10" s="3">
        <f t="shared" si="6"/>
        <v>700</v>
      </c>
      <c r="F10" s="3">
        <f t="shared" si="6"/>
        <v>875</v>
      </c>
      <c r="G10" s="3">
        <f t="shared" si="6"/>
        <v>875</v>
      </c>
      <c r="H10" s="3">
        <f t="shared" si="6"/>
        <v>0</v>
      </c>
      <c r="I10" s="3">
        <f t="shared" si="6"/>
        <v>0</v>
      </c>
      <c r="J10" s="3">
        <f t="shared" si="6"/>
        <v>0</v>
      </c>
      <c r="K10" s="3">
        <f t="shared" si="6"/>
        <v>0</v>
      </c>
      <c r="L10" s="3">
        <f t="shared" si="6"/>
        <v>0</v>
      </c>
      <c r="M10" s="3">
        <f t="shared" si="6"/>
        <v>0</v>
      </c>
      <c r="N10" s="3">
        <f t="shared" si="6"/>
        <v>0</v>
      </c>
      <c r="O10" s="3">
        <f t="shared" si="6"/>
        <v>0</v>
      </c>
      <c r="P10" s="3">
        <f t="shared" si="6"/>
        <v>0</v>
      </c>
      <c r="Q10" s="3">
        <f t="shared" si="6"/>
        <v>0</v>
      </c>
      <c r="R10" s="3">
        <f t="shared" si="6"/>
        <v>0</v>
      </c>
      <c r="S10" s="3">
        <f t="shared" si="6"/>
        <v>0</v>
      </c>
      <c r="T10" s="3">
        <f t="shared" si="6"/>
        <v>0</v>
      </c>
      <c r="U10" s="3">
        <f t="shared" si="6"/>
        <v>0</v>
      </c>
      <c r="V10" s="3">
        <f t="shared" si="6"/>
        <v>0</v>
      </c>
      <c r="W10" s="3">
        <f t="shared" si="6"/>
        <v>0</v>
      </c>
      <c r="X10" s="3">
        <f t="shared" si="6"/>
        <v>0</v>
      </c>
      <c r="Y10" s="3">
        <f t="shared" si="6"/>
        <v>0</v>
      </c>
      <c r="Z10" s="3">
        <f t="shared" si="6"/>
        <v>0</v>
      </c>
    </row>
    <row r="11" spans="1:26" x14ac:dyDescent="0.25">
      <c r="A11" s="3" t="s">
        <v>212</v>
      </c>
      <c r="B11" s="3">
        <f>B3</f>
        <v>430</v>
      </c>
      <c r="C11" s="3">
        <f t="shared" ref="C11:Z11" si="7">C3-B3</f>
        <v>450</v>
      </c>
      <c r="D11" s="3">
        <f t="shared" si="7"/>
        <v>300</v>
      </c>
      <c r="E11" s="3">
        <f t="shared" si="7"/>
        <v>300</v>
      </c>
      <c r="F11" s="3">
        <f t="shared" si="7"/>
        <v>375</v>
      </c>
      <c r="G11" s="3">
        <f t="shared" si="7"/>
        <v>375</v>
      </c>
      <c r="H11" s="3">
        <f t="shared" si="7"/>
        <v>0</v>
      </c>
      <c r="I11" s="3">
        <f t="shared" si="7"/>
        <v>0</v>
      </c>
      <c r="J11" s="3">
        <f t="shared" si="7"/>
        <v>0</v>
      </c>
      <c r="K11" s="3">
        <f t="shared" si="7"/>
        <v>0</v>
      </c>
      <c r="L11" s="3">
        <f t="shared" si="7"/>
        <v>0</v>
      </c>
      <c r="M11" s="3">
        <f t="shared" si="7"/>
        <v>0</v>
      </c>
      <c r="N11" s="3">
        <f t="shared" si="7"/>
        <v>0</v>
      </c>
      <c r="O11" s="3">
        <f t="shared" si="7"/>
        <v>0</v>
      </c>
      <c r="P11" s="3">
        <f t="shared" si="7"/>
        <v>0</v>
      </c>
      <c r="Q11" s="3">
        <f t="shared" si="7"/>
        <v>0</v>
      </c>
      <c r="R11" s="3">
        <f t="shared" si="7"/>
        <v>0</v>
      </c>
      <c r="S11" s="3">
        <f t="shared" si="7"/>
        <v>0</v>
      </c>
      <c r="T11" s="3">
        <f t="shared" si="7"/>
        <v>0</v>
      </c>
      <c r="U11" s="3">
        <f t="shared" si="7"/>
        <v>0</v>
      </c>
      <c r="V11" s="3">
        <f t="shared" si="7"/>
        <v>0</v>
      </c>
      <c r="W11" s="3">
        <f t="shared" si="7"/>
        <v>0</v>
      </c>
      <c r="X11" s="3">
        <f t="shared" si="7"/>
        <v>0</v>
      </c>
      <c r="Y11" s="3">
        <f t="shared" si="7"/>
        <v>0</v>
      </c>
      <c r="Z11" s="3">
        <f t="shared" si="7"/>
        <v>0</v>
      </c>
    </row>
    <row r="12" spans="1:26" x14ac:dyDescent="0.25">
      <c r="A12" s="3" t="s">
        <v>211</v>
      </c>
      <c r="B12" s="3">
        <f t="shared" ref="B12:G12" si="8">SUM(B10:B11)</f>
        <v>1460</v>
      </c>
      <c r="C12" s="3">
        <f t="shared" si="8"/>
        <v>1500</v>
      </c>
      <c r="D12" s="3">
        <f t="shared" si="8"/>
        <v>1000</v>
      </c>
      <c r="E12" s="3">
        <f t="shared" si="8"/>
        <v>1000</v>
      </c>
      <c r="F12" s="3">
        <f t="shared" si="8"/>
        <v>1250</v>
      </c>
      <c r="G12" s="3">
        <f t="shared" si="8"/>
        <v>1250</v>
      </c>
    </row>
    <row r="13" spans="1:26" x14ac:dyDescent="0.25">
      <c r="A13" s="3" t="s">
        <v>12</v>
      </c>
      <c r="B13" s="3">
        <f>SUM(B12:G12)</f>
        <v>7460</v>
      </c>
    </row>
    <row r="16" spans="1:26" x14ac:dyDescent="0.25">
      <c r="A16" s="3" t="s">
        <v>210</v>
      </c>
      <c r="B16" s="185">
        <f>$B$24*B22</f>
        <v>557.86666666666667</v>
      </c>
      <c r="D16" s="2" t="s">
        <v>154</v>
      </c>
    </row>
    <row r="17" spans="1:4" x14ac:dyDescent="0.25">
      <c r="A17" s="3" t="s">
        <v>209</v>
      </c>
      <c r="B17" s="185">
        <f>$B$24*B23</f>
        <v>242.13333333333333</v>
      </c>
      <c r="D17" s="271" t="s">
        <v>208</v>
      </c>
    </row>
    <row r="18" spans="1:4" x14ac:dyDescent="0.25">
      <c r="A18" s="4" t="s">
        <v>207</v>
      </c>
      <c r="B18" s="185">
        <f>$B$25*B22</f>
        <v>139.46666666666667</v>
      </c>
      <c r="D18" s="4" t="s">
        <v>206</v>
      </c>
    </row>
    <row r="19" spans="1:4" x14ac:dyDescent="0.25">
      <c r="A19" s="4" t="s">
        <v>205</v>
      </c>
      <c r="B19" s="185">
        <f>$B$25*B23</f>
        <v>60.533333333333331</v>
      </c>
    </row>
    <row r="20" spans="1:4" x14ac:dyDescent="0.25">
      <c r="A20" s="3" t="s">
        <v>12</v>
      </c>
      <c r="B20" s="185">
        <f>SUM(B16:B19)</f>
        <v>1000</v>
      </c>
    </row>
    <row r="22" spans="1:4" x14ac:dyDescent="0.25">
      <c r="A22" s="4" t="s">
        <v>204</v>
      </c>
      <c r="B22" s="234">
        <f>I2/I4</f>
        <v>0.69733333333333336</v>
      </c>
    </row>
    <row r="23" spans="1:4" x14ac:dyDescent="0.25">
      <c r="A23" s="4" t="s">
        <v>203</v>
      </c>
      <c r="B23" s="234">
        <f>1-B22</f>
        <v>0.30266666666666664</v>
      </c>
    </row>
    <row r="24" spans="1:4" x14ac:dyDescent="0.25">
      <c r="A24" s="3" t="s">
        <v>202</v>
      </c>
      <c r="B24" s="3">
        <v>800</v>
      </c>
    </row>
    <row r="25" spans="1:4" x14ac:dyDescent="0.25">
      <c r="A25" s="3" t="s">
        <v>201</v>
      </c>
      <c r="B25" s="3">
        <v>200</v>
      </c>
    </row>
  </sheetData>
  <hyperlinks>
    <hyperlink ref="D17" r:id="rId1" display="https://ipa.illinois.gov/content/dam/soi/en/web/ipa/documents/20241022-600pm-appendix-e-aurora-report-1-19-24.pdf" xr:uid="{31CCB551-1058-4DD4-A686-8B902209A8C2}"/>
  </hyperlinks>
  <pageMargins left="0.7" right="0.7" top="0.75" bottom="0.75" header="0.3" footer="0.3"/>
  <pageSetup orientation="portrait"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60C9C-E378-4FD1-9CB7-470382D53F56}">
  <sheetPr codeName="Sheet43">
    <tabColor theme="5" tint="0.39997558519241921"/>
  </sheetPr>
  <dimension ref="A1"/>
  <sheetViews>
    <sheetView workbookViewId="0"/>
  </sheetViews>
  <sheetFormatPr defaultRowHeight="15" x14ac:dyDescent="0.25"/>
  <cols>
    <col min="1" max="16384" width="9.140625" style="3"/>
  </cols>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CAC84-FA98-42DE-860C-13D65D1231DF}">
  <sheetPr codeName="Sheet44">
    <tabColor theme="5" tint="0.39997558519241921"/>
  </sheetPr>
  <dimension ref="A1:DD222"/>
  <sheetViews>
    <sheetView zoomScale="70" zoomScaleNormal="70" workbookViewId="0">
      <selection sqref="A1:K1"/>
    </sheetView>
  </sheetViews>
  <sheetFormatPr defaultColWidth="8.42578125" defaultRowHeight="15" x14ac:dyDescent="0.25"/>
  <cols>
    <col min="1" max="1" width="63.5703125" style="3" customWidth="1"/>
    <col min="2" max="3" width="8.42578125" style="3"/>
    <col min="4" max="4" width="36.42578125" style="3" customWidth="1"/>
    <col min="5" max="5" width="34.42578125" style="3" bestFit="1" customWidth="1"/>
    <col min="6" max="6" width="25.42578125" style="3" customWidth="1"/>
    <col min="7" max="7" width="12.42578125" style="3" customWidth="1"/>
    <col min="8" max="11" width="8.42578125" style="3"/>
    <col min="12" max="12" width="10" style="3" customWidth="1"/>
    <col min="13" max="13" width="10.42578125" style="3" customWidth="1"/>
    <col min="14" max="16384" width="8.42578125" style="3"/>
  </cols>
  <sheetData>
    <row r="1" spans="1:108" s="325" customFormat="1" ht="18" x14ac:dyDescent="0.25">
      <c r="A1" s="611" t="s">
        <v>272</v>
      </c>
      <c r="B1" s="611"/>
      <c r="C1" s="611"/>
      <c r="D1" s="611"/>
      <c r="E1" s="611"/>
      <c r="F1" s="611"/>
      <c r="G1" s="611"/>
      <c r="H1" s="611"/>
      <c r="I1" s="611"/>
      <c r="J1" s="611"/>
      <c r="K1" s="611"/>
      <c r="M1" s="326" t="s">
        <v>271</v>
      </c>
    </row>
    <row r="2" spans="1:108" s="325" customFormat="1" ht="14.25" customHeight="1" x14ac:dyDescent="0.25">
      <c r="A2" s="3"/>
      <c r="B2" s="3"/>
      <c r="C2" s="3"/>
      <c r="D2" s="3"/>
      <c r="E2" s="3"/>
      <c r="F2" s="3"/>
      <c r="G2" s="327"/>
      <c r="H2" s="327"/>
      <c r="I2" s="327"/>
      <c r="J2" s="327"/>
      <c r="K2" s="327"/>
      <c r="L2" s="328" t="s">
        <v>270</v>
      </c>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c r="AR2" s="327"/>
      <c r="AS2" s="327"/>
      <c r="AT2" s="327"/>
      <c r="AU2" s="327"/>
      <c r="AV2" s="327"/>
      <c r="AW2" s="327"/>
      <c r="AX2" s="327"/>
      <c r="AY2" s="327"/>
      <c r="AZ2" s="327"/>
      <c r="BA2" s="327"/>
      <c r="BB2" s="327"/>
      <c r="BC2" s="327"/>
      <c r="BD2" s="327"/>
      <c r="BE2" s="327"/>
      <c r="BF2" s="327"/>
      <c r="BG2" s="327"/>
      <c r="BH2" s="327"/>
      <c r="BI2" s="327"/>
      <c r="BJ2" s="327"/>
      <c r="BK2" s="327"/>
      <c r="BL2" s="327"/>
      <c r="BM2" s="327"/>
      <c r="BN2" s="327"/>
      <c r="BO2" s="327"/>
      <c r="BP2" s="327"/>
      <c r="BQ2" s="327"/>
      <c r="BR2" s="327"/>
      <c r="BS2" s="327"/>
      <c r="BT2" s="327"/>
      <c r="BU2" s="327"/>
      <c r="BV2" s="327"/>
      <c r="BW2" s="327"/>
      <c r="BX2" s="327"/>
      <c r="BY2" s="327"/>
      <c r="BZ2" s="327"/>
      <c r="CA2" s="327"/>
      <c r="CB2" s="327"/>
      <c r="CC2" s="327"/>
      <c r="CD2" s="327"/>
      <c r="CE2" s="327"/>
      <c r="CF2" s="327"/>
      <c r="CG2" s="327"/>
      <c r="CH2" s="327"/>
      <c r="CI2" s="327"/>
      <c r="CJ2" s="327"/>
      <c r="CK2" s="327"/>
      <c r="CL2" s="327"/>
      <c r="CM2" s="327"/>
      <c r="CN2" s="327"/>
      <c r="CO2" s="327"/>
      <c r="CP2" s="327"/>
      <c r="CQ2" s="327"/>
      <c r="CR2" s="327"/>
      <c r="CS2" s="327"/>
      <c r="CT2" s="327"/>
      <c r="CU2" s="327"/>
      <c r="CV2" s="327"/>
      <c r="CW2" s="327"/>
      <c r="CX2" s="327"/>
      <c r="CY2" s="327"/>
      <c r="CZ2" s="327"/>
      <c r="DA2" s="327"/>
      <c r="DB2" s="327"/>
      <c r="DC2" s="327"/>
      <c r="DD2" s="327"/>
    </row>
    <row r="3" spans="1:108" s="325" customFormat="1" ht="14.25" customHeight="1" x14ac:dyDescent="0.25">
      <c r="A3" s="3"/>
      <c r="B3" s="3"/>
      <c r="C3" s="3"/>
      <c r="D3" s="3"/>
      <c r="E3" s="3"/>
      <c r="F3" s="3"/>
      <c r="L3" s="329" t="s">
        <v>269</v>
      </c>
    </row>
    <row r="4" spans="1:108" s="325" customFormat="1" ht="14.25" customHeight="1" x14ac:dyDescent="0.2">
      <c r="D4" s="330"/>
      <c r="L4" s="612" t="s">
        <v>268</v>
      </c>
    </row>
    <row r="5" spans="1:108" ht="14.65" customHeight="1" x14ac:dyDescent="0.25">
      <c r="L5" s="613"/>
    </row>
    <row r="6" spans="1:108" s="325" customFormat="1" ht="14.25" customHeight="1" x14ac:dyDescent="0.2">
      <c r="H6" s="331"/>
      <c r="I6" s="332"/>
      <c r="J6" s="332"/>
      <c r="K6" s="332"/>
      <c r="M6" s="332"/>
      <c r="N6" s="332"/>
      <c r="O6" s="332"/>
      <c r="P6" s="332"/>
      <c r="Q6" s="332"/>
      <c r="R6" s="332"/>
      <c r="S6" s="332"/>
      <c r="T6" s="332"/>
      <c r="U6" s="332"/>
      <c r="V6" s="332"/>
      <c r="W6" s="332"/>
      <c r="X6" s="332"/>
      <c r="Y6" s="332"/>
      <c r="Z6" s="332"/>
      <c r="AA6" s="332"/>
      <c r="AB6" s="332"/>
      <c r="AC6" s="332"/>
      <c r="AD6" s="332"/>
      <c r="AE6" s="333"/>
      <c r="AF6" s="334"/>
    </row>
    <row r="7" spans="1:108" s="325" customFormat="1" ht="14.25" customHeight="1" x14ac:dyDescent="0.2">
      <c r="B7" s="325" t="s">
        <v>267</v>
      </c>
      <c r="C7" s="614" t="s">
        <v>15</v>
      </c>
      <c r="D7" s="614"/>
      <c r="E7" s="614"/>
      <c r="F7" s="614"/>
      <c r="G7" s="614"/>
      <c r="H7" s="614"/>
      <c r="I7" s="614"/>
      <c r="J7" s="614"/>
      <c r="K7" s="614"/>
      <c r="L7" s="614"/>
      <c r="M7" s="614"/>
      <c r="N7" s="614"/>
      <c r="O7" s="614"/>
      <c r="P7" s="614"/>
      <c r="Q7" s="614"/>
      <c r="R7" s="335"/>
      <c r="S7" s="335"/>
      <c r="T7" s="335"/>
      <c r="U7" s="335"/>
      <c r="V7" s="335"/>
      <c r="W7" s="335"/>
      <c r="X7" s="335"/>
      <c r="Y7" s="335"/>
      <c r="Z7" s="335"/>
      <c r="AA7" s="336"/>
      <c r="AB7" s="334"/>
    </row>
    <row r="8" spans="1:108" s="325" customFormat="1" ht="14.25" customHeight="1" thickBot="1" x14ac:dyDescent="0.25">
      <c r="O8" s="337"/>
    </row>
    <row r="9" spans="1:108" s="325" customFormat="1" ht="14.25" customHeight="1" thickBot="1" x14ac:dyDescent="0.3">
      <c r="A9" s="3"/>
      <c r="B9" s="615" t="s">
        <v>266</v>
      </c>
      <c r="D9" s="616" t="s">
        <v>265</v>
      </c>
      <c r="E9" s="617"/>
      <c r="F9" s="618"/>
      <c r="G9" s="619">
        <v>2021</v>
      </c>
      <c r="H9" s="620"/>
      <c r="I9" s="620"/>
      <c r="J9" s="620"/>
      <c r="K9" s="621"/>
      <c r="L9" s="621"/>
    </row>
    <row r="10" spans="1:108" s="325" customFormat="1" ht="14.25" customHeight="1" thickBot="1" x14ac:dyDescent="0.25">
      <c r="B10" s="615"/>
      <c r="D10" s="338" t="s">
        <v>264</v>
      </c>
      <c r="J10" s="337"/>
    </row>
    <row r="11" spans="1:108" s="325" customFormat="1" ht="13.5" customHeight="1" thickBot="1" x14ac:dyDescent="0.3">
      <c r="B11" s="615"/>
      <c r="D11" s="622" t="s">
        <v>263</v>
      </c>
      <c r="E11" s="623"/>
      <c r="F11" s="623"/>
      <c r="G11" s="623"/>
      <c r="H11" s="623"/>
      <c r="I11" s="623"/>
      <c r="J11" s="623"/>
      <c r="K11" s="623"/>
      <c r="L11" s="623"/>
      <c r="W11" s="339"/>
      <c r="X11" s="340"/>
      <c r="Y11" s="340"/>
      <c r="Z11" s="340"/>
      <c r="AA11" s="340"/>
    </row>
    <row r="12" spans="1:108" s="325" customFormat="1" ht="17.25" customHeight="1" thickBot="1" x14ac:dyDescent="0.3">
      <c r="B12" s="615"/>
      <c r="D12" s="624" t="s">
        <v>262</v>
      </c>
      <c r="E12" s="625"/>
      <c r="F12" s="625"/>
      <c r="G12" s="625"/>
      <c r="H12" s="625"/>
      <c r="I12" s="625"/>
      <c r="J12" s="625"/>
      <c r="K12" s="625"/>
      <c r="L12" s="626"/>
      <c r="M12" s="341"/>
      <c r="W12" s="339"/>
      <c r="X12" s="340"/>
      <c r="Y12" s="340"/>
      <c r="Z12" s="340"/>
      <c r="AA12" s="340"/>
    </row>
    <row r="13" spans="1:108" s="325" customFormat="1" ht="13.5" customHeight="1" thickBot="1" x14ac:dyDescent="0.3">
      <c r="B13" s="615"/>
      <c r="D13" s="624"/>
      <c r="E13" s="625"/>
      <c r="F13" s="625"/>
      <c r="G13" s="625"/>
      <c r="H13" s="625"/>
      <c r="I13" s="625"/>
      <c r="J13" s="625"/>
      <c r="K13" s="625"/>
      <c r="L13" s="626"/>
      <c r="W13" s="339"/>
      <c r="X13" s="340"/>
      <c r="Y13" s="340"/>
      <c r="Z13" s="340"/>
      <c r="AA13" s="340"/>
    </row>
    <row r="14" spans="1:108" ht="37.15" customHeight="1" x14ac:dyDescent="0.25">
      <c r="B14" s="615"/>
    </row>
    <row r="15" spans="1:108" x14ac:dyDescent="0.25">
      <c r="B15" s="615"/>
      <c r="C15" s="627" t="s">
        <v>261</v>
      </c>
      <c r="D15" s="610"/>
      <c r="E15" s="610"/>
      <c r="F15" s="610"/>
      <c r="G15" s="610"/>
      <c r="H15" s="610"/>
      <c r="I15" s="610"/>
      <c r="J15" s="610"/>
      <c r="K15" s="610"/>
      <c r="L15" s="610"/>
      <c r="M15" s="610"/>
      <c r="N15" s="610"/>
      <c r="O15" s="610"/>
      <c r="P15" s="610"/>
      <c r="Q15" s="31"/>
    </row>
    <row r="16" spans="1:108" x14ac:dyDescent="0.25">
      <c r="B16" s="615"/>
      <c r="C16" s="610"/>
      <c r="D16" s="610"/>
      <c r="E16" s="610"/>
      <c r="F16" s="610"/>
      <c r="G16" s="610"/>
      <c r="H16" s="610"/>
      <c r="I16" s="610"/>
      <c r="J16" s="610"/>
      <c r="K16" s="610"/>
      <c r="L16" s="610"/>
      <c r="M16" s="610"/>
      <c r="N16" s="610"/>
      <c r="O16" s="610"/>
      <c r="P16" s="610"/>
    </row>
    <row r="17" spans="2:39" ht="15" customHeight="1" x14ac:dyDescent="0.25">
      <c r="B17" s="615"/>
      <c r="C17" s="246"/>
      <c r="D17" s="608" t="s">
        <v>260</v>
      </c>
      <c r="E17" s="31" t="s">
        <v>259</v>
      </c>
    </row>
    <row r="18" spans="2:39" ht="15" customHeight="1" x14ac:dyDescent="0.25">
      <c r="B18" s="615"/>
      <c r="C18" s="246"/>
      <c r="D18" s="609"/>
      <c r="F18" s="31">
        <v>2021</v>
      </c>
      <c r="G18" s="31">
        <v>2022</v>
      </c>
      <c r="H18" s="31">
        <v>2023</v>
      </c>
      <c r="I18" s="31">
        <v>2024</v>
      </c>
      <c r="J18" s="31">
        <v>2025</v>
      </c>
      <c r="K18" s="31">
        <v>2026</v>
      </c>
      <c r="L18" s="31">
        <v>2027</v>
      </c>
      <c r="M18" s="31">
        <v>2028</v>
      </c>
      <c r="N18" s="31">
        <v>2029</v>
      </c>
      <c r="O18" s="31">
        <v>2030</v>
      </c>
      <c r="P18" s="31">
        <v>2031</v>
      </c>
      <c r="Q18" s="31">
        <v>2032</v>
      </c>
      <c r="R18" s="31">
        <v>2033</v>
      </c>
      <c r="S18" s="31">
        <v>2034</v>
      </c>
      <c r="T18" s="31">
        <v>2035</v>
      </c>
      <c r="U18" s="31">
        <v>2036</v>
      </c>
      <c r="V18" s="31">
        <v>2037</v>
      </c>
      <c r="W18" s="31">
        <v>2038</v>
      </c>
      <c r="X18" s="31">
        <v>2039</v>
      </c>
      <c r="Y18" s="31">
        <v>2040</v>
      </c>
      <c r="Z18" s="31">
        <v>2041</v>
      </c>
      <c r="AA18" s="31">
        <v>2042</v>
      </c>
      <c r="AB18" s="31">
        <v>2043</v>
      </c>
      <c r="AC18" s="31">
        <v>2044</v>
      </c>
      <c r="AD18" s="31">
        <v>2045</v>
      </c>
      <c r="AE18" s="31">
        <v>2046</v>
      </c>
      <c r="AF18" s="31">
        <v>2047</v>
      </c>
      <c r="AG18" s="31">
        <v>2048</v>
      </c>
      <c r="AH18" s="31">
        <v>2049</v>
      </c>
      <c r="AI18" s="31">
        <v>2050</v>
      </c>
    </row>
    <row r="19" spans="2:39" ht="15" customHeight="1" x14ac:dyDescent="0.25">
      <c r="B19" s="615"/>
      <c r="C19" s="246"/>
      <c r="D19" s="609"/>
      <c r="E19" s="3" t="s">
        <v>233</v>
      </c>
      <c r="F19" s="342">
        <v>322.051049922</v>
      </c>
      <c r="G19" s="342">
        <v>361.97092399999997</v>
      </c>
      <c r="H19" s="342">
        <v>260.46296609248913</v>
      </c>
      <c r="I19" s="342">
        <v>245.91306679398286</v>
      </c>
      <c r="J19" s="342">
        <v>233.48491792420046</v>
      </c>
      <c r="K19" s="342">
        <v>223.49180282747199</v>
      </c>
      <c r="L19" s="342">
        <v>213.51187271131411</v>
      </c>
      <c r="M19" s="342">
        <v>203.50908203235855</v>
      </c>
      <c r="N19" s="342">
        <v>193.49964350847449</v>
      </c>
      <c r="O19" s="342">
        <v>183.80197439594465</v>
      </c>
      <c r="P19" s="342">
        <v>180.6176403340036</v>
      </c>
      <c r="Q19" s="342">
        <v>177.43329945954218</v>
      </c>
      <c r="R19" s="342">
        <v>173.94616536815829</v>
      </c>
      <c r="S19" s="342">
        <v>170.76210506652853</v>
      </c>
      <c r="T19" s="342">
        <v>167.9016398571724</v>
      </c>
      <c r="U19" s="342">
        <v>164.41300003407912</v>
      </c>
      <c r="V19" s="342">
        <v>161.22933590038411</v>
      </c>
      <c r="W19" s="342">
        <v>158.04569166603403</v>
      </c>
      <c r="X19" s="342">
        <v>154.86206859048517</v>
      </c>
      <c r="Y19" s="342">
        <v>151.36970111493505</v>
      </c>
      <c r="Z19" s="342">
        <v>148.18634580401607</v>
      </c>
      <c r="AA19" s="342">
        <v>145.33341323330785</v>
      </c>
      <c r="AB19" s="342">
        <v>142.15041151532489</v>
      </c>
      <c r="AC19" s="342">
        <v>138.65616148927256</v>
      </c>
      <c r="AD19" s="342">
        <v>135.47346296789331</v>
      </c>
      <c r="AE19" s="342">
        <v>132.2908377214282</v>
      </c>
      <c r="AF19" s="342">
        <v>129.10829145962941</v>
      </c>
      <c r="AG19" s="342">
        <v>125.60865800826926</v>
      </c>
      <c r="AH19" s="342">
        <v>122.42634566786236</v>
      </c>
      <c r="AI19" s="342">
        <v>119.58492181070594</v>
      </c>
    </row>
    <row r="20" spans="2:39" ht="15" customHeight="1" x14ac:dyDescent="0.25">
      <c r="B20" s="615"/>
      <c r="C20" s="246"/>
      <c r="D20" s="610"/>
      <c r="E20" s="3" t="s">
        <v>232</v>
      </c>
      <c r="F20" s="342">
        <v>322.051049922</v>
      </c>
      <c r="G20" s="342">
        <v>361.97092399999997</v>
      </c>
      <c r="H20" s="342">
        <v>346.56710630758812</v>
      </c>
      <c r="I20" s="342">
        <v>329.40171900524172</v>
      </c>
      <c r="J20" s="342">
        <v>286.97036539931014</v>
      </c>
      <c r="K20" s="342">
        <v>275.12638406031789</v>
      </c>
      <c r="L20" s="342">
        <v>263.25962797168745</v>
      </c>
      <c r="M20" s="342">
        <v>251.36734402479217</v>
      </c>
      <c r="N20" s="342">
        <v>239.44631673642476</v>
      </c>
      <c r="O20" s="342">
        <v>227.49276692697981</v>
      </c>
      <c r="P20" s="342">
        <v>223.34988752774942</v>
      </c>
      <c r="Q20" s="342">
        <v>219.21087331391499</v>
      </c>
      <c r="R20" s="342">
        <v>215.07587486868053</v>
      </c>
      <c r="S20" s="342">
        <v>210.94505070023285</v>
      </c>
      <c r="T20" s="342">
        <v>206.81856777004194</v>
      </c>
      <c r="U20" s="342">
        <v>202.69660206399644</v>
      </c>
      <c r="V20" s="342">
        <v>198.57933921047771</v>
      </c>
      <c r="W20" s="342">
        <v>194.46697514993704</v>
      </c>
      <c r="X20" s="342">
        <v>190.35971686105407</v>
      </c>
      <c r="Y20" s="342">
        <v>186.25778314913273</v>
      </c>
      <c r="Z20" s="342">
        <v>182.16140550304982</v>
      </c>
      <c r="AA20" s="342">
        <v>178.07082902781096</v>
      </c>
      <c r="AB20" s="342">
        <v>173.98631346061495</v>
      </c>
      <c r="AC20" s="342">
        <v>169.90813427927998</v>
      </c>
      <c r="AD20" s="342">
        <v>165.83658391298076</v>
      </c>
      <c r="AE20" s="342">
        <v>161.77197306648384</v>
      </c>
      <c r="AF20" s="342">
        <v>157.71463217049217</v>
      </c>
      <c r="AG20" s="342">
        <v>153.66491297233569</v>
      </c>
      <c r="AH20" s="342">
        <v>149.62319028311214</v>
      </c>
      <c r="AI20" s="342">
        <v>145.58986389952975</v>
      </c>
    </row>
    <row r="21" spans="2:39" ht="15" customHeight="1" x14ac:dyDescent="0.25">
      <c r="B21" s="615"/>
      <c r="C21" s="246"/>
      <c r="D21" s="610"/>
      <c r="E21" s="3" t="s">
        <v>194</v>
      </c>
      <c r="F21" s="342">
        <v>322.051049922</v>
      </c>
      <c r="G21" s="342">
        <v>361.97092399999997</v>
      </c>
      <c r="H21" s="342">
        <v>375.50474243086495</v>
      </c>
      <c r="I21" s="342">
        <v>378.0324932334558</v>
      </c>
      <c r="J21" s="342">
        <v>372.50804025003765</v>
      </c>
      <c r="K21" s="342">
        <v>356.95913036150495</v>
      </c>
      <c r="L21" s="342">
        <v>341.43017488460595</v>
      </c>
      <c r="M21" s="342">
        <v>325.92328088864576</v>
      </c>
      <c r="N21" s="342">
        <v>310.44086292463334</v>
      </c>
      <c r="O21" s="342">
        <v>294.98570123694282</v>
      </c>
      <c r="P21" s="342">
        <v>292.96599828221531</v>
      </c>
      <c r="Q21" s="342">
        <v>290.94629532748792</v>
      </c>
      <c r="R21" s="342">
        <v>288.92659237276047</v>
      </c>
      <c r="S21" s="342">
        <v>286.90688941803302</v>
      </c>
      <c r="T21" s="342">
        <v>284.88718646330557</v>
      </c>
      <c r="U21" s="342">
        <v>282.86748350857812</v>
      </c>
      <c r="V21" s="342">
        <v>280.84778055385073</v>
      </c>
      <c r="W21" s="342">
        <v>278.82807759912328</v>
      </c>
      <c r="X21" s="342">
        <v>276.80837464439577</v>
      </c>
      <c r="Y21" s="342">
        <v>274.78867168966838</v>
      </c>
      <c r="Z21" s="342">
        <v>272.76896873494093</v>
      </c>
      <c r="AA21" s="342">
        <v>270.74926578021348</v>
      </c>
      <c r="AB21" s="342">
        <v>268.72956282548603</v>
      </c>
      <c r="AC21" s="342">
        <v>266.70985987075858</v>
      </c>
      <c r="AD21" s="342">
        <v>264.69015691603119</v>
      </c>
      <c r="AE21" s="342">
        <v>262.67045396130374</v>
      </c>
      <c r="AF21" s="342">
        <v>260.65075100657623</v>
      </c>
      <c r="AG21" s="342">
        <v>258.63104805184884</v>
      </c>
      <c r="AH21" s="342">
        <v>256.61134509712139</v>
      </c>
      <c r="AI21" s="342">
        <v>254.59164214239408</v>
      </c>
    </row>
    <row r="22" spans="2:39" ht="15" customHeight="1" x14ac:dyDescent="0.25">
      <c r="B22" s="615"/>
      <c r="C22" s="246"/>
      <c r="D22" s="610"/>
      <c r="F22" s="234"/>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row>
    <row r="23" spans="2:39" ht="15" customHeight="1" x14ac:dyDescent="0.25">
      <c r="B23" s="615"/>
      <c r="C23" s="246"/>
      <c r="D23" s="610"/>
      <c r="E23" s="31" t="s">
        <v>258</v>
      </c>
      <c r="F23" s="234"/>
    </row>
    <row r="24" spans="2:39" ht="15" customHeight="1" x14ac:dyDescent="0.25">
      <c r="B24" s="615"/>
      <c r="C24" s="246"/>
      <c r="D24" s="610"/>
      <c r="F24" s="31">
        <v>2021</v>
      </c>
      <c r="G24" s="31">
        <v>2022</v>
      </c>
      <c r="H24" s="31">
        <v>2023</v>
      </c>
      <c r="I24" s="31">
        <v>2024</v>
      </c>
      <c r="J24" s="31">
        <v>2025</v>
      </c>
      <c r="K24" s="31">
        <v>2026</v>
      </c>
      <c r="L24" s="31">
        <v>2027</v>
      </c>
      <c r="M24" s="31">
        <v>2028</v>
      </c>
      <c r="N24" s="31">
        <v>2029</v>
      </c>
      <c r="O24" s="31">
        <v>2030</v>
      </c>
      <c r="P24" s="31">
        <v>2031</v>
      </c>
      <c r="Q24" s="31">
        <v>2032</v>
      </c>
      <c r="R24" s="31">
        <v>2033</v>
      </c>
      <c r="S24" s="31">
        <v>2034</v>
      </c>
      <c r="T24" s="31">
        <v>2035</v>
      </c>
      <c r="U24" s="31">
        <v>2036</v>
      </c>
      <c r="V24" s="31">
        <v>2037</v>
      </c>
      <c r="W24" s="31">
        <v>2038</v>
      </c>
      <c r="X24" s="31">
        <v>2039</v>
      </c>
      <c r="Y24" s="31">
        <v>2040</v>
      </c>
      <c r="Z24" s="31">
        <v>2041</v>
      </c>
      <c r="AA24" s="31">
        <v>2042</v>
      </c>
      <c r="AB24" s="31">
        <v>2043</v>
      </c>
      <c r="AC24" s="31">
        <v>2044</v>
      </c>
      <c r="AD24" s="31">
        <v>2045</v>
      </c>
      <c r="AE24" s="31">
        <v>2046</v>
      </c>
      <c r="AF24" s="31">
        <v>2047</v>
      </c>
      <c r="AG24" s="31">
        <v>2048</v>
      </c>
      <c r="AH24" s="31">
        <v>2049</v>
      </c>
      <c r="AI24" s="31">
        <v>2050</v>
      </c>
    </row>
    <row r="25" spans="2:39" ht="15" customHeight="1" x14ac:dyDescent="0.25">
      <c r="B25" s="615"/>
      <c r="C25" s="246"/>
      <c r="D25" s="610"/>
      <c r="E25" s="3" t="s">
        <v>233</v>
      </c>
      <c r="F25" s="342">
        <v>299.04780031199999</v>
      </c>
      <c r="G25" s="342">
        <v>336.11630399999996</v>
      </c>
      <c r="H25" s="342">
        <v>241.55706684354092</v>
      </c>
      <c r="I25" s="342">
        <v>227.71642303271068</v>
      </c>
      <c r="J25" s="342">
        <v>215.79816278027403</v>
      </c>
      <c r="K25" s="342">
        <v>206.96845207579779</v>
      </c>
      <c r="L25" s="342">
        <v>198.08668245529319</v>
      </c>
      <c r="M25" s="342">
        <v>189.29517433443038</v>
      </c>
      <c r="N25" s="342">
        <v>180.52991423107929</v>
      </c>
      <c r="O25" s="342">
        <v>170.5336794198688</v>
      </c>
      <c r="P25" s="342">
        <v>167.39040957520382</v>
      </c>
      <c r="Q25" s="342">
        <v>164.24716662875272</v>
      </c>
      <c r="R25" s="342">
        <v>162.29945723424237</v>
      </c>
      <c r="S25" s="342">
        <v>159.15510648809385</v>
      </c>
      <c r="T25" s="342">
        <v>154.73308910862875</v>
      </c>
      <c r="U25" s="342">
        <v>152.79132486968388</v>
      </c>
      <c r="V25" s="342">
        <v>149.64540991393068</v>
      </c>
      <c r="W25" s="342">
        <v>146.49941638860182</v>
      </c>
      <c r="X25" s="342">
        <v>143.35333932092348</v>
      </c>
      <c r="Y25" s="342">
        <v>141.42629315798911</v>
      </c>
      <c r="Z25" s="342">
        <v>138.27915886187515</v>
      </c>
      <c r="AA25" s="342">
        <v>133.82739998975114</v>
      </c>
      <c r="AB25" s="342">
        <v>130.678869585022</v>
      </c>
      <c r="AC25" s="342">
        <v>128.75925639007653</v>
      </c>
      <c r="AD25" s="342">
        <v>125.60952885908335</v>
      </c>
      <c r="AE25" s="342">
        <v>122.45951201309413</v>
      </c>
      <c r="AF25" s="342">
        <v>119.30918330800962</v>
      </c>
      <c r="AG25" s="342">
        <v>117.41082575955872</v>
      </c>
      <c r="AH25" s="342">
        <v>114.25957345098209</v>
      </c>
      <c r="AI25" s="342">
        <v>109.76237415145857</v>
      </c>
    </row>
    <row r="26" spans="2:39" ht="15" customHeight="1" x14ac:dyDescent="0.25">
      <c r="B26" s="615"/>
      <c r="C26" s="246"/>
      <c r="D26" s="610"/>
      <c r="E26" s="3" t="s">
        <v>232</v>
      </c>
      <c r="F26" s="342">
        <v>299.04780031199999</v>
      </c>
      <c r="G26" s="342">
        <v>336.11630399999996</v>
      </c>
      <c r="H26" s="342">
        <v>329.23390439489356</v>
      </c>
      <c r="I26" s="342">
        <v>321.16779158024906</v>
      </c>
      <c r="J26" s="342">
        <v>288.29566636476085</v>
      </c>
      <c r="K26" s="342">
        <v>289.21290387285478</v>
      </c>
      <c r="L26" s="342">
        <v>290.21783251452075</v>
      </c>
      <c r="M26" s="342">
        <v>291.32105276704891</v>
      </c>
      <c r="N26" s="342">
        <v>292.53494541933458</v>
      </c>
      <c r="O26" s="342">
        <v>293.87406169801454</v>
      </c>
      <c r="P26" s="342">
        <v>291.87849149960039</v>
      </c>
      <c r="Q26" s="342">
        <v>289.86803892073334</v>
      </c>
      <c r="R26" s="342">
        <v>287.84212416088559</v>
      </c>
      <c r="S26" s="342">
        <v>285.80013690544092</v>
      </c>
      <c r="T26" s="342">
        <v>283.74143429154498</v>
      </c>
      <c r="U26" s="342">
        <v>281.66533870902339</v>
      </c>
      <c r="V26" s="342">
        <v>279.57113542057101</v>
      </c>
      <c r="W26" s="342">
        <v>277.45806998363395</v>
      </c>
      <c r="X26" s="342">
        <v>275.32534545443269</v>
      </c>
      <c r="Y26" s="342">
        <v>273.17211935235042</v>
      </c>
      <c r="Z26" s="342">
        <v>270.99750036036534</v>
      </c>
      <c r="AA26" s="342">
        <v>268.80054473436911</v>
      </c>
      <c r="AB26" s="342">
        <v>266.58025239094701</v>
      </c>
      <c r="AC26" s="342">
        <v>264.33556263952983</v>
      </c>
      <c r="AD26" s="342">
        <v>262.06534952061321</v>
      </c>
      <c r="AE26" s="342">
        <v>259.76841670696535</v>
      </c>
      <c r="AF26" s="342">
        <v>257.44349191926972</v>
      </c>
      <c r="AG26" s="342">
        <v>255.08922080138251</v>
      </c>
      <c r="AH26" s="342">
        <v>252.70416019320058</v>
      </c>
      <c r="AI26" s="342">
        <v>250.28677073086246</v>
      </c>
    </row>
    <row r="27" spans="2:39" ht="15" customHeight="1" x14ac:dyDescent="0.25">
      <c r="B27" s="615"/>
      <c r="C27" s="246"/>
      <c r="D27" s="610"/>
      <c r="E27" s="3" t="s">
        <v>194</v>
      </c>
      <c r="F27" s="342">
        <v>299.04780031199999</v>
      </c>
      <c r="G27" s="342">
        <v>336.11630399999996</v>
      </c>
      <c r="H27" s="342">
        <v>348.06088805249044</v>
      </c>
      <c r="I27" s="342">
        <v>351.15773517914357</v>
      </c>
      <c r="J27" s="342">
        <v>346.81857167699422</v>
      </c>
      <c r="K27" s="342">
        <v>340.22430052793209</v>
      </c>
      <c r="L27" s="342">
        <v>333.55111699751626</v>
      </c>
      <c r="M27" s="342">
        <v>326.79068839924105</v>
      </c>
      <c r="N27" s="342">
        <v>319.93346606920551</v>
      </c>
      <c r="O27" s="342">
        <v>312.96845516033903</v>
      </c>
      <c r="P27" s="342">
        <v>310.82562819966529</v>
      </c>
      <c r="Q27" s="342">
        <v>308.68280123899126</v>
      </c>
      <c r="R27" s="342">
        <v>306.5399742783174</v>
      </c>
      <c r="S27" s="342">
        <v>304.39714731764343</v>
      </c>
      <c r="T27" s="342">
        <v>302.25432035696957</v>
      </c>
      <c r="U27" s="342">
        <v>300.11149339629554</v>
      </c>
      <c r="V27" s="342">
        <v>297.96866643562174</v>
      </c>
      <c r="W27" s="342">
        <v>295.82583947494777</v>
      </c>
      <c r="X27" s="342">
        <v>293.68301251427397</v>
      </c>
      <c r="Y27" s="342">
        <v>291.54018555359988</v>
      </c>
      <c r="Z27" s="342">
        <v>289.39735859292608</v>
      </c>
      <c r="AA27" s="342">
        <v>287.25453163225211</v>
      </c>
      <c r="AB27" s="342">
        <v>285.11170467157825</v>
      </c>
      <c r="AC27" s="342">
        <v>282.96887771090445</v>
      </c>
      <c r="AD27" s="342">
        <v>280.82605075023048</v>
      </c>
      <c r="AE27" s="342">
        <v>278.68322378955668</v>
      </c>
      <c r="AF27" s="342">
        <v>276.54039682888259</v>
      </c>
      <c r="AG27" s="342">
        <v>274.39756986820862</v>
      </c>
      <c r="AH27" s="342">
        <v>272.25474290753482</v>
      </c>
      <c r="AI27" s="342">
        <v>270.11191594686102</v>
      </c>
    </row>
    <row r="28" spans="2:39" ht="15" customHeight="1" x14ac:dyDescent="0.25">
      <c r="B28" s="615"/>
      <c r="C28" s="246"/>
      <c r="D28" s="246"/>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row>
    <row r="29" spans="2:39" ht="15" customHeight="1" x14ac:dyDescent="0.25">
      <c r="B29" s="615"/>
      <c r="C29" s="246"/>
      <c r="D29" s="246"/>
      <c r="E29" s="31" t="s">
        <v>257</v>
      </c>
      <c r="F29" s="31"/>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row>
    <row r="30" spans="2:39" ht="15" customHeight="1" thickBot="1" x14ac:dyDescent="0.3">
      <c r="B30" s="615"/>
      <c r="C30" s="246"/>
      <c r="D30" s="246"/>
      <c r="E30" s="31"/>
      <c r="F30" s="31"/>
      <c r="G30" s="258"/>
      <c r="H30" s="258"/>
      <c r="I30" s="258"/>
      <c r="J30" s="258"/>
      <c r="K30" s="258"/>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K30" s="258"/>
      <c r="AL30" s="258"/>
      <c r="AM30" s="258"/>
    </row>
    <row r="31" spans="2:39" ht="15" customHeight="1" thickBot="1" x14ac:dyDescent="0.3">
      <c r="B31" s="615"/>
      <c r="C31" s="246"/>
      <c r="D31" s="609" t="s">
        <v>256</v>
      </c>
      <c r="E31" s="47" t="s">
        <v>255</v>
      </c>
      <c r="F31" s="46" t="s">
        <v>254</v>
      </c>
      <c r="G31" s="46" t="s">
        <v>253</v>
      </c>
      <c r="H31" s="46" t="s">
        <v>252</v>
      </c>
      <c r="I31" s="45" t="s">
        <v>251</v>
      </c>
      <c r="J31" s="258"/>
      <c r="K31" s="420"/>
      <c r="L31" s="234"/>
      <c r="M31" s="421"/>
      <c r="N31" s="234"/>
      <c r="O31" s="234"/>
      <c r="P31" s="234"/>
      <c r="Q31" s="234"/>
      <c r="R31" s="234"/>
      <c r="S31" s="234"/>
      <c r="T31" s="234"/>
      <c r="U31" s="258"/>
      <c r="V31" s="258"/>
      <c r="W31" s="258"/>
      <c r="X31" s="258"/>
      <c r="Y31" s="258"/>
      <c r="Z31" s="258"/>
      <c r="AA31" s="258"/>
      <c r="AB31" s="258"/>
      <c r="AC31" s="258"/>
      <c r="AD31" s="258"/>
      <c r="AE31" s="258"/>
      <c r="AF31" s="258"/>
      <c r="AG31" s="258"/>
      <c r="AH31" s="258"/>
      <c r="AI31" s="258"/>
      <c r="AJ31" s="258"/>
      <c r="AK31" s="258"/>
      <c r="AL31" s="258"/>
      <c r="AM31" s="258"/>
    </row>
    <row r="32" spans="2:39" ht="15" customHeight="1" x14ac:dyDescent="0.25">
      <c r="B32" s="615"/>
      <c r="C32" s="246"/>
      <c r="D32" s="609"/>
      <c r="E32" s="393" t="s">
        <v>236</v>
      </c>
      <c r="F32" s="394" t="s">
        <v>250</v>
      </c>
      <c r="G32" s="394" t="s">
        <v>213</v>
      </c>
      <c r="H32" s="394" t="s">
        <v>245</v>
      </c>
      <c r="I32" s="346" t="s">
        <v>244</v>
      </c>
      <c r="J32" s="258"/>
      <c r="K32" s="420"/>
      <c r="L32" s="234"/>
      <c r="M32" s="421"/>
      <c r="N32" s="234"/>
      <c r="O32" s="234"/>
      <c r="P32" s="234"/>
      <c r="Q32" s="234"/>
      <c r="R32" s="234"/>
      <c r="S32" s="234"/>
      <c r="T32" s="234"/>
      <c r="U32" s="258"/>
      <c r="V32" s="258"/>
      <c r="W32" s="258"/>
      <c r="X32" s="258"/>
      <c r="Y32" s="258"/>
      <c r="Z32" s="258"/>
      <c r="AA32" s="258"/>
      <c r="AB32" s="258"/>
      <c r="AC32" s="258"/>
      <c r="AD32" s="258"/>
      <c r="AE32" s="258"/>
      <c r="AF32" s="258"/>
      <c r="AG32" s="258"/>
      <c r="AH32" s="258"/>
      <c r="AI32" s="258"/>
      <c r="AJ32" s="258"/>
      <c r="AK32" s="258"/>
      <c r="AL32" s="258"/>
      <c r="AM32" s="258"/>
    </row>
    <row r="33" spans="1:74" ht="15" customHeight="1" x14ac:dyDescent="0.25">
      <c r="B33" s="615"/>
      <c r="C33" s="246"/>
      <c r="D33" s="609"/>
      <c r="E33" s="395" t="s">
        <v>125</v>
      </c>
      <c r="F33" s="396" t="s">
        <v>249</v>
      </c>
      <c r="G33" s="396" t="s">
        <v>213</v>
      </c>
      <c r="H33" s="396" t="s">
        <v>245</v>
      </c>
      <c r="I33" s="397" t="s">
        <v>244</v>
      </c>
      <c r="J33" s="258"/>
      <c r="K33" s="420"/>
      <c r="L33" s="234"/>
      <c r="M33" s="420"/>
      <c r="N33" s="234"/>
      <c r="O33" s="234"/>
      <c r="P33" s="234"/>
      <c r="Q33" s="234"/>
      <c r="R33" s="234"/>
      <c r="S33" s="234"/>
      <c r="T33" s="234"/>
      <c r="U33" s="258"/>
      <c r="V33" s="258"/>
      <c r="W33" s="258"/>
      <c r="X33" s="258"/>
      <c r="Y33" s="258"/>
      <c r="Z33" s="258"/>
      <c r="AA33" s="258"/>
      <c r="AB33" s="258"/>
      <c r="AC33" s="258"/>
      <c r="AD33" s="258"/>
      <c r="AE33" s="258"/>
      <c r="AF33" s="258"/>
      <c r="AG33" s="258"/>
      <c r="AH33" s="258"/>
      <c r="AI33" s="258"/>
      <c r="AJ33" s="258"/>
      <c r="AK33" s="258"/>
      <c r="AL33" s="258"/>
      <c r="AM33" s="258"/>
    </row>
    <row r="34" spans="1:74" ht="15" customHeight="1" x14ac:dyDescent="0.25">
      <c r="B34" s="615"/>
      <c r="C34" s="246"/>
      <c r="D34" s="609"/>
      <c r="E34" s="398" t="s">
        <v>235</v>
      </c>
      <c r="F34" s="399" t="s">
        <v>248</v>
      </c>
      <c r="G34" s="399" t="s">
        <v>213</v>
      </c>
      <c r="H34" s="399" t="s">
        <v>245</v>
      </c>
      <c r="I34" s="400" t="s">
        <v>244</v>
      </c>
      <c r="J34" s="258"/>
      <c r="K34" s="420"/>
      <c r="L34" s="234"/>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c r="AL34" s="258"/>
      <c r="AM34" s="258"/>
    </row>
    <row r="35" spans="1:74" ht="15" customHeight="1" x14ac:dyDescent="0.25">
      <c r="B35" s="615"/>
      <c r="C35" s="246"/>
      <c r="D35" s="609"/>
      <c r="E35" s="395" t="s">
        <v>234</v>
      </c>
      <c r="F35" s="396" t="s">
        <v>247</v>
      </c>
      <c r="G35" s="396" t="s">
        <v>213</v>
      </c>
      <c r="H35" s="396" t="s">
        <v>245</v>
      </c>
      <c r="I35" s="397" t="s">
        <v>244</v>
      </c>
      <c r="J35" s="258"/>
      <c r="K35" s="420"/>
      <c r="L35" s="234"/>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258"/>
      <c r="AL35" s="258"/>
      <c r="AM35" s="258"/>
    </row>
    <row r="36" spans="1:74" ht="15" customHeight="1" thickBot="1" x14ac:dyDescent="0.3">
      <c r="B36" s="615"/>
      <c r="C36" s="246"/>
      <c r="D36" s="609"/>
      <c r="E36" s="401" t="s">
        <v>126</v>
      </c>
      <c r="F36" s="402" t="s">
        <v>246</v>
      </c>
      <c r="G36" s="402" t="s">
        <v>213</v>
      </c>
      <c r="H36" s="402" t="s">
        <v>245</v>
      </c>
      <c r="I36" s="403" t="s">
        <v>244</v>
      </c>
      <c r="J36" s="258"/>
      <c r="K36" s="420"/>
      <c r="L36" s="234"/>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row>
    <row r="37" spans="1:74" ht="15" customHeight="1" x14ac:dyDescent="0.25">
      <c r="C37" s="246"/>
      <c r="D37" s="246"/>
      <c r="E37" s="31"/>
      <c r="F37" s="31"/>
      <c r="G37" s="258"/>
      <c r="H37" s="258"/>
      <c r="I37" s="258"/>
      <c r="J37" s="258"/>
      <c r="K37" s="420"/>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8"/>
    </row>
    <row r="38" spans="1:74" s="325" customFormat="1" ht="14.25" customHeight="1" x14ac:dyDescent="0.2">
      <c r="C38" s="614" t="s">
        <v>243</v>
      </c>
      <c r="D38" s="614"/>
      <c r="E38" s="614"/>
      <c r="F38" s="614"/>
      <c r="G38" s="614"/>
      <c r="H38" s="614"/>
      <c r="I38" s="614"/>
      <c r="J38" s="614"/>
      <c r="K38" s="614"/>
      <c r="L38" s="614"/>
      <c r="M38" s="614"/>
      <c r="N38" s="614"/>
      <c r="O38" s="614"/>
      <c r="P38" s="614"/>
      <c r="Q38" s="614"/>
      <c r="R38" s="335"/>
      <c r="S38" s="335"/>
      <c r="T38" s="335"/>
      <c r="U38" s="335"/>
      <c r="V38" s="335"/>
      <c r="W38" s="335"/>
      <c r="X38" s="335"/>
      <c r="Y38" s="335"/>
      <c r="Z38" s="350"/>
      <c r="AA38" s="350"/>
      <c r="AB38" s="350"/>
      <c r="AC38" s="350"/>
      <c r="AD38" s="350"/>
      <c r="AE38" s="350"/>
      <c r="AF38" s="350"/>
      <c r="AG38" s="350"/>
      <c r="AH38" s="350"/>
      <c r="AI38" s="350"/>
      <c r="AJ38" s="350"/>
      <c r="AK38" s="350"/>
      <c r="AL38" s="350"/>
      <c r="AM38" s="350"/>
      <c r="AN38" s="350"/>
      <c r="AO38" s="350"/>
      <c r="AP38" s="350"/>
      <c r="AQ38" s="350"/>
      <c r="AR38" s="350"/>
    </row>
    <row r="39" spans="1:74" s="325" customFormat="1" ht="14.25" customHeight="1" thickBot="1" x14ac:dyDescent="0.25"/>
    <row r="40" spans="1:74" ht="15.75" thickBot="1" x14ac:dyDescent="0.3">
      <c r="D40" s="338" t="s">
        <v>242</v>
      </c>
    </row>
    <row r="41" spans="1:74" x14ac:dyDescent="0.25">
      <c r="D41" s="3" t="s">
        <v>241</v>
      </c>
    </row>
    <row r="42" spans="1:74" x14ac:dyDescent="0.25">
      <c r="G42" s="31">
        <v>2021</v>
      </c>
      <c r="H42" s="31">
        <v>2022</v>
      </c>
      <c r="I42" s="31">
        <v>2023</v>
      </c>
      <c r="J42" s="31">
        <v>2024</v>
      </c>
      <c r="K42" s="31">
        <v>2025</v>
      </c>
      <c r="L42" s="31">
        <v>2026</v>
      </c>
      <c r="M42" s="31">
        <v>2027</v>
      </c>
      <c r="N42" s="31">
        <v>2028</v>
      </c>
      <c r="O42" s="31">
        <v>2029</v>
      </c>
      <c r="P42" s="31">
        <v>2030</v>
      </c>
      <c r="Q42" s="31">
        <v>2031</v>
      </c>
      <c r="R42" s="31">
        <v>2032</v>
      </c>
      <c r="S42" s="31">
        <v>2033</v>
      </c>
      <c r="T42" s="31">
        <v>2034</v>
      </c>
      <c r="U42" s="31">
        <v>2035</v>
      </c>
      <c r="V42" s="31">
        <v>2036</v>
      </c>
      <c r="W42" s="31">
        <v>2037</v>
      </c>
      <c r="X42" s="31">
        <v>2038</v>
      </c>
      <c r="Y42" s="31">
        <v>2039</v>
      </c>
      <c r="Z42" s="31">
        <v>2040</v>
      </c>
      <c r="AA42" s="31">
        <v>2041</v>
      </c>
      <c r="AB42" s="31">
        <v>2042</v>
      </c>
      <c r="AC42" s="31">
        <v>2043</v>
      </c>
      <c r="AD42" s="31">
        <v>2044</v>
      </c>
      <c r="AE42" s="31">
        <v>2045</v>
      </c>
      <c r="AF42" s="31">
        <v>2046</v>
      </c>
      <c r="AG42" s="31">
        <v>2047</v>
      </c>
      <c r="AH42" s="31">
        <v>2048</v>
      </c>
      <c r="AI42" s="31">
        <v>2049</v>
      </c>
      <c r="AJ42" s="31">
        <v>2050</v>
      </c>
    </row>
    <row r="43" spans="1:74" ht="15" customHeight="1" x14ac:dyDescent="0.25">
      <c r="A43" s="325" t="str">
        <f t="shared" ref="A43:A57" si="0">$D$43&amp;"_"&amp;E43&amp;"_"&amp;F43</f>
        <v>Overnight Capital Cost ($/kW)_Utility-Scale Battery Storage - 2Hr_Advanced</v>
      </c>
      <c r="B43" s="640" t="s">
        <v>240</v>
      </c>
      <c r="D43" s="608" t="s">
        <v>129</v>
      </c>
      <c r="E43" s="351" t="s">
        <v>236</v>
      </c>
      <c r="F43" s="352" t="s">
        <v>233</v>
      </c>
      <c r="G43" s="353">
        <v>943.14990015600006</v>
      </c>
      <c r="H43" s="353">
        <v>1060.0581519999998</v>
      </c>
      <c r="I43" s="353">
        <v>762.4829990285192</v>
      </c>
      <c r="J43" s="353">
        <v>719.54255662067635</v>
      </c>
      <c r="K43" s="353">
        <v>682.76799862867495</v>
      </c>
      <c r="L43" s="353">
        <v>653.95205773074179</v>
      </c>
      <c r="M43" s="353">
        <v>625.11042787792144</v>
      </c>
      <c r="N43" s="353">
        <v>596.31333839914748</v>
      </c>
      <c r="O43" s="353">
        <v>567.52920124802824</v>
      </c>
      <c r="P43" s="353">
        <v>538.13762821175806</v>
      </c>
      <c r="Q43" s="353">
        <v>528.62569024321101</v>
      </c>
      <c r="R43" s="353">
        <v>519.11376554783715</v>
      </c>
      <c r="S43" s="353">
        <v>510.19178797055895</v>
      </c>
      <c r="T43" s="353">
        <v>500.67931662115092</v>
      </c>
      <c r="U43" s="353">
        <v>490.53636882297354</v>
      </c>
      <c r="V43" s="353">
        <v>481.61732493784211</v>
      </c>
      <c r="W43" s="353">
        <v>472.10408171469891</v>
      </c>
      <c r="X43" s="353">
        <v>462.59079972066991</v>
      </c>
      <c r="Y43" s="353">
        <v>453.07747650189378</v>
      </c>
      <c r="Z43" s="353">
        <v>444.16569538785922</v>
      </c>
      <c r="AA43" s="353">
        <v>434.65185046990729</v>
      </c>
      <c r="AB43" s="353">
        <v>424.49422645636685</v>
      </c>
      <c r="AC43" s="353">
        <v>414.97969261567175</v>
      </c>
      <c r="AD43" s="353">
        <v>406.07157936862166</v>
      </c>
      <c r="AE43" s="353">
        <v>396.55645479486998</v>
      </c>
      <c r="AF43" s="353">
        <v>387.04118745595053</v>
      </c>
      <c r="AG43" s="353">
        <v>377.52576622726843</v>
      </c>
      <c r="AH43" s="353">
        <v>368.62814177609721</v>
      </c>
      <c r="AI43" s="353">
        <v>359.11226478670682</v>
      </c>
      <c r="AJ43" s="353">
        <v>348.93221777287044</v>
      </c>
    </row>
    <row r="44" spans="1:74" x14ac:dyDescent="0.25">
      <c r="A44" s="325" t="str">
        <f t="shared" si="0"/>
        <v>Overnight Capital Cost ($/kW)_Utility-Scale Battery Storage - 2Hr_Moderate</v>
      </c>
      <c r="B44" s="640"/>
      <c r="D44" s="609"/>
      <c r="E44" s="354" t="s">
        <v>236</v>
      </c>
      <c r="F44" s="352" t="s">
        <v>232</v>
      </c>
      <c r="G44" s="353">
        <v>943.14990015600006</v>
      </c>
      <c r="H44" s="353">
        <v>1060.0581519999998</v>
      </c>
      <c r="I44" s="353">
        <v>1022.3681170100698</v>
      </c>
      <c r="J44" s="353">
        <v>979.97122959073249</v>
      </c>
      <c r="K44" s="353">
        <v>862.23639716338107</v>
      </c>
      <c r="L44" s="353">
        <v>839.46567199349056</v>
      </c>
      <c r="M44" s="353">
        <v>816.73708845789565</v>
      </c>
      <c r="N44" s="353">
        <v>794.05574081663326</v>
      </c>
      <c r="O44" s="353">
        <v>771.4275788921841</v>
      </c>
      <c r="P44" s="353">
        <v>748.85959555197417</v>
      </c>
      <c r="Q44" s="353">
        <v>738.57826655509916</v>
      </c>
      <c r="R44" s="353">
        <v>728.28978554856326</v>
      </c>
      <c r="S44" s="353">
        <v>717.99387389824665</v>
      </c>
      <c r="T44" s="353">
        <v>707.69023830590663</v>
      </c>
      <c r="U44" s="353">
        <v>697.37856983162885</v>
      </c>
      <c r="V44" s="353">
        <v>687.05854283701626</v>
      </c>
      <c r="W44" s="353">
        <v>676.72981384152649</v>
      </c>
      <c r="X44" s="353">
        <v>666.39202028350803</v>
      </c>
      <c r="Y44" s="353">
        <v>656.04477917654083</v>
      </c>
      <c r="Z44" s="353">
        <v>645.68768565061589</v>
      </c>
      <c r="AA44" s="353">
        <v>635.32031136646492</v>
      </c>
      <c r="AB44" s="353">
        <v>624.94220278999103</v>
      </c>
      <c r="AC44" s="353">
        <v>614.55287931217686</v>
      </c>
      <c r="AD44" s="353">
        <v>604.15183119808978</v>
      </c>
      <c r="AE44" s="353">
        <v>593.73851734657478</v>
      </c>
      <c r="AF44" s="353">
        <v>583.31236283993303</v>
      </c>
      <c r="AG44" s="353">
        <v>572.87275626025405</v>
      </c>
      <c r="AH44" s="353">
        <v>562.41904674605394</v>
      </c>
      <c r="AI44" s="353">
        <v>551.95054075942483</v>
      </c>
      <c r="AJ44" s="353">
        <v>541.46649852992198</v>
      </c>
    </row>
    <row r="45" spans="1:74" x14ac:dyDescent="0.25">
      <c r="A45" s="325" t="str">
        <f t="shared" si="0"/>
        <v>Overnight Capital Cost ($/kW)_Utility-Scale Battery Storage - 2Hr_Conservative</v>
      </c>
      <c r="B45" s="640"/>
      <c r="D45" s="609"/>
      <c r="E45" s="404" t="s">
        <v>236</v>
      </c>
      <c r="F45" s="352" t="s">
        <v>194</v>
      </c>
      <c r="G45" s="353">
        <v>943.14990015600006</v>
      </c>
      <c r="H45" s="353">
        <v>1060.0581519999998</v>
      </c>
      <c r="I45" s="353">
        <v>1099.0703729142203</v>
      </c>
      <c r="J45" s="353">
        <v>1107.2227216460551</v>
      </c>
      <c r="K45" s="353">
        <v>1091.8346521770695</v>
      </c>
      <c r="L45" s="353">
        <v>1054.142561250942</v>
      </c>
      <c r="M45" s="353">
        <v>1016.4114667667282</v>
      </c>
      <c r="N45" s="353">
        <v>978.63725017653258</v>
      </c>
      <c r="O45" s="353">
        <v>940.81519191847224</v>
      </c>
      <c r="P45" s="353">
        <v>902.93985763422461</v>
      </c>
      <c r="Q45" s="353">
        <v>896.75762476409591</v>
      </c>
      <c r="R45" s="353">
        <v>890.57539189396709</v>
      </c>
      <c r="S45" s="353">
        <v>884.39315902383828</v>
      </c>
      <c r="T45" s="353">
        <v>878.21092615370947</v>
      </c>
      <c r="U45" s="353">
        <v>872.02869328358065</v>
      </c>
      <c r="V45" s="353">
        <v>865.84646041345172</v>
      </c>
      <c r="W45" s="353">
        <v>859.66422754332325</v>
      </c>
      <c r="X45" s="353">
        <v>853.48199467319432</v>
      </c>
      <c r="Y45" s="353">
        <v>847.29976180306551</v>
      </c>
      <c r="Z45" s="353">
        <v>841.11752893293669</v>
      </c>
      <c r="AA45" s="353">
        <v>834.93529606280799</v>
      </c>
      <c r="AB45" s="353">
        <v>828.75306319267906</v>
      </c>
      <c r="AC45" s="353">
        <v>822.57083032255036</v>
      </c>
      <c r="AD45" s="353">
        <v>816.38859745242166</v>
      </c>
      <c r="AE45" s="353">
        <v>810.20636458229285</v>
      </c>
      <c r="AF45" s="353">
        <v>804.02413171216415</v>
      </c>
      <c r="AG45" s="353">
        <v>797.84189884203511</v>
      </c>
      <c r="AH45" s="353">
        <v>791.65966597190629</v>
      </c>
      <c r="AI45" s="353">
        <v>785.47743310177759</v>
      </c>
      <c r="AJ45" s="353">
        <v>779.29520023164923</v>
      </c>
    </row>
    <row r="46" spans="1:74" x14ac:dyDescent="0.25">
      <c r="A46" s="325" t="str">
        <f t="shared" si="0"/>
        <v>Overnight Capital Cost ($/kW)_Utility-Scale Battery Storage - 4Hr_Advanced</v>
      </c>
      <c r="B46" s="640"/>
      <c r="D46" s="610"/>
      <c r="E46" s="351" t="s">
        <v>125</v>
      </c>
      <c r="F46" s="352" t="s">
        <v>233</v>
      </c>
      <c r="G46" s="353">
        <v>1587.252</v>
      </c>
      <c r="H46" s="353">
        <v>1783.9999999999998</v>
      </c>
      <c r="I46" s="353">
        <v>1283.4089312134975</v>
      </c>
      <c r="J46" s="353">
        <v>1211.3686902086422</v>
      </c>
      <c r="K46" s="353">
        <v>1149.7378344770759</v>
      </c>
      <c r="L46" s="353">
        <v>1100.9356633856858</v>
      </c>
      <c r="M46" s="353">
        <v>1052.1341733005497</v>
      </c>
      <c r="N46" s="353">
        <v>1003.3315024638646</v>
      </c>
      <c r="O46" s="353">
        <v>954.52848826497723</v>
      </c>
      <c r="P46" s="353">
        <v>905.74157700364742</v>
      </c>
      <c r="Q46" s="353">
        <v>889.86097091121815</v>
      </c>
      <c r="R46" s="353">
        <v>873.9803644669214</v>
      </c>
      <c r="S46" s="353">
        <v>858.08411870687553</v>
      </c>
      <c r="T46" s="353">
        <v>842.20352675420804</v>
      </c>
      <c r="U46" s="353">
        <v>826.33964853731834</v>
      </c>
      <c r="V46" s="353">
        <v>810.44332500600035</v>
      </c>
      <c r="W46" s="353">
        <v>794.56275351546719</v>
      </c>
      <c r="X46" s="353">
        <v>778.68218305273797</v>
      </c>
      <c r="Y46" s="353">
        <v>762.80161368286417</v>
      </c>
      <c r="Z46" s="353">
        <v>746.90509761772933</v>
      </c>
      <c r="AA46" s="353">
        <v>731.02454207793949</v>
      </c>
      <c r="AB46" s="353">
        <v>715.16105292298255</v>
      </c>
      <c r="AC46" s="353">
        <v>699.28051564632153</v>
      </c>
      <c r="AD46" s="353">
        <v>683.38390234716678</v>
      </c>
      <c r="AE46" s="353">
        <v>667.50338073065654</v>
      </c>
      <c r="AF46" s="353">
        <v>651.62286289880694</v>
      </c>
      <c r="AG46" s="353">
        <v>635.74234914652732</v>
      </c>
      <c r="AH46" s="353">
        <v>619.84545779263578</v>
      </c>
      <c r="AI46" s="353">
        <v>603.96495612243154</v>
      </c>
      <c r="AJ46" s="353">
        <v>588.10206139428237</v>
      </c>
      <c r="AP46" s="258"/>
      <c r="AQ46" s="258"/>
      <c r="AR46" s="258"/>
      <c r="AS46" s="258"/>
      <c r="AT46" s="258"/>
      <c r="AU46" s="258"/>
      <c r="AV46" s="258"/>
      <c r="AW46" s="258"/>
      <c r="AX46" s="258"/>
      <c r="AY46" s="258"/>
      <c r="AZ46" s="258"/>
      <c r="BA46" s="258"/>
      <c r="BB46" s="258"/>
      <c r="BC46" s="258"/>
      <c r="BD46" s="258"/>
      <c r="BE46" s="258"/>
      <c r="BF46" s="258"/>
      <c r="BG46" s="258"/>
      <c r="BH46" s="258"/>
      <c r="BI46" s="258"/>
      <c r="BJ46" s="258"/>
      <c r="BK46" s="258"/>
      <c r="BL46" s="258"/>
      <c r="BM46" s="258"/>
      <c r="BN46" s="258"/>
      <c r="BO46" s="258"/>
      <c r="BP46" s="258"/>
      <c r="BQ46" s="258"/>
      <c r="BR46" s="258"/>
      <c r="BS46" s="258"/>
      <c r="BT46" s="258"/>
      <c r="BU46" s="258"/>
      <c r="BV46" s="258"/>
    </row>
    <row r="47" spans="1:74" x14ac:dyDescent="0.25">
      <c r="A47" s="325" t="str">
        <f t="shared" si="0"/>
        <v>Overnight Capital Cost ($/kW)_Utility-Scale Battery Storage - 4Hr_Moderate</v>
      </c>
      <c r="B47" s="640"/>
      <c r="D47" s="610"/>
      <c r="E47" s="351" t="s">
        <v>125</v>
      </c>
      <c r="F47" s="352" t="s">
        <v>232</v>
      </c>
      <c r="G47" s="353">
        <v>1587.252</v>
      </c>
      <c r="H47" s="353">
        <v>1783.9999999999998</v>
      </c>
      <c r="I47" s="353">
        <v>1715.5023296252461</v>
      </c>
      <c r="J47" s="353">
        <v>1638.7746676012159</v>
      </c>
      <c r="K47" s="353">
        <v>1436.1771279620014</v>
      </c>
      <c r="L47" s="353">
        <v>1389.7184401141262</v>
      </c>
      <c r="M47" s="353">
        <v>1343.2563444012706</v>
      </c>
      <c r="N47" s="353">
        <v>1296.7904288662176</v>
      </c>
      <c r="O47" s="353">
        <v>1250.3202123650335</v>
      </c>
      <c r="P47" s="353">
        <v>1203.8451294059337</v>
      </c>
      <c r="Q47" s="353">
        <v>1185.2780416105979</v>
      </c>
      <c r="R47" s="353">
        <v>1166.7115321763933</v>
      </c>
      <c r="S47" s="353">
        <v>1148.1456236356078</v>
      </c>
      <c r="T47" s="353">
        <v>1129.5803397063723</v>
      </c>
      <c r="U47" s="353">
        <v>1111.0157053717128</v>
      </c>
      <c r="V47" s="353">
        <v>1092.4517469650091</v>
      </c>
      <c r="W47" s="353">
        <v>1073.8884922624818</v>
      </c>
      <c r="X47" s="353">
        <v>1055.3259705833821</v>
      </c>
      <c r="Y47" s="353">
        <v>1036.764212898649</v>
      </c>
      <c r="Z47" s="353">
        <v>1018.2032519488814</v>
      </c>
      <c r="AA47" s="353">
        <v>999.64312237256468</v>
      </c>
      <c r="AB47" s="353">
        <v>981.08386084561289</v>
      </c>
      <c r="AC47" s="353">
        <v>962.52550623340676</v>
      </c>
      <c r="AD47" s="353">
        <v>943.96809975664974</v>
      </c>
      <c r="AE47" s="353">
        <v>925.41168517253618</v>
      </c>
      <c r="AF47" s="353">
        <v>906.85630897290071</v>
      </c>
      <c r="AG47" s="353">
        <v>888.30202060123838</v>
      </c>
      <c r="AH47" s="353">
        <v>869.74887269072519</v>
      </c>
      <c r="AI47" s="353">
        <v>851.1969213256491</v>
      </c>
      <c r="AJ47" s="353">
        <v>832.64622632898147</v>
      </c>
      <c r="AP47" s="258"/>
      <c r="AQ47" s="258"/>
      <c r="AR47" s="258"/>
      <c r="AS47" s="258"/>
      <c r="AT47" s="258"/>
      <c r="AU47" s="258"/>
      <c r="AV47" s="258"/>
      <c r="AW47" s="258"/>
      <c r="AX47" s="258"/>
      <c r="AY47" s="258"/>
      <c r="AZ47" s="258"/>
      <c r="BA47" s="258"/>
      <c r="BB47" s="258"/>
      <c r="BC47" s="258"/>
      <c r="BD47" s="258"/>
      <c r="BE47" s="258"/>
      <c r="BF47" s="258"/>
      <c r="BG47" s="258"/>
      <c r="BH47" s="258"/>
      <c r="BI47" s="258"/>
      <c r="BJ47" s="258"/>
      <c r="BK47" s="258"/>
      <c r="BL47" s="258"/>
      <c r="BM47" s="258"/>
      <c r="BN47" s="258"/>
      <c r="BO47" s="258"/>
      <c r="BP47" s="258"/>
      <c r="BQ47" s="258"/>
      <c r="BR47" s="258"/>
      <c r="BS47" s="258"/>
      <c r="BT47" s="258"/>
      <c r="BU47" s="258"/>
      <c r="BV47" s="258"/>
    </row>
    <row r="48" spans="1:74" x14ac:dyDescent="0.25">
      <c r="A48" s="325" t="str">
        <f t="shared" si="0"/>
        <v>Overnight Capital Cost ($/kW)_Utility-Scale Battery Storage - 4Hr_Conservative</v>
      </c>
      <c r="B48" s="640"/>
      <c r="D48" s="610"/>
      <c r="E48" s="351" t="s">
        <v>125</v>
      </c>
      <c r="F48" s="352" t="s">
        <v>194</v>
      </c>
      <c r="G48" s="353">
        <v>1587.252</v>
      </c>
      <c r="H48" s="353">
        <v>1783.9999999999998</v>
      </c>
      <c r="I48" s="353">
        <v>1850.0798577759501</v>
      </c>
      <c r="J48" s="353">
        <v>1863.2877081129668</v>
      </c>
      <c r="K48" s="353">
        <v>1836.8507326771448</v>
      </c>
      <c r="L48" s="353">
        <v>1768.060821973952</v>
      </c>
      <c r="M48" s="353">
        <v>1699.2718165359402</v>
      </c>
      <c r="N48" s="353">
        <v>1630.483811953824</v>
      </c>
      <c r="O48" s="353">
        <v>1561.6969177677388</v>
      </c>
      <c r="P48" s="353">
        <v>1492.9112601081104</v>
      </c>
      <c r="Q48" s="353">
        <v>1482.6896213285265</v>
      </c>
      <c r="R48" s="353">
        <v>1472.4679825489429</v>
      </c>
      <c r="S48" s="353">
        <v>1462.2463437693593</v>
      </c>
      <c r="T48" s="353">
        <v>1452.0247049897755</v>
      </c>
      <c r="U48" s="353">
        <v>1441.8030662101919</v>
      </c>
      <c r="V48" s="353">
        <v>1431.5814274306081</v>
      </c>
      <c r="W48" s="353">
        <v>1421.3597886510247</v>
      </c>
      <c r="X48" s="353">
        <v>1411.1381498714409</v>
      </c>
      <c r="Y48" s="353">
        <v>1400.916511091857</v>
      </c>
      <c r="Z48" s="353">
        <v>1390.6948723122734</v>
      </c>
      <c r="AA48" s="353">
        <v>1380.4732335326898</v>
      </c>
      <c r="AB48" s="353">
        <v>1370.251594753106</v>
      </c>
      <c r="AC48" s="353">
        <v>1360.0299559735224</v>
      </c>
      <c r="AD48" s="353">
        <v>1349.8083171939388</v>
      </c>
      <c r="AE48" s="353">
        <v>1339.5866784143552</v>
      </c>
      <c r="AF48" s="353">
        <v>1329.3650396347716</v>
      </c>
      <c r="AG48" s="353">
        <v>1319.1434008551876</v>
      </c>
      <c r="AH48" s="353">
        <v>1308.921762075604</v>
      </c>
      <c r="AI48" s="353">
        <v>1298.7001232960204</v>
      </c>
      <c r="AJ48" s="353">
        <v>1288.4784845164372</v>
      </c>
      <c r="AP48" s="258"/>
      <c r="AQ48" s="258"/>
      <c r="AR48" s="258"/>
      <c r="AS48" s="258"/>
      <c r="AT48" s="258"/>
      <c r="AU48" s="258"/>
      <c r="AV48" s="258"/>
      <c r="AW48" s="258"/>
      <c r="AX48" s="258"/>
      <c r="AY48" s="258"/>
      <c r="AZ48" s="258"/>
      <c r="BA48" s="258"/>
      <c r="BB48" s="258"/>
      <c r="BC48" s="258"/>
      <c r="BD48" s="258"/>
      <c r="BE48" s="258"/>
      <c r="BF48" s="258"/>
      <c r="BG48" s="258"/>
      <c r="BH48" s="258"/>
      <c r="BI48" s="258"/>
      <c r="BJ48" s="258"/>
      <c r="BK48" s="258"/>
      <c r="BL48" s="258"/>
      <c r="BM48" s="258"/>
      <c r="BN48" s="258"/>
      <c r="BO48" s="258"/>
      <c r="BP48" s="258"/>
      <c r="BQ48" s="258"/>
      <c r="BR48" s="258"/>
      <c r="BS48" s="258"/>
      <c r="BT48" s="258"/>
      <c r="BU48" s="258"/>
      <c r="BV48" s="258"/>
    </row>
    <row r="49" spans="1:74" x14ac:dyDescent="0.25">
      <c r="A49" s="325" t="str">
        <f t="shared" si="0"/>
        <v>Overnight Capital Cost ($/kW)_Utility-Scale Battery Storage - 6Hr_Advanced</v>
      </c>
      <c r="B49" s="640"/>
      <c r="D49" s="610"/>
      <c r="E49" s="351" t="s">
        <v>235</v>
      </c>
      <c r="F49" s="352" t="s">
        <v>233</v>
      </c>
      <c r="G49" s="353">
        <v>2231.3540998440003</v>
      </c>
      <c r="H49" s="353">
        <v>2507.9418479999999</v>
      </c>
      <c r="I49" s="353">
        <v>1804.3348633984758</v>
      </c>
      <c r="J49" s="353">
        <v>1703.194823796608</v>
      </c>
      <c r="K49" s="353">
        <v>1616.7076703254768</v>
      </c>
      <c r="L49" s="353">
        <v>1547.9192690406298</v>
      </c>
      <c r="M49" s="353">
        <v>1479.1579187231778</v>
      </c>
      <c r="N49" s="353">
        <v>1410.3496665285818</v>
      </c>
      <c r="O49" s="353">
        <v>1341.5277752819263</v>
      </c>
      <c r="P49" s="353">
        <v>1273.3455257955368</v>
      </c>
      <c r="Q49" s="353">
        <v>1251.0962515792255</v>
      </c>
      <c r="R49" s="353">
        <v>1228.8469633860057</v>
      </c>
      <c r="S49" s="353">
        <v>1205.976449443192</v>
      </c>
      <c r="T49" s="353">
        <v>1183.7277368872651</v>
      </c>
      <c r="U49" s="353">
        <v>1162.1429282516631</v>
      </c>
      <c r="V49" s="353">
        <v>1139.2693250741586</v>
      </c>
      <c r="W49" s="353">
        <v>1117.0214253162353</v>
      </c>
      <c r="X49" s="353">
        <v>1094.7735663848059</v>
      </c>
      <c r="Y49" s="353">
        <v>1072.5257508638344</v>
      </c>
      <c r="Z49" s="353">
        <v>1049.6444998475995</v>
      </c>
      <c r="AA49" s="353">
        <v>1027.3972336859715</v>
      </c>
      <c r="AB49" s="353">
        <v>1005.8278793895983</v>
      </c>
      <c r="AC49" s="353">
        <v>983.58133867697131</v>
      </c>
      <c r="AD49" s="353">
        <v>960.69622532571191</v>
      </c>
      <c r="AE49" s="353">
        <v>938.45030666644334</v>
      </c>
      <c r="AF49" s="353">
        <v>916.20453834166335</v>
      </c>
      <c r="AG49" s="353">
        <v>893.95893206578614</v>
      </c>
      <c r="AH49" s="353">
        <v>871.06277380917436</v>
      </c>
      <c r="AI49" s="353">
        <v>848.81764745815622</v>
      </c>
      <c r="AJ49" s="353">
        <v>827.27190501569407</v>
      </c>
      <c r="AP49" s="258"/>
      <c r="AQ49" s="258"/>
      <c r="AR49" s="258"/>
      <c r="AS49" s="258"/>
      <c r="AT49" s="258"/>
      <c r="AU49" s="258"/>
      <c r="AV49" s="258"/>
      <c r="AW49" s="258"/>
      <c r="AX49" s="258"/>
      <c r="AY49" s="258"/>
      <c r="AZ49" s="258"/>
      <c r="BA49" s="258"/>
      <c r="BB49" s="258"/>
      <c r="BC49" s="258"/>
      <c r="BD49" s="258"/>
      <c r="BE49" s="258"/>
      <c r="BF49" s="258"/>
      <c r="BG49" s="258"/>
      <c r="BH49" s="258"/>
      <c r="BI49" s="258"/>
      <c r="BJ49" s="258"/>
      <c r="BK49" s="258"/>
      <c r="BL49" s="258"/>
      <c r="BM49" s="258"/>
      <c r="BN49" s="258"/>
      <c r="BO49" s="258"/>
      <c r="BP49" s="258"/>
      <c r="BQ49" s="258"/>
      <c r="BR49" s="258"/>
      <c r="BS49" s="258"/>
      <c r="BT49" s="258"/>
      <c r="BU49" s="258"/>
      <c r="BV49" s="258"/>
    </row>
    <row r="50" spans="1:74" x14ac:dyDescent="0.25">
      <c r="A50" s="325" t="str">
        <f t="shared" si="0"/>
        <v>Overnight Capital Cost ($/kW)_Utility-Scale Battery Storage - 6Hr_Moderate</v>
      </c>
      <c r="B50" s="640"/>
      <c r="D50" s="610"/>
      <c r="E50" s="351" t="s">
        <v>235</v>
      </c>
      <c r="F50" s="352" t="s">
        <v>232</v>
      </c>
      <c r="G50" s="353">
        <v>2231.3540998440003</v>
      </c>
      <c r="H50" s="353">
        <v>2507.9418479999999</v>
      </c>
      <c r="I50" s="353">
        <v>2408.6365422404224</v>
      </c>
      <c r="J50" s="353">
        <v>2297.5781056116994</v>
      </c>
      <c r="K50" s="353">
        <v>2010.1178587606216</v>
      </c>
      <c r="L50" s="353">
        <v>1939.9712082347623</v>
      </c>
      <c r="M50" s="353">
        <v>1869.7756003446455</v>
      </c>
      <c r="N50" s="353">
        <v>1799.5251169158021</v>
      </c>
      <c r="O50" s="353">
        <v>1729.2128458378834</v>
      </c>
      <c r="P50" s="353">
        <v>1658.8306632598933</v>
      </c>
      <c r="Q50" s="353">
        <v>1631.9778166660969</v>
      </c>
      <c r="R50" s="353">
        <v>1605.1332788042232</v>
      </c>
      <c r="S50" s="353">
        <v>1578.2973733729687</v>
      </c>
      <c r="T50" s="353">
        <v>1551.4704411068381</v>
      </c>
      <c r="U50" s="353">
        <v>1524.6528409117966</v>
      </c>
      <c r="V50" s="353">
        <v>1497.844951093002</v>
      </c>
      <c r="W50" s="353">
        <v>1471.0471706834373</v>
      </c>
      <c r="X50" s="353">
        <v>1444.2599208832562</v>
      </c>
      <c r="Y50" s="353">
        <v>1417.4836466207571</v>
      </c>
      <c r="Z50" s="353">
        <v>1390.7188182471468</v>
      </c>
      <c r="AA50" s="353">
        <v>1363.9659333786644</v>
      </c>
      <c r="AB50" s="353">
        <v>1337.2255189012349</v>
      </c>
      <c r="AC50" s="353">
        <v>1310.4981331546367</v>
      </c>
      <c r="AD50" s="353">
        <v>1283.7843683152096</v>
      </c>
      <c r="AE50" s="353">
        <v>1257.0848529984978</v>
      </c>
      <c r="AF50" s="353">
        <v>1230.4002551058684</v>
      </c>
      <c r="AG50" s="353">
        <v>1203.7312849422228</v>
      </c>
      <c r="AH50" s="353">
        <v>1177.0786986353967</v>
      </c>
      <c r="AI50" s="353">
        <v>1150.4433018918735</v>
      </c>
      <c r="AJ50" s="353">
        <v>1123.8259541280408</v>
      </c>
      <c r="AP50" s="258"/>
      <c r="AQ50" s="258"/>
      <c r="AR50" s="258"/>
      <c r="AS50" s="258"/>
      <c r="AT50" s="258"/>
      <c r="AU50" s="258"/>
      <c r="AV50" s="258"/>
      <c r="AW50" s="258"/>
      <c r="AX50" s="258"/>
      <c r="AY50" s="258"/>
      <c r="AZ50" s="258"/>
      <c r="BA50" s="258"/>
      <c r="BB50" s="258"/>
      <c r="BC50" s="258"/>
      <c r="BD50" s="258"/>
      <c r="BE50" s="258"/>
      <c r="BF50" s="258"/>
      <c r="BG50" s="258"/>
      <c r="BH50" s="258"/>
      <c r="BI50" s="258"/>
      <c r="BJ50" s="258"/>
      <c r="BK50" s="258"/>
      <c r="BL50" s="258"/>
      <c r="BM50" s="258"/>
      <c r="BN50" s="258"/>
      <c r="BO50" s="258"/>
      <c r="BP50" s="258"/>
      <c r="BQ50" s="258"/>
      <c r="BR50" s="258"/>
      <c r="BS50" s="258"/>
      <c r="BT50" s="258"/>
      <c r="BU50" s="258"/>
      <c r="BV50" s="258"/>
    </row>
    <row r="51" spans="1:74" x14ac:dyDescent="0.25">
      <c r="A51" s="325" t="str">
        <f t="shared" si="0"/>
        <v>Overnight Capital Cost ($/kW)_Utility-Scale Battery Storage - 6Hr_Conservative</v>
      </c>
      <c r="B51" s="640"/>
      <c r="D51" s="610"/>
      <c r="E51" s="351" t="s">
        <v>235</v>
      </c>
      <c r="F51" s="352" t="s">
        <v>194</v>
      </c>
      <c r="G51" s="353">
        <v>2231.3540998440003</v>
      </c>
      <c r="H51" s="353">
        <v>2507.9418479999999</v>
      </c>
      <c r="I51" s="353">
        <v>2601.0893426376801</v>
      </c>
      <c r="J51" s="353">
        <v>2619.3526945798781</v>
      </c>
      <c r="K51" s="353">
        <v>2581.8668131772201</v>
      </c>
      <c r="L51" s="353">
        <v>2481.9790826969615</v>
      </c>
      <c r="M51" s="353">
        <v>2382.1321663051517</v>
      </c>
      <c r="N51" s="353">
        <v>2282.3303737311157</v>
      </c>
      <c r="O51" s="353">
        <v>2182.5786436170056</v>
      </c>
      <c r="P51" s="353">
        <v>2082.8826625819961</v>
      </c>
      <c r="Q51" s="353">
        <v>2068.6216178929571</v>
      </c>
      <c r="R51" s="353">
        <v>2054.3605732039186</v>
      </c>
      <c r="S51" s="353">
        <v>2040.0995285148801</v>
      </c>
      <c r="T51" s="353">
        <v>2025.8384838258416</v>
      </c>
      <c r="U51" s="353">
        <v>2011.5774391368029</v>
      </c>
      <c r="V51" s="353">
        <v>1997.3163944477644</v>
      </c>
      <c r="W51" s="353">
        <v>1983.0553497587262</v>
      </c>
      <c r="X51" s="353">
        <v>1968.7943050696874</v>
      </c>
      <c r="Y51" s="353">
        <v>1954.5332603806485</v>
      </c>
      <c r="Z51" s="353">
        <v>1940.2722156916102</v>
      </c>
      <c r="AA51" s="353">
        <v>1926.0111710025717</v>
      </c>
      <c r="AB51" s="353">
        <v>1911.750126313533</v>
      </c>
      <c r="AC51" s="353">
        <v>1897.4890816244945</v>
      </c>
      <c r="AD51" s="353">
        <v>1883.228036935456</v>
      </c>
      <c r="AE51" s="353">
        <v>1868.9669922464177</v>
      </c>
      <c r="AF51" s="353">
        <v>1854.705947557379</v>
      </c>
      <c r="AG51" s="353">
        <v>1840.44490286834</v>
      </c>
      <c r="AH51" s="353">
        <v>1826.1838581793015</v>
      </c>
      <c r="AI51" s="353">
        <v>1811.9228134902633</v>
      </c>
      <c r="AJ51" s="353">
        <v>1797.6617688012254</v>
      </c>
      <c r="AP51" s="258"/>
      <c r="AQ51" s="258"/>
      <c r="AR51" s="258"/>
      <c r="AS51" s="258"/>
      <c r="AT51" s="258"/>
      <c r="AU51" s="258"/>
      <c r="AV51" s="258"/>
      <c r="AW51" s="258"/>
      <c r="AX51" s="258"/>
      <c r="AY51" s="258"/>
      <c r="AZ51" s="258"/>
      <c r="BA51" s="258"/>
      <c r="BB51" s="258"/>
      <c r="BC51" s="258"/>
      <c r="BD51" s="258"/>
      <c r="BE51" s="258"/>
      <c r="BF51" s="258"/>
      <c r="BG51" s="258"/>
      <c r="BH51" s="258"/>
      <c r="BI51" s="258"/>
      <c r="BJ51" s="258"/>
      <c r="BK51" s="258"/>
      <c r="BL51" s="258"/>
      <c r="BM51" s="258"/>
      <c r="BN51" s="258"/>
      <c r="BO51" s="258"/>
      <c r="BP51" s="258"/>
      <c r="BQ51" s="258"/>
      <c r="BR51" s="258"/>
      <c r="BS51" s="258"/>
      <c r="BT51" s="258"/>
      <c r="BU51" s="258"/>
      <c r="BV51" s="258"/>
    </row>
    <row r="52" spans="1:74" x14ac:dyDescent="0.25">
      <c r="A52" s="325" t="str">
        <f t="shared" si="0"/>
        <v>Overnight Capital Cost ($/kW)_Utility-Scale Battery Storage - 8Hr_Advanced</v>
      </c>
      <c r="B52" s="640"/>
      <c r="D52" s="610"/>
      <c r="E52" s="351" t="s">
        <v>234</v>
      </c>
      <c r="F52" s="352" t="s">
        <v>233</v>
      </c>
      <c r="G52" s="353">
        <v>2875.4561996880002</v>
      </c>
      <c r="H52" s="353">
        <v>3231.8836959999999</v>
      </c>
      <c r="I52" s="353">
        <v>2325.2607955834537</v>
      </c>
      <c r="J52" s="353">
        <v>2195.0209573845736</v>
      </c>
      <c r="K52" s="353">
        <v>2083.6775061738776</v>
      </c>
      <c r="L52" s="353">
        <v>1994.9028746955737</v>
      </c>
      <c r="M52" s="353">
        <v>1906.1816641458061</v>
      </c>
      <c r="N52" s="353">
        <v>1817.3678305932988</v>
      </c>
      <c r="O52" s="353">
        <v>1728.5270622988753</v>
      </c>
      <c r="P52" s="353">
        <v>1640.949474587426</v>
      </c>
      <c r="Q52" s="353">
        <v>1612.3315322472326</v>
      </c>
      <c r="R52" s="353">
        <v>1583.7135623050901</v>
      </c>
      <c r="S52" s="353">
        <v>1553.8687801795086</v>
      </c>
      <c r="T52" s="353">
        <v>1525.2519470203222</v>
      </c>
      <c r="U52" s="353">
        <v>1497.9462079660079</v>
      </c>
      <c r="V52" s="353">
        <v>1468.0953251423168</v>
      </c>
      <c r="W52" s="353">
        <v>1439.4800971170037</v>
      </c>
      <c r="X52" s="353">
        <v>1410.864949716874</v>
      </c>
      <c r="Y52" s="353">
        <v>1382.2498880448047</v>
      </c>
      <c r="Z52" s="353">
        <v>1352.3839020774694</v>
      </c>
      <c r="AA52" s="353">
        <v>1323.7699252940038</v>
      </c>
      <c r="AB52" s="353">
        <v>1296.4947058562138</v>
      </c>
      <c r="AC52" s="353">
        <v>1267.8821617076212</v>
      </c>
      <c r="AD52" s="353">
        <v>1238.0085483042571</v>
      </c>
      <c r="AE52" s="353">
        <v>1209.3972326022299</v>
      </c>
      <c r="AF52" s="353">
        <v>1180.7862137845198</v>
      </c>
      <c r="AG52" s="353">
        <v>1152.1755149850449</v>
      </c>
      <c r="AH52" s="353">
        <v>1122.2800898257128</v>
      </c>
      <c r="AI52" s="353">
        <v>1093.670338793881</v>
      </c>
      <c r="AJ52" s="353">
        <v>1066.441748637106</v>
      </c>
      <c r="AP52" s="258"/>
      <c r="AQ52" s="258"/>
      <c r="AR52" s="258"/>
      <c r="AS52" s="258"/>
      <c r="AT52" s="258"/>
      <c r="AU52" s="258"/>
      <c r="AV52" s="258"/>
      <c r="AW52" s="258"/>
      <c r="AX52" s="258"/>
      <c r="AY52" s="258"/>
      <c r="AZ52" s="258"/>
      <c r="BA52" s="258"/>
      <c r="BB52" s="258"/>
      <c r="BC52" s="258"/>
      <c r="BD52" s="258"/>
      <c r="BE52" s="258"/>
      <c r="BF52" s="258"/>
      <c r="BG52" s="258"/>
      <c r="BH52" s="258"/>
      <c r="BI52" s="258"/>
      <c r="BJ52" s="258"/>
      <c r="BK52" s="258"/>
      <c r="BL52" s="258"/>
      <c r="BM52" s="258"/>
      <c r="BN52" s="258"/>
      <c r="BO52" s="258"/>
      <c r="BP52" s="258"/>
      <c r="BQ52" s="258"/>
      <c r="BR52" s="258"/>
      <c r="BS52" s="258"/>
      <c r="BT52" s="258"/>
      <c r="BU52" s="258"/>
      <c r="BV52" s="258"/>
    </row>
    <row r="53" spans="1:74" x14ac:dyDescent="0.25">
      <c r="A53" s="325" t="str">
        <f t="shared" si="0"/>
        <v>Overnight Capital Cost ($/kW)_Utility-Scale Battery Storage - 8Hr_Moderate</v>
      </c>
      <c r="B53" s="640"/>
      <c r="D53" s="610"/>
      <c r="E53" s="351" t="s">
        <v>234</v>
      </c>
      <c r="F53" s="352" t="s">
        <v>232</v>
      </c>
      <c r="G53" s="353">
        <v>2875.4561996880002</v>
      </c>
      <c r="H53" s="353">
        <v>3231.8836959999999</v>
      </c>
      <c r="I53" s="353">
        <v>3101.7707548555986</v>
      </c>
      <c r="J53" s="353">
        <v>2956.381543622183</v>
      </c>
      <c r="K53" s="353">
        <v>2584.0585895592421</v>
      </c>
      <c r="L53" s="353">
        <v>2490.223976355398</v>
      </c>
      <c r="M53" s="353">
        <v>2396.2948562880201</v>
      </c>
      <c r="N53" s="353">
        <v>2302.2598049653861</v>
      </c>
      <c r="O53" s="353">
        <v>2208.1054793107328</v>
      </c>
      <c r="P53" s="353">
        <v>2113.8161971138529</v>
      </c>
      <c r="Q53" s="353">
        <v>2078.6775917215955</v>
      </c>
      <c r="R53" s="353">
        <v>2043.5550254320533</v>
      </c>
      <c r="S53" s="353">
        <v>2008.4491231103298</v>
      </c>
      <c r="T53" s="353">
        <v>1973.3605425073038</v>
      </c>
      <c r="U53" s="353">
        <v>1938.2899764518804</v>
      </c>
      <c r="V53" s="353">
        <v>1903.2381552209949</v>
      </c>
      <c r="W53" s="353">
        <v>1868.2058491043927</v>
      </c>
      <c r="X53" s="353">
        <v>1833.1938711831303</v>
      </c>
      <c r="Y53" s="353">
        <v>1798.2030803428652</v>
      </c>
      <c r="Z53" s="353">
        <v>1763.2343845454122</v>
      </c>
      <c r="AA53" s="353">
        <v>1728.288744384764</v>
      </c>
      <c r="AB53" s="353">
        <v>1693.3671769568568</v>
      </c>
      <c r="AC53" s="353">
        <v>1658.4707600758666</v>
      </c>
      <c r="AD53" s="353">
        <v>1623.6006368737696</v>
      </c>
      <c r="AE53" s="353">
        <v>1588.7580208244592</v>
      </c>
      <c r="AF53" s="353">
        <v>1553.9442012388361</v>
      </c>
      <c r="AG53" s="353">
        <v>1519.160549283207</v>
      </c>
      <c r="AH53" s="353">
        <v>1484.4085245800679</v>
      </c>
      <c r="AI53" s="353">
        <v>1449.6896824580976</v>
      </c>
      <c r="AJ53" s="353">
        <v>1415.0056819271003</v>
      </c>
      <c r="AP53" s="258"/>
      <c r="AQ53" s="258"/>
      <c r="AR53" s="258"/>
      <c r="AS53" s="258"/>
      <c r="AT53" s="258"/>
      <c r="AU53" s="258"/>
      <c r="AV53" s="258"/>
      <c r="AW53" s="258"/>
      <c r="AX53" s="258"/>
      <c r="AY53" s="258"/>
      <c r="AZ53" s="258"/>
      <c r="BA53" s="258"/>
      <c r="BB53" s="258"/>
      <c r="BC53" s="258"/>
      <c r="BD53" s="258"/>
      <c r="BE53" s="258"/>
      <c r="BF53" s="258"/>
      <c r="BG53" s="258"/>
      <c r="BH53" s="258"/>
      <c r="BI53" s="258"/>
      <c r="BJ53" s="258"/>
      <c r="BK53" s="258"/>
      <c r="BL53" s="258"/>
      <c r="BM53" s="258"/>
      <c r="BN53" s="258"/>
      <c r="BO53" s="258"/>
      <c r="BP53" s="258"/>
      <c r="BQ53" s="258"/>
      <c r="BR53" s="258"/>
      <c r="BS53" s="258"/>
      <c r="BT53" s="258"/>
      <c r="BU53" s="258"/>
      <c r="BV53" s="258"/>
    </row>
    <row r="54" spans="1:74" x14ac:dyDescent="0.25">
      <c r="A54" s="325" t="str">
        <f t="shared" si="0"/>
        <v>Overnight Capital Cost ($/kW)_Utility-Scale Battery Storage - 8Hr_Conservative</v>
      </c>
      <c r="B54" s="640"/>
      <c r="D54" s="610"/>
      <c r="E54" s="351" t="s">
        <v>234</v>
      </c>
      <c r="F54" s="352" t="s">
        <v>194</v>
      </c>
      <c r="G54" s="353">
        <v>2875.4561996880002</v>
      </c>
      <c r="H54" s="353">
        <v>3231.8836959999999</v>
      </c>
      <c r="I54" s="353">
        <v>3352.0988274994102</v>
      </c>
      <c r="J54" s="353">
        <v>3375.4176810467898</v>
      </c>
      <c r="K54" s="353">
        <v>3326.8828936772952</v>
      </c>
      <c r="L54" s="353">
        <v>3195.8973434199715</v>
      </c>
      <c r="M54" s="353">
        <v>3064.9925160743637</v>
      </c>
      <c r="N54" s="353">
        <v>2934.176935508407</v>
      </c>
      <c r="O54" s="353">
        <v>2803.4603694662724</v>
      </c>
      <c r="P54" s="353">
        <v>2672.8540650558816</v>
      </c>
      <c r="Q54" s="353">
        <v>2654.553614457388</v>
      </c>
      <c r="R54" s="353">
        <v>2636.2531638588944</v>
      </c>
      <c r="S54" s="353">
        <v>2617.9527132604012</v>
      </c>
      <c r="T54" s="353">
        <v>2599.6522626619076</v>
      </c>
      <c r="U54" s="353">
        <v>2581.3518120634139</v>
      </c>
      <c r="V54" s="353">
        <v>2563.0513614649203</v>
      </c>
      <c r="W54" s="353">
        <v>2544.7509108664276</v>
      </c>
      <c r="X54" s="353">
        <v>2526.450460267934</v>
      </c>
      <c r="Y54" s="353">
        <v>2508.1500096694399</v>
      </c>
      <c r="Z54" s="353">
        <v>2489.8495590709467</v>
      </c>
      <c r="AA54" s="353">
        <v>2471.5491084724536</v>
      </c>
      <c r="AB54" s="353">
        <v>2453.2486578739599</v>
      </c>
      <c r="AC54" s="353">
        <v>2434.9482072754663</v>
      </c>
      <c r="AD54" s="353">
        <v>2416.6477566769731</v>
      </c>
      <c r="AE54" s="353">
        <v>2398.34730607848</v>
      </c>
      <c r="AF54" s="353">
        <v>2380.0468554799863</v>
      </c>
      <c r="AG54" s="353">
        <v>2361.7464048814923</v>
      </c>
      <c r="AH54" s="353">
        <v>2343.4459542829991</v>
      </c>
      <c r="AI54" s="353">
        <v>2325.1455036845059</v>
      </c>
      <c r="AJ54" s="353">
        <v>2306.8450530860136</v>
      </c>
      <c r="AP54" s="258"/>
      <c r="AQ54" s="258"/>
      <c r="AR54" s="258"/>
      <c r="AS54" s="258"/>
      <c r="AT54" s="258"/>
      <c r="AU54" s="258"/>
      <c r="AV54" s="258"/>
      <c r="AW54" s="258"/>
      <c r="AX54" s="258"/>
      <c r="AY54" s="258"/>
      <c r="AZ54" s="258"/>
      <c r="BA54" s="258"/>
      <c r="BB54" s="258"/>
      <c r="BC54" s="258"/>
      <c r="BD54" s="258"/>
      <c r="BE54" s="258"/>
      <c r="BF54" s="258"/>
      <c r="BG54" s="258"/>
      <c r="BH54" s="258"/>
      <c r="BI54" s="258"/>
      <c r="BJ54" s="258"/>
      <c r="BK54" s="258"/>
      <c r="BL54" s="258"/>
      <c r="BM54" s="258"/>
      <c r="BN54" s="258"/>
      <c r="BO54" s="258"/>
      <c r="BP54" s="258"/>
      <c r="BQ54" s="258"/>
      <c r="BR54" s="258"/>
      <c r="BS54" s="258"/>
      <c r="BT54" s="258"/>
      <c r="BU54" s="258"/>
      <c r="BV54" s="258"/>
    </row>
    <row r="55" spans="1:74" x14ac:dyDescent="0.25">
      <c r="A55" s="325" t="str">
        <f t="shared" si="0"/>
        <v>Overnight Capital Cost ($/kW)_Utility-Scale Battery Storage - 10Hr_Advanced</v>
      </c>
      <c r="B55" s="640"/>
      <c r="D55" s="610"/>
      <c r="E55" s="351" t="s">
        <v>126</v>
      </c>
      <c r="F55" s="352" t="s">
        <v>233</v>
      </c>
      <c r="G55" s="353">
        <v>3519.5582995320001</v>
      </c>
      <c r="H55" s="353">
        <v>3955.8255439999998</v>
      </c>
      <c r="I55" s="353">
        <v>2846.1867277684319</v>
      </c>
      <c r="J55" s="353">
        <v>2686.8470909725393</v>
      </c>
      <c r="K55" s="353">
        <v>2550.6473420222787</v>
      </c>
      <c r="L55" s="353">
        <v>2441.8864803505176</v>
      </c>
      <c r="M55" s="353">
        <v>2333.2054095684343</v>
      </c>
      <c r="N55" s="353">
        <v>2224.385994658016</v>
      </c>
      <c r="O55" s="353">
        <v>2115.5263493158241</v>
      </c>
      <c r="P55" s="353">
        <v>2008.5534233793153</v>
      </c>
      <c r="Q55" s="353">
        <v>1973.5668129152398</v>
      </c>
      <c r="R55" s="353">
        <v>1938.5801612241746</v>
      </c>
      <c r="S55" s="353">
        <v>1901.7611109158252</v>
      </c>
      <c r="T55" s="353">
        <v>1866.7761571533792</v>
      </c>
      <c r="U55" s="353">
        <v>1833.7494876803528</v>
      </c>
      <c r="V55" s="353">
        <v>1796.9213252104751</v>
      </c>
      <c r="W55" s="353">
        <v>1761.9387689177718</v>
      </c>
      <c r="X55" s="353">
        <v>1726.956333048942</v>
      </c>
      <c r="Y55" s="353">
        <v>1691.974025225775</v>
      </c>
      <c r="Z55" s="353">
        <v>1655.1233043073398</v>
      </c>
      <c r="AA55" s="353">
        <v>1620.142616902036</v>
      </c>
      <c r="AB55" s="353">
        <v>1587.1615323228298</v>
      </c>
      <c r="AC55" s="353">
        <v>1552.182984738271</v>
      </c>
      <c r="AD55" s="353">
        <v>1515.3208712828023</v>
      </c>
      <c r="AE55" s="353">
        <v>1480.3441585380165</v>
      </c>
      <c r="AF55" s="353">
        <v>1445.3678892273763</v>
      </c>
      <c r="AG55" s="353">
        <v>1410.3920979043037</v>
      </c>
      <c r="AH55" s="353">
        <v>1373.4974058422513</v>
      </c>
      <c r="AI55" s="353">
        <v>1338.5230301296058</v>
      </c>
      <c r="AJ55" s="353">
        <v>1305.6115922585179</v>
      </c>
      <c r="AP55" s="258"/>
      <c r="AQ55" s="258"/>
      <c r="AR55" s="258"/>
      <c r="AS55" s="258"/>
      <c r="AT55" s="258"/>
      <c r="AU55" s="258"/>
      <c r="AV55" s="258"/>
      <c r="AW55" s="258"/>
      <c r="AX55" s="258"/>
      <c r="AY55" s="258"/>
      <c r="AZ55" s="258"/>
      <c r="BA55" s="258"/>
      <c r="BB55" s="258"/>
      <c r="BC55" s="258"/>
      <c r="BD55" s="258"/>
      <c r="BE55" s="258"/>
      <c r="BF55" s="258"/>
      <c r="BG55" s="258"/>
      <c r="BH55" s="258"/>
      <c r="BI55" s="258"/>
      <c r="BJ55" s="258"/>
      <c r="BK55" s="258"/>
      <c r="BL55" s="258"/>
      <c r="BM55" s="258"/>
      <c r="BN55" s="258"/>
      <c r="BO55" s="258"/>
      <c r="BP55" s="258"/>
      <c r="BQ55" s="258"/>
      <c r="BR55" s="258"/>
      <c r="BS55" s="258"/>
      <c r="BT55" s="258"/>
      <c r="BU55" s="258"/>
      <c r="BV55" s="258"/>
    </row>
    <row r="56" spans="1:74" x14ac:dyDescent="0.25">
      <c r="A56" s="325" t="str">
        <f t="shared" si="0"/>
        <v>Overnight Capital Cost ($/kW)_Utility-Scale Battery Storage - 10Hr_Moderate</v>
      </c>
      <c r="B56" s="640"/>
      <c r="D56" s="610"/>
      <c r="E56" s="351" t="s">
        <v>126</v>
      </c>
      <c r="F56" s="352" t="s">
        <v>232</v>
      </c>
      <c r="G56" s="353">
        <v>3519.5582995320001</v>
      </c>
      <c r="H56" s="353">
        <v>3955.8255439999998</v>
      </c>
      <c r="I56" s="353">
        <v>3794.9049674707749</v>
      </c>
      <c r="J56" s="353">
        <v>3615.1849816326667</v>
      </c>
      <c r="K56" s="353">
        <v>3157.9993203578624</v>
      </c>
      <c r="L56" s="353">
        <v>3040.4767444760337</v>
      </c>
      <c r="M56" s="353">
        <v>2922.8141122313955</v>
      </c>
      <c r="N56" s="353">
        <v>2804.9944930149709</v>
      </c>
      <c r="O56" s="353">
        <v>2686.9981127835822</v>
      </c>
      <c r="P56" s="353">
        <v>2568.8017309678125</v>
      </c>
      <c r="Q56" s="353">
        <v>2525.3773667770947</v>
      </c>
      <c r="R56" s="353">
        <v>2481.9767720598834</v>
      </c>
      <c r="S56" s="353">
        <v>2438.6008728476909</v>
      </c>
      <c r="T56" s="353">
        <v>2395.2506439077697</v>
      </c>
      <c r="U56" s="353">
        <v>2351.9271119919645</v>
      </c>
      <c r="V56" s="353">
        <v>2308.6313593489876</v>
      </c>
      <c r="W56" s="353">
        <v>2265.364527525348</v>
      </c>
      <c r="X56" s="353">
        <v>2222.1278214830045</v>
      </c>
      <c r="Y56" s="353">
        <v>2178.9225140649733</v>
      </c>
      <c r="Z56" s="353">
        <v>2135.7499508436777</v>
      </c>
      <c r="AA56" s="353">
        <v>2092.6115553908635</v>
      </c>
      <c r="AB56" s="353">
        <v>2049.5088350124788</v>
      </c>
      <c r="AC56" s="353">
        <v>2006.4433869970965</v>
      </c>
      <c r="AD56" s="353">
        <v>1963.4169054323295</v>
      </c>
      <c r="AE56" s="353">
        <v>1920.4311886504208</v>
      </c>
      <c r="AF56" s="353">
        <v>1877.4881473718037</v>
      </c>
      <c r="AG56" s="353">
        <v>1834.5898136241915</v>
      </c>
      <c r="AH56" s="353">
        <v>1791.7383505247394</v>
      </c>
      <c r="AI56" s="353">
        <v>1748.9360630243218</v>
      </c>
      <c r="AJ56" s="353">
        <v>1706.1854097261598</v>
      </c>
      <c r="AP56" s="258"/>
      <c r="AQ56" s="258"/>
      <c r="AR56" s="258"/>
      <c r="AS56" s="258"/>
      <c r="AT56" s="258"/>
      <c r="AU56" s="258"/>
      <c r="AV56" s="258"/>
      <c r="AW56" s="258"/>
      <c r="AX56" s="258"/>
      <c r="AY56" s="258"/>
      <c r="AZ56" s="258"/>
      <c r="BA56" s="258"/>
      <c r="BB56" s="258"/>
      <c r="BC56" s="258"/>
      <c r="BD56" s="258"/>
      <c r="BE56" s="258"/>
      <c r="BF56" s="258"/>
      <c r="BG56" s="258"/>
      <c r="BH56" s="258"/>
      <c r="BI56" s="258"/>
      <c r="BJ56" s="258"/>
      <c r="BK56" s="258"/>
      <c r="BL56" s="258"/>
      <c r="BM56" s="258"/>
      <c r="BN56" s="258"/>
      <c r="BO56" s="258"/>
      <c r="BP56" s="258"/>
      <c r="BQ56" s="258"/>
      <c r="BR56" s="258"/>
      <c r="BS56" s="258"/>
      <c r="BT56" s="258"/>
      <c r="BU56" s="258"/>
      <c r="BV56" s="258"/>
    </row>
    <row r="57" spans="1:74" x14ac:dyDescent="0.25">
      <c r="A57" s="325" t="str">
        <f t="shared" si="0"/>
        <v>Overnight Capital Cost ($/kW)_Utility-Scale Battery Storage - 10Hr_Conservative</v>
      </c>
      <c r="B57" s="640"/>
      <c r="D57" s="610"/>
      <c r="E57" s="351" t="s">
        <v>126</v>
      </c>
      <c r="F57" s="352" t="s">
        <v>194</v>
      </c>
      <c r="G57" s="353">
        <v>3519.5582995320001</v>
      </c>
      <c r="H57" s="353">
        <v>3955.8255439999998</v>
      </c>
      <c r="I57" s="353">
        <v>4103.1083123611397</v>
      </c>
      <c r="J57" s="353">
        <v>4131.4826675137019</v>
      </c>
      <c r="K57" s="353">
        <v>4071.8989741773703</v>
      </c>
      <c r="L57" s="353">
        <v>3909.8156041429816</v>
      </c>
      <c r="M57" s="353">
        <v>3747.8528658435757</v>
      </c>
      <c r="N57" s="353">
        <v>3586.0234972856988</v>
      </c>
      <c r="O57" s="353">
        <v>3424.3420953155392</v>
      </c>
      <c r="P57" s="353">
        <v>3262.8254675297671</v>
      </c>
      <c r="Q57" s="353">
        <v>3240.4856110218188</v>
      </c>
      <c r="R57" s="353">
        <v>3218.1457545138701</v>
      </c>
      <c r="S57" s="353">
        <v>3195.8058980059222</v>
      </c>
      <c r="T57" s="353">
        <v>3173.4660414979735</v>
      </c>
      <c r="U57" s="353">
        <v>3151.1261849900252</v>
      </c>
      <c r="V57" s="353">
        <v>3128.7863284820764</v>
      </c>
      <c r="W57" s="353">
        <v>3106.4464719741291</v>
      </c>
      <c r="X57" s="353">
        <v>3084.1066154661808</v>
      </c>
      <c r="Y57" s="353">
        <v>3061.7667589582315</v>
      </c>
      <c r="Z57" s="353">
        <v>3039.4269024502833</v>
      </c>
      <c r="AA57" s="353">
        <v>3017.0870459423354</v>
      </c>
      <c r="AB57" s="353">
        <v>2994.7471894343871</v>
      </c>
      <c r="AC57" s="353">
        <v>2972.4073329264384</v>
      </c>
      <c r="AD57" s="353">
        <v>2950.0674764184901</v>
      </c>
      <c r="AE57" s="353">
        <v>2927.7276199105422</v>
      </c>
      <c r="AF57" s="353">
        <v>2905.3877634025939</v>
      </c>
      <c r="AG57" s="353">
        <v>2883.0479068946447</v>
      </c>
      <c r="AH57" s="353">
        <v>2860.7080503866973</v>
      </c>
      <c r="AI57" s="353">
        <v>2838.3681938787486</v>
      </c>
      <c r="AJ57" s="353">
        <v>2816.0283373708016</v>
      </c>
      <c r="AP57" s="258"/>
      <c r="AQ57" s="258"/>
      <c r="AR57" s="258"/>
      <c r="AS57" s="258"/>
      <c r="AT57" s="258"/>
      <c r="AU57" s="258"/>
      <c r="AV57" s="258"/>
      <c r="AW57" s="258"/>
      <c r="AX57" s="258"/>
      <c r="AY57" s="258"/>
      <c r="AZ57" s="258"/>
      <c r="BA57" s="258"/>
      <c r="BB57" s="258"/>
      <c r="BC57" s="258"/>
      <c r="BD57" s="258"/>
      <c r="BE57" s="258"/>
      <c r="BF57" s="258"/>
      <c r="BG57" s="258"/>
      <c r="BH57" s="258"/>
      <c r="BI57" s="258"/>
      <c r="BJ57" s="258"/>
      <c r="BK57" s="258"/>
      <c r="BL57" s="258"/>
      <c r="BM57" s="258"/>
      <c r="BN57" s="258"/>
      <c r="BO57" s="258"/>
      <c r="BP57" s="258"/>
      <c r="BQ57" s="258"/>
      <c r="BR57" s="258"/>
      <c r="BS57" s="258"/>
      <c r="BT57" s="258"/>
      <c r="BU57" s="258"/>
      <c r="BV57" s="258"/>
    </row>
    <row r="58" spans="1:74" x14ac:dyDescent="0.25">
      <c r="B58" s="640"/>
      <c r="D58" s="246"/>
      <c r="E58" s="354"/>
      <c r="F58" s="354"/>
      <c r="G58" s="258"/>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P58" s="258"/>
      <c r="AQ58" s="258"/>
      <c r="AR58" s="258"/>
      <c r="AS58" s="258"/>
      <c r="AT58" s="258"/>
      <c r="AU58" s="258"/>
      <c r="AV58" s="258"/>
      <c r="AW58" s="258"/>
      <c r="AX58" s="258"/>
      <c r="AY58" s="258"/>
      <c r="AZ58" s="258"/>
      <c r="BA58" s="258"/>
      <c r="BB58" s="258"/>
      <c r="BC58" s="258"/>
      <c r="BD58" s="258"/>
      <c r="BE58" s="258"/>
      <c r="BF58" s="258"/>
      <c r="BG58" s="258"/>
      <c r="BH58" s="258"/>
      <c r="BI58" s="258"/>
      <c r="BJ58" s="258"/>
      <c r="BK58" s="258"/>
      <c r="BL58" s="258"/>
      <c r="BM58" s="258"/>
      <c r="BN58" s="258"/>
      <c r="BO58" s="258"/>
      <c r="BP58" s="258"/>
      <c r="BQ58" s="258"/>
      <c r="BR58" s="258"/>
      <c r="BS58" s="258"/>
      <c r="BT58" s="258"/>
      <c r="BU58" s="258"/>
      <c r="BV58" s="258"/>
    </row>
    <row r="59" spans="1:74" x14ac:dyDescent="0.25">
      <c r="B59" s="640"/>
      <c r="D59" s="246"/>
      <c r="E59" s="354"/>
      <c r="F59" s="354"/>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P59" s="258"/>
      <c r="AQ59" s="258"/>
      <c r="AR59" s="258"/>
      <c r="AS59" s="258"/>
      <c r="AT59" s="258"/>
      <c r="AU59" s="258"/>
      <c r="AV59" s="258"/>
      <c r="AW59" s="258"/>
      <c r="AX59" s="258"/>
      <c r="AY59" s="258"/>
      <c r="AZ59" s="258"/>
      <c r="BA59" s="258"/>
      <c r="BB59" s="258"/>
      <c r="BC59" s="258"/>
      <c r="BD59" s="258"/>
      <c r="BE59" s="258"/>
      <c r="BF59" s="258"/>
      <c r="BG59" s="258"/>
      <c r="BH59" s="258"/>
      <c r="BI59" s="258"/>
      <c r="BJ59" s="258"/>
      <c r="BK59" s="258"/>
      <c r="BL59" s="258"/>
      <c r="BM59" s="258"/>
      <c r="BN59" s="258"/>
      <c r="BO59" s="258"/>
      <c r="BP59" s="258"/>
      <c r="BQ59" s="258"/>
      <c r="BR59" s="258"/>
      <c r="BS59" s="258"/>
      <c r="BT59" s="258"/>
      <c r="BU59" s="258"/>
      <c r="BV59" s="258"/>
    </row>
    <row r="60" spans="1:74" x14ac:dyDescent="0.25">
      <c r="B60" s="640"/>
      <c r="D60" s="246"/>
      <c r="E60" s="354"/>
      <c r="F60" s="354"/>
      <c r="G60" s="258"/>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c r="AI60" s="258"/>
      <c r="AJ60" s="258"/>
      <c r="AP60" s="258"/>
      <c r="AQ60" s="258"/>
      <c r="AR60" s="258"/>
      <c r="AS60" s="258"/>
      <c r="AT60" s="258"/>
      <c r="AU60" s="258"/>
      <c r="AV60" s="258"/>
      <c r="AW60" s="258"/>
      <c r="AX60" s="258"/>
      <c r="AY60" s="258"/>
      <c r="AZ60" s="258"/>
      <c r="BA60" s="258"/>
      <c r="BB60" s="258"/>
      <c r="BC60" s="258"/>
      <c r="BD60" s="258"/>
      <c r="BE60" s="258"/>
      <c r="BF60" s="258"/>
      <c r="BG60" s="258"/>
      <c r="BH60" s="258"/>
      <c r="BI60" s="258"/>
      <c r="BJ60" s="258"/>
      <c r="BK60" s="258"/>
      <c r="BL60" s="258"/>
      <c r="BM60" s="258"/>
      <c r="BN60" s="258"/>
      <c r="BO60" s="258"/>
      <c r="BP60" s="258"/>
      <c r="BQ60" s="258"/>
      <c r="BR60" s="258"/>
      <c r="BS60" s="258"/>
      <c r="BT60" s="258"/>
      <c r="BU60" s="258"/>
      <c r="BV60" s="258"/>
    </row>
    <row r="61" spans="1:74" x14ac:dyDescent="0.25">
      <c r="B61" s="640"/>
      <c r="D61" s="355"/>
      <c r="E61" s="354"/>
      <c r="F61" s="354"/>
      <c r="G61" s="31">
        <v>2021</v>
      </c>
      <c r="H61" s="31">
        <v>2022</v>
      </c>
      <c r="I61" s="31">
        <v>2023</v>
      </c>
      <c r="J61" s="31">
        <v>2024</v>
      </c>
      <c r="K61" s="31">
        <v>2025</v>
      </c>
      <c r="L61" s="31">
        <v>2026</v>
      </c>
      <c r="M61" s="31">
        <v>2027</v>
      </c>
      <c r="N61" s="31">
        <v>2028</v>
      </c>
      <c r="O61" s="31">
        <v>2029</v>
      </c>
      <c r="P61" s="31">
        <v>2030</v>
      </c>
      <c r="Q61" s="31">
        <v>2031</v>
      </c>
      <c r="R61" s="31">
        <v>2032</v>
      </c>
      <c r="S61" s="31">
        <v>2033</v>
      </c>
      <c r="T61" s="31">
        <v>2034</v>
      </c>
      <c r="U61" s="31">
        <v>2035</v>
      </c>
      <c r="V61" s="31">
        <v>2036</v>
      </c>
      <c r="W61" s="31">
        <v>2037</v>
      </c>
      <c r="X61" s="31">
        <v>2038</v>
      </c>
      <c r="Y61" s="31">
        <v>2039</v>
      </c>
      <c r="Z61" s="31">
        <v>2040</v>
      </c>
      <c r="AA61" s="31">
        <v>2041</v>
      </c>
      <c r="AB61" s="31">
        <v>2042</v>
      </c>
      <c r="AC61" s="31">
        <v>2043</v>
      </c>
      <c r="AD61" s="31">
        <v>2044</v>
      </c>
      <c r="AE61" s="31">
        <v>2045</v>
      </c>
      <c r="AF61" s="31">
        <v>2046</v>
      </c>
      <c r="AG61" s="31">
        <v>2047</v>
      </c>
      <c r="AH61" s="31">
        <v>2048</v>
      </c>
      <c r="AI61" s="31">
        <v>2049</v>
      </c>
      <c r="AJ61" s="31">
        <v>2050</v>
      </c>
    </row>
    <row r="62" spans="1:74" x14ac:dyDescent="0.25">
      <c r="A62" s="325" t="str">
        <f t="shared" ref="A62:A76" si="1">$D$62&amp;"_"&amp;E62&amp;"_"&amp;F62</f>
        <v>Fixed Operation and Maintenance Expenses ($/kW-yr)_Utility-Scale Battery Storage - 2Hr_Advanced</v>
      </c>
      <c r="B62" s="640"/>
      <c r="D62" s="608" t="s">
        <v>136</v>
      </c>
      <c r="E62" s="351" t="s">
        <v>236</v>
      </c>
      <c r="F62" s="352" t="s">
        <v>233</v>
      </c>
      <c r="G62" s="353">
        <v>23.578747503900004</v>
      </c>
      <c r="H62" s="353">
        <v>26.501453799999997</v>
      </c>
      <c r="I62" s="353">
        <v>19.062074975712981</v>
      </c>
      <c r="J62" s="353">
        <v>17.988563915516909</v>
      </c>
      <c r="K62" s="353">
        <v>17.069199965716873</v>
      </c>
      <c r="L62" s="353">
        <v>16.348801443268545</v>
      </c>
      <c r="M62" s="353">
        <v>15.627760696948037</v>
      </c>
      <c r="N62" s="353">
        <v>14.907833459978688</v>
      </c>
      <c r="O62" s="353">
        <v>14.188230031200707</v>
      </c>
      <c r="P62" s="353">
        <v>13.453440705293952</v>
      </c>
      <c r="Q62" s="353">
        <v>13.215642256080276</v>
      </c>
      <c r="R62" s="353">
        <v>12.977844138695929</v>
      </c>
      <c r="S62" s="353">
        <v>12.754794699263975</v>
      </c>
      <c r="T62" s="353">
        <v>12.516982915528773</v>
      </c>
      <c r="U62" s="353">
        <v>12.263409220574339</v>
      </c>
      <c r="V62" s="353">
        <v>12.040433123446054</v>
      </c>
      <c r="W62" s="353">
        <v>11.802602042867473</v>
      </c>
      <c r="X62" s="353">
        <v>11.564769993016748</v>
      </c>
      <c r="Y62" s="353">
        <v>11.326936912547346</v>
      </c>
      <c r="Z62" s="353">
        <v>11.10414238469648</v>
      </c>
      <c r="AA62" s="353">
        <v>10.866296261747683</v>
      </c>
      <c r="AB62" s="353">
        <v>10.612355661409172</v>
      </c>
      <c r="AC62" s="353">
        <v>10.374492315391795</v>
      </c>
      <c r="AD62" s="353">
        <v>10.151789484215541</v>
      </c>
      <c r="AE62" s="353">
        <v>9.9139113698717498</v>
      </c>
      <c r="AF62" s="353">
        <v>9.6760296863987634</v>
      </c>
      <c r="AG62" s="353">
        <v>9.4381441556817105</v>
      </c>
      <c r="AH62" s="353">
        <v>9.2157035444024302</v>
      </c>
      <c r="AI62" s="353">
        <v>8.9778066196676711</v>
      </c>
      <c r="AJ62" s="353">
        <v>8.7233054443217615</v>
      </c>
    </row>
    <row r="63" spans="1:74" x14ac:dyDescent="0.25">
      <c r="A63" s="325" t="str">
        <f t="shared" si="1"/>
        <v>Fixed Operation and Maintenance Expenses ($/kW-yr)_Utility-Scale Battery Storage - 2Hr_Moderate</v>
      </c>
      <c r="B63" s="640"/>
      <c r="D63" s="609"/>
      <c r="E63" s="354" t="s">
        <v>236</v>
      </c>
      <c r="F63" s="352" t="s">
        <v>232</v>
      </c>
      <c r="G63" s="353">
        <v>23.578747503900004</v>
      </c>
      <c r="H63" s="353">
        <v>26.501453799999997</v>
      </c>
      <c r="I63" s="353">
        <v>25.559202925251746</v>
      </c>
      <c r="J63" s="353">
        <v>24.499280739768313</v>
      </c>
      <c r="K63" s="353">
        <v>21.555909929084528</v>
      </c>
      <c r="L63" s="353">
        <v>20.986641799837265</v>
      </c>
      <c r="M63" s="353">
        <v>20.418427211447394</v>
      </c>
      <c r="N63" s="353">
        <v>19.851393520415833</v>
      </c>
      <c r="O63" s="353">
        <v>19.285689472304604</v>
      </c>
      <c r="P63" s="353">
        <v>18.721489888799354</v>
      </c>
      <c r="Q63" s="353">
        <v>18.464456663877481</v>
      </c>
      <c r="R63" s="353">
        <v>18.207244638714084</v>
      </c>
      <c r="S63" s="353">
        <v>17.949846847456168</v>
      </c>
      <c r="T63" s="353">
        <v>17.692255957647667</v>
      </c>
      <c r="U63" s="353">
        <v>17.434464245790721</v>
      </c>
      <c r="V63" s="353">
        <v>17.176463570925407</v>
      </c>
      <c r="W63" s="353">
        <v>16.918245346038162</v>
      </c>
      <c r="X63" s="353">
        <v>16.659800507087702</v>
      </c>
      <c r="Y63" s="353">
        <v>16.40111947941352</v>
      </c>
      <c r="Z63" s="353">
        <v>16.142192141265397</v>
      </c>
      <c r="AA63" s="353">
        <v>15.883007784161624</v>
      </c>
      <c r="AB63" s="353">
        <v>15.623555069749777</v>
      </c>
      <c r="AC63" s="353">
        <v>15.363821982804422</v>
      </c>
      <c r="AD63" s="353">
        <v>15.103795779952245</v>
      </c>
      <c r="AE63" s="353">
        <v>14.84346293366437</v>
      </c>
      <c r="AF63" s="353">
        <v>14.582809070998326</v>
      </c>
      <c r="AG63" s="353">
        <v>14.321818906506351</v>
      </c>
      <c r="AH63" s="353">
        <v>14.060476168651348</v>
      </c>
      <c r="AI63" s="353">
        <v>13.798763518985622</v>
      </c>
      <c r="AJ63" s="353">
        <v>13.536662463248049</v>
      </c>
    </row>
    <row r="64" spans="1:74" x14ac:dyDescent="0.25">
      <c r="A64" s="325" t="str">
        <f t="shared" si="1"/>
        <v>Fixed Operation and Maintenance Expenses ($/kW-yr)_Utility-Scale Battery Storage - 2Hr_Conservative</v>
      </c>
      <c r="B64" s="640"/>
      <c r="D64" s="609"/>
      <c r="E64" s="404" t="s">
        <v>236</v>
      </c>
      <c r="F64" s="352" t="s">
        <v>194</v>
      </c>
      <c r="G64" s="353">
        <v>23.578747503900004</v>
      </c>
      <c r="H64" s="353">
        <v>26.501453799999997</v>
      </c>
      <c r="I64" s="353">
        <v>27.476759322855511</v>
      </c>
      <c r="J64" s="353">
        <v>27.680568041151378</v>
      </c>
      <c r="K64" s="353">
        <v>27.295866304426738</v>
      </c>
      <c r="L64" s="353">
        <v>26.35356403127355</v>
      </c>
      <c r="M64" s="353">
        <v>25.410286669168205</v>
      </c>
      <c r="N64" s="353">
        <v>24.465931254413317</v>
      </c>
      <c r="O64" s="353">
        <v>23.520379797961809</v>
      </c>
      <c r="P64" s="353">
        <v>22.573496440855617</v>
      </c>
      <c r="Q64" s="353">
        <v>22.418940619102401</v>
      </c>
      <c r="R64" s="353">
        <v>22.26438479734918</v>
      </c>
      <c r="S64" s="353">
        <v>22.10982897559596</v>
      </c>
      <c r="T64" s="353">
        <v>21.955273153842739</v>
      </c>
      <c r="U64" s="353">
        <v>21.800717332089519</v>
      </c>
      <c r="V64" s="353">
        <v>21.646161510336295</v>
      </c>
      <c r="W64" s="353">
        <v>21.491605688583082</v>
      </c>
      <c r="X64" s="353">
        <v>21.337049866829858</v>
      </c>
      <c r="Y64" s="353">
        <v>21.182494045076638</v>
      </c>
      <c r="Z64" s="353">
        <v>21.027938223323417</v>
      </c>
      <c r="AA64" s="353">
        <v>20.873382401570201</v>
      </c>
      <c r="AB64" s="353">
        <v>20.718826579816977</v>
      </c>
      <c r="AC64" s="353">
        <v>20.56427075806376</v>
      </c>
      <c r="AD64" s="353">
        <v>20.409714936310543</v>
      </c>
      <c r="AE64" s="353">
        <v>20.255159114557323</v>
      </c>
      <c r="AF64" s="353">
        <v>20.100603292804106</v>
      </c>
      <c r="AG64" s="353">
        <v>19.946047471050878</v>
      </c>
      <c r="AH64" s="353">
        <v>19.791491649297658</v>
      </c>
      <c r="AI64" s="353">
        <v>19.636935827544441</v>
      </c>
      <c r="AJ64" s="353">
        <v>19.482380005791232</v>
      </c>
    </row>
    <row r="65" spans="1:74" x14ac:dyDescent="0.25">
      <c r="A65" s="325" t="str">
        <f t="shared" si="1"/>
        <v>Fixed Operation and Maintenance Expenses ($/kW-yr)_Utility-Scale Battery Storage - 4Hr_Advanced</v>
      </c>
      <c r="B65" s="640"/>
      <c r="D65" s="610"/>
      <c r="E65" s="351" t="s">
        <v>125</v>
      </c>
      <c r="F65" s="352" t="s">
        <v>233</v>
      </c>
      <c r="G65" s="353">
        <v>39.6813</v>
      </c>
      <c r="H65" s="353">
        <v>44.599999999999994</v>
      </c>
      <c r="I65" s="353">
        <v>32.085223280337438</v>
      </c>
      <c r="J65" s="353">
        <v>30.284217255216056</v>
      </c>
      <c r="K65" s="353">
        <v>28.743445861926901</v>
      </c>
      <c r="L65" s="353">
        <v>27.523391584642145</v>
      </c>
      <c r="M65" s="353">
        <v>26.303354332513745</v>
      </c>
      <c r="N65" s="353">
        <v>25.083287561596617</v>
      </c>
      <c r="O65" s="353">
        <v>23.863212206624432</v>
      </c>
      <c r="P65" s="353">
        <v>22.643539425091188</v>
      </c>
      <c r="Q65" s="353">
        <v>22.246524272780455</v>
      </c>
      <c r="R65" s="353">
        <v>21.849509111673036</v>
      </c>
      <c r="S65" s="353">
        <v>21.452102967671891</v>
      </c>
      <c r="T65" s="353">
        <v>21.055088168855203</v>
      </c>
      <c r="U65" s="353">
        <v>20.65849121343296</v>
      </c>
      <c r="V65" s="353">
        <v>20.261083125150009</v>
      </c>
      <c r="W65" s="353">
        <v>19.864068837886681</v>
      </c>
      <c r="X65" s="353">
        <v>19.46705457631845</v>
      </c>
      <c r="Y65" s="353">
        <v>19.070040342071604</v>
      </c>
      <c r="Z65" s="353">
        <v>18.672627440443232</v>
      </c>
      <c r="AA65" s="353">
        <v>18.275613551948489</v>
      </c>
      <c r="AB65" s="353">
        <v>17.879026323074566</v>
      </c>
      <c r="AC65" s="353">
        <v>17.482012891158039</v>
      </c>
      <c r="AD65" s="353">
        <v>17.084597558679171</v>
      </c>
      <c r="AE65" s="353">
        <v>16.687584518266416</v>
      </c>
      <c r="AF65" s="353">
        <v>16.290571572470174</v>
      </c>
      <c r="AG65" s="353">
        <v>15.893558728663184</v>
      </c>
      <c r="AH65" s="353">
        <v>15.496136444815896</v>
      </c>
      <c r="AI65" s="353">
        <v>15.099123903060789</v>
      </c>
      <c r="AJ65" s="353">
        <v>14.70255153485706</v>
      </c>
    </row>
    <row r="66" spans="1:74" x14ac:dyDescent="0.25">
      <c r="A66" s="325" t="str">
        <f t="shared" si="1"/>
        <v>Fixed Operation and Maintenance Expenses ($/kW-yr)_Utility-Scale Battery Storage - 4Hr_Moderate</v>
      </c>
      <c r="B66" s="640"/>
      <c r="D66" s="610"/>
      <c r="E66" s="351" t="s">
        <v>125</v>
      </c>
      <c r="F66" s="352" t="s">
        <v>232</v>
      </c>
      <c r="G66" s="353">
        <v>39.6813</v>
      </c>
      <c r="H66" s="353">
        <v>44.599999999999994</v>
      </c>
      <c r="I66" s="353">
        <v>42.887558240631158</v>
      </c>
      <c r="J66" s="353">
        <v>40.969366690030398</v>
      </c>
      <c r="K66" s="353">
        <v>35.904428199050038</v>
      </c>
      <c r="L66" s="353">
        <v>34.742961002853157</v>
      </c>
      <c r="M66" s="353">
        <v>33.581408610031765</v>
      </c>
      <c r="N66" s="353">
        <v>32.419760721655443</v>
      </c>
      <c r="O66" s="353">
        <v>31.258005309125839</v>
      </c>
      <c r="P66" s="353">
        <v>30.096128235148342</v>
      </c>
      <c r="Q66" s="353">
        <v>29.631951040264951</v>
      </c>
      <c r="R66" s="353">
        <v>29.167788304409836</v>
      </c>
      <c r="S66" s="353">
        <v>28.703640590890195</v>
      </c>
      <c r="T66" s="353">
        <v>28.239508492659311</v>
      </c>
      <c r="U66" s="353">
        <v>27.775392634292821</v>
      </c>
      <c r="V66" s="353">
        <v>27.311293674125228</v>
      </c>
      <c r="W66" s="353">
        <v>26.847212306562046</v>
      </c>
      <c r="X66" s="353">
        <v>26.383149264584553</v>
      </c>
      <c r="Y66" s="353">
        <v>25.919105322466226</v>
      </c>
      <c r="Z66" s="353">
        <v>25.455081298722035</v>
      </c>
      <c r="AA66" s="353">
        <v>24.99107805931412</v>
      </c>
      <c r="AB66" s="353">
        <v>24.527096521140322</v>
      </c>
      <c r="AC66" s="353">
        <v>24.06313765583517</v>
      </c>
      <c r="AD66" s="353">
        <v>23.599202493916245</v>
      </c>
      <c r="AE66" s="353">
        <v>23.135292129313406</v>
      </c>
      <c r="AF66" s="353">
        <v>22.67140772432252</v>
      </c>
      <c r="AG66" s="353">
        <v>22.20755051503096</v>
      </c>
      <c r="AH66" s="353">
        <v>21.743721817268131</v>
      </c>
      <c r="AI66" s="353">
        <v>21.27992303314123</v>
      </c>
      <c r="AJ66" s="353">
        <v>20.816155658224538</v>
      </c>
    </row>
    <row r="67" spans="1:74" x14ac:dyDescent="0.25">
      <c r="A67" s="325" t="str">
        <f t="shared" si="1"/>
        <v>Fixed Operation and Maintenance Expenses ($/kW-yr)_Utility-Scale Battery Storage - 4Hr_Conservative</v>
      </c>
      <c r="B67" s="640"/>
      <c r="D67" s="610"/>
      <c r="E67" s="351" t="s">
        <v>125</v>
      </c>
      <c r="F67" s="352" t="s">
        <v>194</v>
      </c>
      <c r="G67" s="353">
        <v>39.6813</v>
      </c>
      <c r="H67" s="353">
        <v>44.599999999999994</v>
      </c>
      <c r="I67" s="353">
        <v>46.251996444398756</v>
      </c>
      <c r="J67" s="353">
        <v>46.582192702824173</v>
      </c>
      <c r="K67" s="353">
        <v>45.921268316928625</v>
      </c>
      <c r="L67" s="353">
        <v>44.2015205493488</v>
      </c>
      <c r="M67" s="353">
        <v>42.481795413398508</v>
      </c>
      <c r="N67" s="353">
        <v>40.762095298845601</v>
      </c>
      <c r="O67" s="353">
        <v>39.042422944193476</v>
      </c>
      <c r="P67" s="353">
        <v>37.32278150270276</v>
      </c>
      <c r="Q67" s="353">
        <v>37.067240533213166</v>
      </c>
      <c r="R67" s="353">
        <v>36.811699563723572</v>
      </c>
      <c r="S67" s="353">
        <v>36.556158594233985</v>
      </c>
      <c r="T67" s="353">
        <v>36.30061762474439</v>
      </c>
      <c r="U67" s="353">
        <v>36.045076655254796</v>
      </c>
      <c r="V67" s="353">
        <v>35.789535685765202</v>
      </c>
      <c r="W67" s="353">
        <v>35.533994716275622</v>
      </c>
      <c r="X67" s="353">
        <v>35.27845374678602</v>
      </c>
      <c r="Y67" s="353">
        <v>35.022912777296426</v>
      </c>
      <c r="Z67" s="353">
        <v>34.767371807806839</v>
      </c>
      <c r="AA67" s="353">
        <v>34.511830838317245</v>
      </c>
      <c r="AB67" s="353">
        <v>34.25628986882765</v>
      </c>
      <c r="AC67" s="353">
        <v>34.000748899338063</v>
      </c>
      <c r="AD67" s="353">
        <v>33.745207929848469</v>
      </c>
      <c r="AE67" s="353">
        <v>33.489666960358882</v>
      </c>
      <c r="AF67" s="353">
        <v>33.234125990869295</v>
      </c>
      <c r="AG67" s="353">
        <v>32.978585021379693</v>
      </c>
      <c r="AH67" s="353">
        <v>32.723044051890099</v>
      </c>
      <c r="AI67" s="353">
        <v>32.467503082400512</v>
      </c>
      <c r="AJ67" s="353">
        <v>32.211962112910932</v>
      </c>
    </row>
    <row r="68" spans="1:74" x14ac:dyDescent="0.25">
      <c r="A68" s="325" t="str">
        <f t="shared" si="1"/>
        <v>Fixed Operation and Maintenance Expenses ($/kW-yr)_Utility-Scale Battery Storage - 6Hr_Advanced</v>
      </c>
      <c r="B68" s="640"/>
      <c r="D68" s="610"/>
      <c r="E68" s="351" t="s">
        <v>235</v>
      </c>
      <c r="F68" s="352" t="s">
        <v>233</v>
      </c>
      <c r="G68" s="353">
        <v>55.78385249610001</v>
      </c>
      <c r="H68" s="353">
        <v>62.698546200000003</v>
      </c>
      <c r="I68" s="353">
        <v>45.108371584961901</v>
      </c>
      <c r="J68" s="353">
        <v>42.579870594915207</v>
      </c>
      <c r="K68" s="353">
        <v>40.417691758136925</v>
      </c>
      <c r="L68" s="353">
        <v>38.697981726015747</v>
      </c>
      <c r="M68" s="353">
        <v>36.978947968079446</v>
      </c>
      <c r="N68" s="353">
        <v>35.258741663214543</v>
      </c>
      <c r="O68" s="353">
        <v>33.538194382048161</v>
      </c>
      <c r="P68" s="353">
        <v>31.833638144888422</v>
      </c>
      <c r="Q68" s="353">
        <v>31.277406289480638</v>
      </c>
      <c r="R68" s="353">
        <v>30.721174084650144</v>
      </c>
      <c r="S68" s="353">
        <v>30.1494112360798</v>
      </c>
      <c r="T68" s="353">
        <v>29.593193422181628</v>
      </c>
      <c r="U68" s="353">
        <v>29.053573206291578</v>
      </c>
      <c r="V68" s="353">
        <v>28.481733126853968</v>
      </c>
      <c r="W68" s="353">
        <v>27.925535632905884</v>
      </c>
      <c r="X68" s="353">
        <v>27.36933915962015</v>
      </c>
      <c r="Y68" s="353">
        <v>26.813143771595861</v>
      </c>
      <c r="Z68" s="353">
        <v>26.241112496189988</v>
      </c>
      <c r="AA68" s="353">
        <v>25.684930842149289</v>
      </c>
      <c r="AB68" s="353">
        <v>25.145696984739956</v>
      </c>
      <c r="AC68" s="353">
        <v>24.589533466924284</v>
      </c>
      <c r="AD68" s="353">
        <v>24.017405633142801</v>
      </c>
      <c r="AE68" s="353">
        <v>23.461257666661083</v>
      </c>
      <c r="AF68" s="353">
        <v>22.905113458541585</v>
      </c>
      <c r="AG68" s="353">
        <v>22.348973301644655</v>
      </c>
      <c r="AH68" s="353">
        <v>21.776569345229362</v>
      </c>
      <c r="AI68" s="353">
        <v>21.220441186453908</v>
      </c>
      <c r="AJ68" s="353">
        <v>20.681797625392353</v>
      </c>
    </row>
    <row r="69" spans="1:74" x14ac:dyDescent="0.25">
      <c r="A69" s="325" t="str">
        <f t="shared" si="1"/>
        <v>Fixed Operation and Maintenance Expenses ($/kW-yr)_Utility-Scale Battery Storage - 6Hr_Moderate</v>
      </c>
      <c r="B69" s="640"/>
      <c r="D69" s="610"/>
      <c r="E69" s="351" t="s">
        <v>235</v>
      </c>
      <c r="F69" s="352" t="s">
        <v>232</v>
      </c>
      <c r="G69" s="353">
        <v>55.78385249610001</v>
      </c>
      <c r="H69" s="353">
        <v>62.698546200000003</v>
      </c>
      <c r="I69" s="353">
        <v>60.215913556010563</v>
      </c>
      <c r="J69" s="353">
        <v>57.439452640292487</v>
      </c>
      <c r="K69" s="353">
        <v>50.252946469015541</v>
      </c>
      <c r="L69" s="353">
        <v>48.499280205869063</v>
      </c>
      <c r="M69" s="353">
        <v>46.744390008616136</v>
      </c>
      <c r="N69" s="353">
        <v>44.988127922895053</v>
      </c>
      <c r="O69" s="353">
        <v>43.230321145947087</v>
      </c>
      <c r="P69" s="353">
        <v>41.470766581497337</v>
      </c>
      <c r="Q69" s="353">
        <v>40.799445416652425</v>
      </c>
      <c r="R69" s="353">
        <v>40.128331970105585</v>
      </c>
      <c r="S69" s="353">
        <v>39.457434334324219</v>
      </c>
      <c r="T69" s="353">
        <v>38.786761027670956</v>
      </c>
      <c r="U69" s="353">
        <v>38.116321022794914</v>
      </c>
      <c r="V69" s="353">
        <v>37.446123777325049</v>
      </c>
      <c r="W69" s="353">
        <v>36.776179267085936</v>
      </c>
      <c r="X69" s="353">
        <v>36.106498022081404</v>
      </c>
      <c r="Y69" s="353">
        <v>35.437091165518929</v>
      </c>
      <c r="Z69" s="353">
        <v>34.767970456178674</v>
      </c>
      <c r="AA69" s="353">
        <v>34.099148334466612</v>
      </c>
      <c r="AB69" s="353">
        <v>33.430637972530874</v>
      </c>
      <c r="AC69" s="353">
        <v>32.762453328865917</v>
      </c>
      <c r="AD69" s="353">
        <v>32.094609207880239</v>
      </c>
      <c r="AE69" s="353">
        <v>31.427121324962446</v>
      </c>
      <c r="AF69" s="353">
        <v>30.760006377646711</v>
      </c>
      <c r="AG69" s="353">
        <v>30.093282123555571</v>
      </c>
      <c r="AH69" s="353">
        <v>29.426967465884918</v>
      </c>
      <c r="AI69" s="353">
        <v>28.761082547296837</v>
      </c>
      <c r="AJ69" s="353">
        <v>28.095648853201023</v>
      </c>
    </row>
    <row r="70" spans="1:74" x14ac:dyDescent="0.25">
      <c r="A70" s="325" t="str">
        <f t="shared" si="1"/>
        <v>Fixed Operation and Maintenance Expenses ($/kW-yr)_Utility-Scale Battery Storage - 6Hr_Conservative</v>
      </c>
      <c r="B70" s="640"/>
      <c r="D70" s="610"/>
      <c r="E70" s="351" t="s">
        <v>235</v>
      </c>
      <c r="F70" s="352" t="s">
        <v>194</v>
      </c>
      <c r="G70" s="353">
        <v>55.78385249610001</v>
      </c>
      <c r="H70" s="353">
        <v>62.698546200000003</v>
      </c>
      <c r="I70" s="353">
        <v>65.027233565942012</v>
      </c>
      <c r="J70" s="353">
        <v>65.483817364496957</v>
      </c>
      <c r="K70" s="353">
        <v>64.546670329430512</v>
      </c>
      <c r="L70" s="353">
        <v>62.049477067424043</v>
      </c>
      <c r="M70" s="353">
        <v>59.553304157628794</v>
      </c>
      <c r="N70" s="353">
        <v>57.058259343277896</v>
      </c>
      <c r="O70" s="353">
        <v>54.564466090425142</v>
      </c>
      <c r="P70" s="353">
        <v>52.072066564549907</v>
      </c>
      <c r="Q70" s="353">
        <v>51.715540447323932</v>
      </c>
      <c r="R70" s="353">
        <v>51.35901433009797</v>
      </c>
      <c r="S70" s="353">
        <v>51.002488212872009</v>
      </c>
      <c r="T70" s="353">
        <v>50.645962095646041</v>
      </c>
      <c r="U70" s="353">
        <v>50.289435978420073</v>
      </c>
      <c r="V70" s="353">
        <v>49.932909861194112</v>
      </c>
      <c r="W70" s="353">
        <v>49.576383743968158</v>
      </c>
      <c r="X70" s="353">
        <v>49.21985762674219</v>
      </c>
      <c r="Y70" s="353">
        <v>48.863331509516215</v>
      </c>
      <c r="Z70" s="353">
        <v>48.506805392290261</v>
      </c>
      <c r="AA70" s="353">
        <v>48.150279275064293</v>
      </c>
      <c r="AB70" s="353">
        <v>47.793753157838324</v>
      </c>
      <c r="AC70" s="353">
        <v>47.437227040612363</v>
      </c>
      <c r="AD70" s="353">
        <v>47.080700923386402</v>
      </c>
      <c r="AE70" s="353">
        <v>46.724174806160448</v>
      </c>
      <c r="AF70" s="353">
        <v>46.36764868893448</v>
      </c>
      <c r="AG70" s="353">
        <v>46.011122571708505</v>
      </c>
      <c r="AH70" s="353">
        <v>45.654596454482544</v>
      </c>
      <c r="AI70" s="353">
        <v>45.298070337256583</v>
      </c>
      <c r="AJ70" s="353">
        <v>44.941544220030636</v>
      </c>
    </row>
    <row r="71" spans="1:74" x14ac:dyDescent="0.25">
      <c r="A71" s="325" t="str">
        <f t="shared" si="1"/>
        <v>Fixed Operation and Maintenance Expenses ($/kW-yr)_Utility-Scale Battery Storage - 8Hr_Advanced</v>
      </c>
      <c r="B71" s="640"/>
      <c r="D71" s="610"/>
      <c r="E71" s="351" t="s">
        <v>234</v>
      </c>
      <c r="F71" s="352" t="s">
        <v>233</v>
      </c>
      <c r="G71" s="353">
        <v>71.886404992200013</v>
      </c>
      <c r="H71" s="353">
        <v>80.797092399999997</v>
      </c>
      <c r="I71" s="353">
        <v>58.131519889586343</v>
      </c>
      <c r="J71" s="353">
        <v>54.875523934614343</v>
      </c>
      <c r="K71" s="353">
        <v>52.091937654346943</v>
      </c>
      <c r="L71" s="353">
        <v>49.872571867389347</v>
      </c>
      <c r="M71" s="353">
        <v>47.654541603645157</v>
      </c>
      <c r="N71" s="353">
        <v>45.434195764832474</v>
      </c>
      <c r="O71" s="353">
        <v>43.213176557471883</v>
      </c>
      <c r="P71" s="353">
        <v>41.023736864685652</v>
      </c>
      <c r="Q71" s="353">
        <v>40.30828830618082</v>
      </c>
      <c r="R71" s="353">
        <v>39.592839057627259</v>
      </c>
      <c r="S71" s="353">
        <v>38.846719504487716</v>
      </c>
      <c r="T71" s="353">
        <v>38.131298675508056</v>
      </c>
      <c r="U71" s="353">
        <v>37.448655199150203</v>
      </c>
      <c r="V71" s="353">
        <v>36.702383128557919</v>
      </c>
      <c r="W71" s="353">
        <v>35.987002427925091</v>
      </c>
      <c r="X71" s="353">
        <v>35.271623742921854</v>
      </c>
      <c r="Y71" s="353">
        <v>34.556247201120122</v>
      </c>
      <c r="Z71" s="353">
        <v>33.80959755193674</v>
      </c>
      <c r="AA71" s="353">
        <v>33.094248132350096</v>
      </c>
      <c r="AB71" s="353">
        <v>32.41236764640535</v>
      </c>
      <c r="AC71" s="353">
        <v>31.697054042690532</v>
      </c>
      <c r="AD71" s="353">
        <v>30.95021370760643</v>
      </c>
      <c r="AE71" s="353">
        <v>30.234930815055748</v>
      </c>
      <c r="AF71" s="353">
        <v>29.519655344612996</v>
      </c>
      <c r="AG71" s="353">
        <v>28.804387874626123</v>
      </c>
      <c r="AH71" s="353">
        <v>28.057002245642821</v>
      </c>
      <c r="AI71" s="353">
        <v>27.341758469847026</v>
      </c>
      <c r="AJ71" s="353">
        <v>26.661043715927651</v>
      </c>
      <c r="AP71" s="258"/>
      <c r="AQ71" s="258"/>
      <c r="AR71" s="258"/>
      <c r="AS71" s="258"/>
      <c r="AT71" s="258"/>
      <c r="AU71" s="258"/>
      <c r="AV71" s="258"/>
      <c r="AW71" s="258"/>
      <c r="AX71" s="258"/>
      <c r="AY71" s="258"/>
      <c r="AZ71" s="258"/>
      <c r="BA71" s="258"/>
      <c r="BB71" s="258"/>
      <c r="BC71" s="258"/>
      <c r="BD71" s="258"/>
      <c r="BE71" s="258"/>
      <c r="BF71" s="258"/>
      <c r="BG71" s="258"/>
      <c r="BH71" s="258"/>
      <c r="BI71" s="258"/>
      <c r="BJ71" s="258"/>
      <c r="BK71" s="258"/>
      <c r="BL71" s="258"/>
      <c r="BM71" s="258"/>
      <c r="BN71" s="258"/>
      <c r="BO71" s="258"/>
      <c r="BP71" s="258"/>
      <c r="BQ71" s="258"/>
      <c r="BR71" s="258"/>
      <c r="BS71" s="258"/>
      <c r="BT71" s="258"/>
      <c r="BU71" s="258"/>
      <c r="BV71" s="258"/>
    </row>
    <row r="72" spans="1:74" x14ac:dyDescent="0.25">
      <c r="A72" s="325" t="str">
        <f t="shared" si="1"/>
        <v>Fixed Operation and Maintenance Expenses ($/kW-yr)_Utility-Scale Battery Storage - 8Hr_Moderate</v>
      </c>
      <c r="B72" s="640"/>
      <c r="D72" s="610"/>
      <c r="E72" s="351" t="s">
        <v>234</v>
      </c>
      <c r="F72" s="352" t="s">
        <v>232</v>
      </c>
      <c r="G72" s="353">
        <v>71.886404992200013</v>
      </c>
      <c r="H72" s="353">
        <v>80.797092399999997</v>
      </c>
      <c r="I72" s="353">
        <v>77.544268871389974</v>
      </c>
      <c r="J72" s="353">
        <v>73.909538590554575</v>
      </c>
      <c r="K72" s="353">
        <v>64.601464738981051</v>
      </c>
      <c r="L72" s="353">
        <v>62.255599408884954</v>
      </c>
      <c r="M72" s="353">
        <v>59.907371407200507</v>
      </c>
      <c r="N72" s="353">
        <v>57.556495124134656</v>
      </c>
      <c r="O72" s="353">
        <v>55.202636982768325</v>
      </c>
      <c r="P72" s="353">
        <v>52.845404927846324</v>
      </c>
      <c r="Q72" s="353">
        <v>51.966939793039892</v>
      </c>
      <c r="R72" s="353">
        <v>51.088875635801337</v>
      </c>
      <c r="S72" s="353">
        <v>50.21122807775825</v>
      </c>
      <c r="T72" s="353">
        <v>49.3340135626826</v>
      </c>
      <c r="U72" s="353">
        <v>48.457249411297013</v>
      </c>
      <c r="V72" s="353">
        <v>47.580953880524874</v>
      </c>
      <c r="W72" s="353">
        <v>46.705146227609816</v>
      </c>
      <c r="X72" s="353">
        <v>45.829846779578261</v>
      </c>
      <c r="Y72" s="353">
        <v>44.955077008571635</v>
      </c>
      <c r="Z72" s="353">
        <v>44.080859613635312</v>
      </c>
      <c r="AA72" s="353">
        <v>43.207218609619105</v>
      </c>
      <c r="AB72" s="353">
        <v>42.334179423921427</v>
      </c>
      <c r="AC72" s="353">
        <v>41.46176900189667</v>
      </c>
      <c r="AD72" s="353">
        <v>40.590015921844241</v>
      </c>
      <c r="AE72" s="353">
        <v>39.718950520611486</v>
      </c>
      <c r="AF72" s="353">
        <v>38.848605030970901</v>
      </c>
      <c r="AG72" s="353">
        <v>37.979013732080176</v>
      </c>
      <c r="AH72" s="353">
        <v>37.110213114501697</v>
      </c>
      <c r="AI72" s="353">
        <v>36.242242061452444</v>
      </c>
      <c r="AJ72" s="353">
        <v>35.375142048177509</v>
      </c>
      <c r="AP72" s="258"/>
      <c r="AQ72" s="258"/>
      <c r="AR72" s="258"/>
      <c r="AS72" s="258"/>
      <c r="AT72" s="258"/>
      <c r="AU72" s="258"/>
      <c r="AV72" s="258"/>
      <c r="AW72" s="258"/>
      <c r="AX72" s="258"/>
      <c r="AY72" s="258"/>
      <c r="AZ72" s="258"/>
      <c r="BA72" s="258"/>
      <c r="BB72" s="258"/>
      <c r="BC72" s="258"/>
      <c r="BD72" s="258"/>
      <c r="BE72" s="258"/>
      <c r="BF72" s="258"/>
      <c r="BG72" s="258"/>
      <c r="BH72" s="258"/>
      <c r="BI72" s="258"/>
      <c r="BJ72" s="258"/>
      <c r="BK72" s="258"/>
      <c r="BL72" s="258"/>
      <c r="BM72" s="258"/>
      <c r="BN72" s="258"/>
      <c r="BO72" s="258"/>
      <c r="BP72" s="258"/>
      <c r="BQ72" s="258"/>
      <c r="BR72" s="258"/>
      <c r="BS72" s="258"/>
      <c r="BT72" s="258"/>
      <c r="BU72" s="258"/>
      <c r="BV72" s="258"/>
    </row>
    <row r="73" spans="1:74" x14ac:dyDescent="0.25">
      <c r="A73" s="325" t="str">
        <f t="shared" si="1"/>
        <v>Fixed Operation and Maintenance Expenses ($/kW-yr)_Utility-Scale Battery Storage - 8Hr_Conservative</v>
      </c>
      <c r="B73" s="640"/>
      <c r="D73" s="610"/>
      <c r="E73" s="351" t="s">
        <v>234</v>
      </c>
      <c r="F73" s="352" t="s">
        <v>194</v>
      </c>
      <c r="G73" s="353">
        <v>71.886404992200013</v>
      </c>
      <c r="H73" s="353">
        <v>80.797092399999997</v>
      </c>
      <c r="I73" s="353">
        <v>83.802470687485254</v>
      </c>
      <c r="J73" s="353">
        <v>84.385442026169756</v>
      </c>
      <c r="K73" s="353">
        <v>83.172072341932392</v>
      </c>
      <c r="L73" s="353">
        <v>79.8974335854993</v>
      </c>
      <c r="M73" s="353">
        <v>76.624812901859102</v>
      </c>
      <c r="N73" s="353">
        <v>73.354423387710185</v>
      </c>
      <c r="O73" s="353">
        <v>70.086509236656809</v>
      </c>
      <c r="P73" s="353">
        <v>66.821351626397046</v>
      </c>
      <c r="Q73" s="353">
        <v>66.363840361434697</v>
      </c>
      <c r="R73" s="353">
        <v>65.906329096472362</v>
      </c>
      <c r="S73" s="353">
        <v>65.448817831510027</v>
      </c>
      <c r="T73" s="353">
        <v>64.991306566547692</v>
      </c>
      <c r="U73" s="353">
        <v>64.533795301585357</v>
      </c>
      <c r="V73" s="353">
        <v>64.076284036623008</v>
      </c>
      <c r="W73" s="353">
        <v>63.618772771660694</v>
      </c>
      <c r="X73" s="353">
        <v>63.161261506698352</v>
      </c>
      <c r="Y73" s="353">
        <v>62.703750241736003</v>
      </c>
      <c r="Z73" s="353">
        <v>62.246238976773668</v>
      </c>
      <c r="AA73" s="353">
        <v>61.78872771181134</v>
      </c>
      <c r="AB73" s="353">
        <v>61.331216446848998</v>
      </c>
      <c r="AC73" s="353">
        <v>60.873705181886663</v>
      </c>
      <c r="AD73" s="353">
        <v>60.416193916924328</v>
      </c>
      <c r="AE73" s="353">
        <v>59.958682651962</v>
      </c>
      <c r="AF73" s="353">
        <v>59.501171386999658</v>
      </c>
      <c r="AG73" s="353">
        <v>59.043660122037309</v>
      </c>
      <c r="AH73" s="353">
        <v>58.586148857074981</v>
      </c>
      <c r="AI73" s="353">
        <v>58.128637592112653</v>
      </c>
      <c r="AJ73" s="353">
        <v>57.671126327150347</v>
      </c>
      <c r="AP73" s="258"/>
      <c r="AQ73" s="258"/>
      <c r="AR73" s="258"/>
      <c r="AS73" s="258"/>
      <c r="AT73" s="258"/>
      <c r="AU73" s="258"/>
      <c r="AV73" s="258"/>
      <c r="AW73" s="258"/>
      <c r="AX73" s="258"/>
      <c r="AY73" s="258"/>
      <c r="AZ73" s="258"/>
      <c r="BA73" s="258"/>
      <c r="BB73" s="258"/>
      <c r="BC73" s="258"/>
      <c r="BD73" s="258"/>
      <c r="BE73" s="258"/>
      <c r="BF73" s="258"/>
      <c r="BG73" s="258"/>
      <c r="BH73" s="258"/>
      <c r="BI73" s="258"/>
      <c r="BJ73" s="258"/>
      <c r="BK73" s="258"/>
      <c r="BL73" s="258"/>
      <c r="BM73" s="258"/>
      <c r="BN73" s="258"/>
      <c r="BO73" s="258"/>
      <c r="BP73" s="258"/>
      <c r="BQ73" s="258"/>
      <c r="BR73" s="258"/>
      <c r="BS73" s="258"/>
      <c r="BT73" s="258"/>
      <c r="BU73" s="258"/>
      <c r="BV73" s="258"/>
    </row>
    <row r="74" spans="1:74" x14ac:dyDescent="0.25">
      <c r="A74" s="325" t="str">
        <f t="shared" si="1"/>
        <v>Fixed Operation and Maintenance Expenses ($/kW-yr)_Utility-Scale Battery Storage - 10Hr_Advanced</v>
      </c>
      <c r="B74" s="640"/>
      <c r="D74" s="610"/>
      <c r="E74" s="351" t="s">
        <v>126</v>
      </c>
      <c r="F74" s="352" t="s">
        <v>233</v>
      </c>
      <c r="G74" s="353">
        <v>87.988957488300002</v>
      </c>
      <c r="H74" s="353">
        <v>98.895638599999998</v>
      </c>
      <c r="I74" s="353">
        <v>71.154668194210799</v>
      </c>
      <c r="J74" s="353">
        <v>67.171177274313479</v>
      </c>
      <c r="K74" s="353">
        <v>63.766183550556974</v>
      </c>
      <c r="L74" s="353">
        <v>61.047162008762939</v>
      </c>
      <c r="M74" s="353">
        <v>58.330135239210861</v>
      </c>
      <c r="N74" s="353">
        <v>55.609649866450404</v>
      </c>
      <c r="O74" s="353">
        <v>52.888158732895604</v>
      </c>
      <c r="P74" s="353">
        <v>50.213835584482887</v>
      </c>
      <c r="Q74" s="353">
        <v>49.339170322880996</v>
      </c>
      <c r="R74" s="353">
        <v>48.464504030604367</v>
      </c>
      <c r="S74" s="353">
        <v>47.544027772895632</v>
      </c>
      <c r="T74" s="353">
        <v>46.669403928834484</v>
      </c>
      <c r="U74" s="353">
        <v>45.843737192008824</v>
      </c>
      <c r="V74" s="353">
        <v>44.923033130261878</v>
      </c>
      <c r="W74" s="353">
        <v>44.048469222944298</v>
      </c>
      <c r="X74" s="353">
        <v>43.173908326223554</v>
      </c>
      <c r="Y74" s="353">
        <v>42.299350630644376</v>
      </c>
      <c r="Z74" s="353">
        <v>41.378082607683496</v>
      </c>
      <c r="AA74" s="353">
        <v>40.503565422550906</v>
      </c>
      <c r="AB74" s="353">
        <v>39.679038308070744</v>
      </c>
      <c r="AC74" s="353">
        <v>38.804574618456776</v>
      </c>
      <c r="AD74" s="353">
        <v>37.88302178207006</v>
      </c>
      <c r="AE74" s="353">
        <v>37.008603963450412</v>
      </c>
      <c r="AF74" s="353">
        <v>36.134197230684407</v>
      </c>
      <c r="AG74" s="353">
        <v>35.259802447607591</v>
      </c>
      <c r="AH74" s="353">
        <v>34.337435146056286</v>
      </c>
      <c r="AI74" s="353">
        <v>33.463075753240147</v>
      </c>
      <c r="AJ74" s="353">
        <v>32.640289806462953</v>
      </c>
      <c r="AP74" s="258"/>
      <c r="AQ74" s="258"/>
      <c r="AR74" s="258"/>
      <c r="AS74" s="258"/>
      <c r="AT74" s="258"/>
      <c r="AU74" s="258"/>
      <c r="AV74" s="258"/>
      <c r="AW74" s="258"/>
      <c r="AX74" s="258"/>
      <c r="AY74" s="258"/>
      <c r="AZ74" s="258"/>
      <c r="BA74" s="258"/>
      <c r="BB74" s="258"/>
      <c r="BC74" s="258"/>
      <c r="BD74" s="258"/>
      <c r="BE74" s="258"/>
      <c r="BF74" s="258"/>
      <c r="BG74" s="258"/>
      <c r="BH74" s="258"/>
      <c r="BI74" s="258"/>
      <c r="BJ74" s="258"/>
      <c r="BK74" s="258"/>
      <c r="BL74" s="258"/>
      <c r="BM74" s="258"/>
      <c r="BN74" s="258"/>
      <c r="BO74" s="258"/>
      <c r="BP74" s="258"/>
      <c r="BQ74" s="258"/>
      <c r="BR74" s="258"/>
      <c r="BS74" s="258"/>
      <c r="BT74" s="258"/>
      <c r="BU74" s="258"/>
      <c r="BV74" s="258"/>
    </row>
    <row r="75" spans="1:74" x14ac:dyDescent="0.25">
      <c r="A75" s="325" t="str">
        <f t="shared" si="1"/>
        <v>Fixed Operation and Maintenance Expenses ($/kW-yr)_Utility-Scale Battery Storage - 10Hr_Moderate</v>
      </c>
      <c r="B75" s="640"/>
      <c r="D75" s="610"/>
      <c r="E75" s="351" t="s">
        <v>126</v>
      </c>
      <c r="F75" s="352" t="s">
        <v>232</v>
      </c>
      <c r="G75" s="353">
        <v>87.988957488300002</v>
      </c>
      <c r="H75" s="353">
        <v>98.895638599999998</v>
      </c>
      <c r="I75" s="353">
        <v>94.872624186769372</v>
      </c>
      <c r="J75" s="353">
        <v>90.379624540816678</v>
      </c>
      <c r="K75" s="353">
        <v>78.94998300894656</v>
      </c>
      <c r="L75" s="353">
        <v>76.011918611900839</v>
      </c>
      <c r="M75" s="353">
        <v>73.070352805784893</v>
      </c>
      <c r="N75" s="353">
        <v>70.124862325374281</v>
      </c>
      <c r="O75" s="353">
        <v>67.174952819589564</v>
      </c>
      <c r="P75" s="353">
        <v>64.220043274195319</v>
      </c>
      <c r="Q75" s="353">
        <v>63.134434169427372</v>
      </c>
      <c r="R75" s="353">
        <v>62.049419301497089</v>
      </c>
      <c r="S75" s="353">
        <v>60.965021821192273</v>
      </c>
      <c r="T75" s="353">
        <v>59.881266097694244</v>
      </c>
      <c r="U75" s="353">
        <v>58.798177799799113</v>
      </c>
      <c r="V75" s="353">
        <v>57.715783983724691</v>
      </c>
      <c r="W75" s="353">
        <v>56.634113188133703</v>
      </c>
      <c r="X75" s="353">
        <v>55.553195537075112</v>
      </c>
      <c r="Y75" s="353">
        <v>54.473062851624334</v>
      </c>
      <c r="Z75" s="353">
        <v>53.393748771091943</v>
      </c>
      <c r="AA75" s="353">
        <v>52.31528888477159</v>
      </c>
      <c r="AB75" s="353">
        <v>51.237720875311972</v>
      </c>
      <c r="AC75" s="353">
        <v>50.161084674927416</v>
      </c>
      <c r="AD75" s="353">
        <v>49.085422635808243</v>
      </c>
      <c r="AE75" s="353">
        <v>48.010779716260522</v>
      </c>
      <c r="AF75" s="353">
        <v>46.937203684295099</v>
      </c>
      <c r="AG75" s="353">
        <v>45.864745340604792</v>
      </c>
      <c r="AH75" s="353">
        <v>44.793458763118487</v>
      </c>
      <c r="AI75" s="353">
        <v>43.723401575608051</v>
      </c>
      <c r="AJ75" s="353">
        <v>42.654635243153997</v>
      </c>
      <c r="AP75" s="258"/>
      <c r="AQ75" s="258"/>
      <c r="AR75" s="258"/>
      <c r="AS75" s="258"/>
      <c r="AT75" s="258"/>
      <c r="AU75" s="258"/>
      <c r="AV75" s="258"/>
      <c r="AW75" s="258"/>
      <c r="AX75" s="258"/>
      <c r="AY75" s="258"/>
      <c r="AZ75" s="258"/>
      <c r="BA75" s="258"/>
      <c r="BB75" s="258"/>
      <c r="BC75" s="258"/>
      <c r="BD75" s="258"/>
      <c r="BE75" s="258"/>
      <c r="BF75" s="258"/>
      <c r="BG75" s="258"/>
      <c r="BH75" s="258"/>
      <c r="BI75" s="258"/>
      <c r="BJ75" s="258"/>
      <c r="BK75" s="258"/>
      <c r="BL75" s="258"/>
      <c r="BM75" s="258"/>
      <c r="BN75" s="258"/>
      <c r="BO75" s="258"/>
      <c r="BP75" s="258"/>
      <c r="BQ75" s="258"/>
      <c r="BR75" s="258"/>
      <c r="BS75" s="258"/>
      <c r="BT75" s="258"/>
      <c r="BU75" s="258"/>
      <c r="BV75" s="258"/>
    </row>
    <row r="76" spans="1:74" x14ac:dyDescent="0.25">
      <c r="A76" s="325" t="str">
        <f t="shared" si="1"/>
        <v>Fixed Operation and Maintenance Expenses ($/kW-yr)_Utility-Scale Battery Storage - 10Hr_Conservative</v>
      </c>
      <c r="B76" s="640"/>
      <c r="D76" s="610"/>
      <c r="E76" s="351" t="s">
        <v>126</v>
      </c>
      <c r="F76" s="352" t="s">
        <v>194</v>
      </c>
      <c r="G76" s="353">
        <v>87.988957488300002</v>
      </c>
      <c r="H76" s="353">
        <v>98.895638599999998</v>
      </c>
      <c r="I76" s="353">
        <v>102.5777078090285</v>
      </c>
      <c r="J76" s="353">
        <v>103.28706668784255</v>
      </c>
      <c r="K76" s="353">
        <v>101.79747435443426</v>
      </c>
      <c r="L76" s="353">
        <v>97.74539010357455</v>
      </c>
      <c r="M76" s="353">
        <v>93.696321646089402</v>
      </c>
      <c r="N76" s="353">
        <v>89.650587432142473</v>
      </c>
      <c r="O76" s="353">
        <v>85.60855238288849</v>
      </c>
      <c r="P76" s="353">
        <v>81.570636688244178</v>
      </c>
      <c r="Q76" s="353">
        <v>81.012140275545477</v>
      </c>
      <c r="R76" s="353">
        <v>80.453643862846761</v>
      </c>
      <c r="S76" s="353">
        <v>79.895147450148059</v>
      </c>
      <c r="T76" s="353">
        <v>79.336651037449343</v>
      </c>
      <c r="U76" s="353">
        <v>78.778154624750641</v>
      </c>
      <c r="V76" s="353">
        <v>78.219658212051911</v>
      </c>
      <c r="W76" s="353">
        <v>77.661161799353238</v>
      </c>
      <c r="X76" s="353">
        <v>77.102665386654522</v>
      </c>
      <c r="Y76" s="353">
        <v>76.544168973955792</v>
      </c>
      <c r="Z76" s="353">
        <v>75.98567256125709</v>
      </c>
      <c r="AA76" s="353">
        <v>75.427176148558388</v>
      </c>
      <c r="AB76" s="353">
        <v>74.868679735859686</v>
      </c>
      <c r="AC76" s="353">
        <v>74.310183323160956</v>
      </c>
      <c r="AD76" s="353">
        <v>73.751686910462254</v>
      </c>
      <c r="AE76" s="353">
        <v>73.193190497763553</v>
      </c>
      <c r="AF76" s="353">
        <v>72.634694085064851</v>
      </c>
      <c r="AG76" s="353">
        <v>72.076197672366121</v>
      </c>
      <c r="AH76" s="353">
        <v>71.517701259667433</v>
      </c>
      <c r="AI76" s="353">
        <v>70.959204846968717</v>
      </c>
      <c r="AJ76" s="353">
        <v>70.400708434270044</v>
      </c>
      <c r="AP76" s="258"/>
      <c r="AQ76" s="258"/>
      <c r="AR76" s="258"/>
      <c r="AS76" s="258"/>
      <c r="AT76" s="258"/>
      <c r="AU76" s="258"/>
      <c r="AV76" s="258"/>
      <c r="AW76" s="258"/>
      <c r="AX76" s="258"/>
      <c r="AY76" s="258"/>
      <c r="AZ76" s="258"/>
      <c r="BA76" s="258"/>
      <c r="BB76" s="258"/>
      <c r="BC76" s="258"/>
      <c r="BD76" s="258"/>
      <c r="BE76" s="258"/>
      <c r="BF76" s="258"/>
      <c r="BG76" s="258"/>
      <c r="BH76" s="258"/>
      <c r="BI76" s="258"/>
      <c r="BJ76" s="258"/>
      <c r="BK76" s="258"/>
      <c r="BL76" s="258"/>
      <c r="BM76" s="258"/>
      <c r="BN76" s="258"/>
      <c r="BO76" s="258"/>
      <c r="BP76" s="258"/>
      <c r="BQ76" s="258"/>
      <c r="BR76" s="258"/>
      <c r="BS76" s="258"/>
      <c r="BT76" s="258"/>
      <c r="BU76" s="258"/>
      <c r="BV76" s="258"/>
    </row>
    <row r="77" spans="1:74" x14ac:dyDescent="0.25">
      <c r="B77" s="640"/>
      <c r="D77" s="355"/>
      <c r="E77" s="354"/>
      <c r="F77" s="354"/>
    </row>
    <row r="78" spans="1:74" x14ac:dyDescent="0.25">
      <c r="B78" s="640"/>
      <c r="D78" s="325"/>
      <c r="E78" s="356"/>
      <c r="F78" s="356"/>
      <c r="G78" s="31">
        <v>2021</v>
      </c>
      <c r="H78" s="31">
        <v>2022</v>
      </c>
      <c r="I78" s="31">
        <v>2023</v>
      </c>
      <c r="J78" s="31">
        <v>2024</v>
      </c>
      <c r="K78" s="31">
        <v>2025</v>
      </c>
      <c r="L78" s="31">
        <v>2026</v>
      </c>
      <c r="M78" s="31">
        <v>2027</v>
      </c>
      <c r="N78" s="31">
        <v>2028</v>
      </c>
      <c r="O78" s="31">
        <v>2029</v>
      </c>
      <c r="P78" s="31">
        <v>2030</v>
      </c>
      <c r="Q78" s="31">
        <v>2031</v>
      </c>
      <c r="R78" s="31">
        <v>2032</v>
      </c>
      <c r="S78" s="31">
        <v>2033</v>
      </c>
      <c r="T78" s="31">
        <v>2034</v>
      </c>
      <c r="U78" s="31">
        <v>2035</v>
      </c>
      <c r="V78" s="31">
        <v>2036</v>
      </c>
      <c r="W78" s="31">
        <v>2037</v>
      </c>
      <c r="X78" s="31">
        <v>2038</v>
      </c>
      <c r="Y78" s="31">
        <v>2039</v>
      </c>
      <c r="Z78" s="31">
        <v>2040</v>
      </c>
      <c r="AA78" s="31">
        <v>2041</v>
      </c>
      <c r="AB78" s="31">
        <v>2042</v>
      </c>
      <c r="AC78" s="31">
        <v>2043</v>
      </c>
      <c r="AD78" s="31">
        <v>2044</v>
      </c>
      <c r="AE78" s="31">
        <v>2045</v>
      </c>
      <c r="AF78" s="31">
        <v>2046</v>
      </c>
      <c r="AG78" s="31">
        <v>2047</v>
      </c>
      <c r="AH78" s="31">
        <v>2048</v>
      </c>
      <c r="AI78" s="31">
        <v>2049</v>
      </c>
      <c r="AJ78" s="31">
        <v>2050</v>
      </c>
    </row>
    <row r="79" spans="1:74" x14ac:dyDescent="0.25">
      <c r="B79" s="640"/>
      <c r="D79" s="608" t="s">
        <v>239</v>
      </c>
      <c r="E79" s="351" t="s">
        <v>236</v>
      </c>
      <c r="F79" s="352" t="s">
        <v>233</v>
      </c>
      <c r="G79" s="342">
        <v>0</v>
      </c>
      <c r="H79" s="342">
        <v>0</v>
      </c>
      <c r="I79" s="342">
        <v>0</v>
      </c>
      <c r="J79" s="342">
        <v>0</v>
      </c>
      <c r="K79" s="342">
        <v>0</v>
      </c>
      <c r="L79" s="342">
        <v>0</v>
      </c>
      <c r="M79" s="342">
        <v>0</v>
      </c>
      <c r="N79" s="342">
        <v>0</v>
      </c>
      <c r="O79" s="342">
        <v>0</v>
      </c>
      <c r="P79" s="342">
        <v>0</v>
      </c>
      <c r="Q79" s="342">
        <v>0</v>
      </c>
      <c r="R79" s="342">
        <v>0</v>
      </c>
      <c r="S79" s="342">
        <v>0</v>
      </c>
      <c r="T79" s="342">
        <v>0</v>
      </c>
      <c r="U79" s="342">
        <v>0</v>
      </c>
      <c r="V79" s="342">
        <v>0</v>
      </c>
      <c r="W79" s="342">
        <v>0</v>
      </c>
      <c r="X79" s="342">
        <v>0</v>
      </c>
      <c r="Y79" s="342">
        <v>0</v>
      </c>
      <c r="Z79" s="342">
        <v>0</v>
      </c>
      <c r="AA79" s="342">
        <v>0</v>
      </c>
      <c r="AB79" s="342">
        <v>0</v>
      </c>
      <c r="AC79" s="342">
        <v>0</v>
      </c>
      <c r="AD79" s="342">
        <v>0</v>
      </c>
      <c r="AE79" s="342">
        <v>0</v>
      </c>
      <c r="AF79" s="342">
        <v>0</v>
      </c>
      <c r="AG79" s="342">
        <v>0</v>
      </c>
      <c r="AH79" s="342">
        <v>0</v>
      </c>
      <c r="AI79" s="342">
        <v>0</v>
      </c>
      <c r="AJ79" s="342">
        <v>0</v>
      </c>
      <c r="AO79" s="31"/>
    </row>
    <row r="80" spans="1:74" x14ac:dyDescent="0.25">
      <c r="B80" s="640"/>
      <c r="D80" s="609"/>
      <c r="E80" s="354" t="s">
        <v>236</v>
      </c>
      <c r="F80" s="352" t="s">
        <v>232</v>
      </c>
      <c r="G80" s="342">
        <v>0</v>
      </c>
      <c r="H80" s="342">
        <v>0</v>
      </c>
      <c r="I80" s="342">
        <v>0</v>
      </c>
      <c r="J80" s="342">
        <v>0</v>
      </c>
      <c r="K80" s="342">
        <v>0</v>
      </c>
      <c r="L80" s="342">
        <v>0</v>
      </c>
      <c r="M80" s="342">
        <v>0</v>
      </c>
      <c r="N80" s="342">
        <v>0</v>
      </c>
      <c r="O80" s="342">
        <v>0</v>
      </c>
      <c r="P80" s="342">
        <v>0</v>
      </c>
      <c r="Q80" s="342">
        <v>0</v>
      </c>
      <c r="R80" s="342">
        <v>0</v>
      </c>
      <c r="S80" s="342">
        <v>0</v>
      </c>
      <c r="T80" s="342">
        <v>0</v>
      </c>
      <c r="U80" s="342">
        <v>0</v>
      </c>
      <c r="V80" s="342">
        <v>0</v>
      </c>
      <c r="W80" s="342">
        <v>0</v>
      </c>
      <c r="X80" s="342">
        <v>0</v>
      </c>
      <c r="Y80" s="342">
        <v>0</v>
      </c>
      <c r="Z80" s="342">
        <v>0</v>
      </c>
      <c r="AA80" s="342">
        <v>0</v>
      </c>
      <c r="AB80" s="342">
        <v>0</v>
      </c>
      <c r="AC80" s="342">
        <v>0</v>
      </c>
      <c r="AD80" s="342">
        <v>0</v>
      </c>
      <c r="AE80" s="342">
        <v>0</v>
      </c>
      <c r="AF80" s="342">
        <v>0</v>
      </c>
      <c r="AG80" s="342">
        <v>0</v>
      </c>
      <c r="AH80" s="342">
        <v>0</v>
      </c>
      <c r="AI80" s="342">
        <v>0</v>
      </c>
      <c r="AJ80" s="342">
        <v>0</v>
      </c>
      <c r="AO80" s="31"/>
    </row>
    <row r="81" spans="2:41" x14ac:dyDescent="0.25">
      <c r="B81" s="640"/>
      <c r="D81" s="609"/>
      <c r="E81" s="404" t="s">
        <v>236</v>
      </c>
      <c r="F81" s="352" t="s">
        <v>194</v>
      </c>
      <c r="G81" s="342">
        <v>0</v>
      </c>
      <c r="H81" s="342">
        <v>0</v>
      </c>
      <c r="I81" s="342">
        <v>0</v>
      </c>
      <c r="J81" s="342">
        <v>0</v>
      </c>
      <c r="K81" s="342">
        <v>0</v>
      </c>
      <c r="L81" s="342">
        <v>0</v>
      </c>
      <c r="M81" s="342">
        <v>0</v>
      </c>
      <c r="N81" s="342">
        <v>0</v>
      </c>
      <c r="O81" s="342">
        <v>0</v>
      </c>
      <c r="P81" s="342">
        <v>0</v>
      </c>
      <c r="Q81" s="342">
        <v>0</v>
      </c>
      <c r="R81" s="342">
        <v>0</v>
      </c>
      <c r="S81" s="342">
        <v>0</v>
      </c>
      <c r="T81" s="342">
        <v>0</v>
      </c>
      <c r="U81" s="342">
        <v>0</v>
      </c>
      <c r="V81" s="342">
        <v>0</v>
      </c>
      <c r="W81" s="342">
        <v>0</v>
      </c>
      <c r="X81" s="342">
        <v>0</v>
      </c>
      <c r="Y81" s="342">
        <v>0</v>
      </c>
      <c r="Z81" s="342">
        <v>0</v>
      </c>
      <c r="AA81" s="342">
        <v>0</v>
      </c>
      <c r="AB81" s="342">
        <v>0</v>
      </c>
      <c r="AC81" s="342">
        <v>0</v>
      </c>
      <c r="AD81" s="342">
        <v>0</v>
      </c>
      <c r="AE81" s="342">
        <v>0</v>
      </c>
      <c r="AF81" s="342">
        <v>0</v>
      </c>
      <c r="AG81" s="342">
        <v>0</v>
      </c>
      <c r="AH81" s="342">
        <v>0</v>
      </c>
      <c r="AI81" s="342">
        <v>0</v>
      </c>
      <c r="AJ81" s="342">
        <v>0</v>
      </c>
      <c r="AO81" s="31"/>
    </row>
    <row r="82" spans="2:41" x14ac:dyDescent="0.25">
      <c r="B82" s="641"/>
      <c r="D82" s="610"/>
      <c r="E82" s="351" t="s">
        <v>125</v>
      </c>
      <c r="F82" s="352" t="s">
        <v>233</v>
      </c>
      <c r="G82" s="342">
        <v>0</v>
      </c>
      <c r="H82" s="342">
        <v>0</v>
      </c>
      <c r="I82" s="342">
        <v>0</v>
      </c>
      <c r="J82" s="342">
        <v>0</v>
      </c>
      <c r="K82" s="342">
        <v>0</v>
      </c>
      <c r="L82" s="342">
        <v>0</v>
      </c>
      <c r="M82" s="342">
        <v>0</v>
      </c>
      <c r="N82" s="342">
        <v>0</v>
      </c>
      <c r="O82" s="342">
        <v>0</v>
      </c>
      <c r="P82" s="342">
        <v>0</v>
      </c>
      <c r="Q82" s="342">
        <v>0</v>
      </c>
      <c r="R82" s="342">
        <v>0</v>
      </c>
      <c r="S82" s="342">
        <v>0</v>
      </c>
      <c r="T82" s="342">
        <v>0</v>
      </c>
      <c r="U82" s="342">
        <v>0</v>
      </c>
      <c r="V82" s="342">
        <v>0</v>
      </c>
      <c r="W82" s="342">
        <v>0</v>
      </c>
      <c r="X82" s="342">
        <v>0</v>
      </c>
      <c r="Y82" s="342">
        <v>0</v>
      </c>
      <c r="Z82" s="342">
        <v>0</v>
      </c>
      <c r="AA82" s="342">
        <v>0</v>
      </c>
      <c r="AB82" s="342">
        <v>0</v>
      </c>
      <c r="AC82" s="342">
        <v>0</v>
      </c>
      <c r="AD82" s="342">
        <v>0</v>
      </c>
      <c r="AE82" s="342">
        <v>0</v>
      </c>
      <c r="AF82" s="342">
        <v>0</v>
      </c>
      <c r="AG82" s="342">
        <v>0</v>
      </c>
      <c r="AH82" s="342">
        <v>0</v>
      </c>
      <c r="AI82" s="342">
        <v>0</v>
      </c>
      <c r="AJ82" s="342">
        <v>0</v>
      </c>
    </row>
    <row r="83" spans="2:41" x14ac:dyDescent="0.25">
      <c r="B83" s="641"/>
      <c r="D83" s="610"/>
      <c r="E83" s="351" t="s">
        <v>125</v>
      </c>
      <c r="F83" s="352" t="s">
        <v>232</v>
      </c>
      <c r="G83" s="342">
        <v>0</v>
      </c>
      <c r="H83" s="342">
        <v>0</v>
      </c>
      <c r="I83" s="342">
        <v>0</v>
      </c>
      <c r="J83" s="342">
        <v>0</v>
      </c>
      <c r="K83" s="342">
        <v>0</v>
      </c>
      <c r="L83" s="342">
        <v>0</v>
      </c>
      <c r="M83" s="342">
        <v>0</v>
      </c>
      <c r="N83" s="342">
        <v>0</v>
      </c>
      <c r="O83" s="342">
        <v>0</v>
      </c>
      <c r="P83" s="342">
        <v>0</v>
      </c>
      <c r="Q83" s="342">
        <v>0</v>
      </c>
      <c r="R83" s="342">
        <v>0</v>
      </c>
      <c r="S83" s="342">
        <v>0</v>
      </c>
      <c r="T83" s="342">
        <v>0</v>
      </c>
      <c r="U83" s="342">
        <v>0</v>
      </c>
      <c r="V83" s="342">
        <v>0</v>
      </c>
      <c r="W83" s="342">
        <v>0</v>
      </c>
      <c r="X83" s="342">
        <v>0</v>
      </c>
      <c r="Y83" s="342">
        <v>0</v>
      </c>
      <c r="Z83" s="342">
        <v>0</v>
      </c>
      <c r="AA83" s="342">
        <v>0</v>
      </c>
      <c r="AB83" s="342">
        <v>0</v>
      </c>
      <c r="AC83" s="342">
        <v>0</v>
      </c>
      <c r="AD83" s="342">
        <v>0</v>
      </c>
      <c r="AE83" s="342">
        <v>0</v>
      </c>
      <c r="AF83" s="342">
        <v>0</v>
      </c>
      <c r="AG83" s="342">
        <v>0</v>
      </c>
      <c r="AH83" s="342">
        <v>0</v>
      </c>
      <c r="AI83" s="342">
        <v>0</v>
      </c>
      <c r="AJ83" s="342">
        <v>0</v>
      </c>
    </row>
    <row r="84" spans="2:41" x14ac:dyDescent="0.25">
      <c r="B84" s="641"/>
      <c r="D84" s="610"/>
      <c r="E84" s="351" t="s">
        <v>125</v>
      </c>
      <c r="F84" s="352" t="s">
        <v>194</v>
      </c>
      <c r="G84" s="342">
        <v>0</v>
      </c>
      <c r="H84" s="342">
        <v>0</v>
      </c>
      <c r="I84" s="342">
        <v>0</v>
      </c>
      <c r="J84" s="342">
        <v>0</v>
      </c>
      <c r="K84" s="342">
        <v>0</v>
      </c>
      <c r="L84" s="342">
        <v>0</v>
      </c>
      <c r="M84" s="342">
        <v>0</v>
      </c>
      <c r="N84" s="342">
        <v>0</v>
      </c>
      <c r="O84" s="342">
        <v>0</v>
      </c>
      <c r="P84" s="342">
        <v>0</v>
      </c>
      <c r="Q84" s="342">
        <v>0</v>
      </c>
      <c r="R84" s="342">
        <v>0</v>
      </c>
      <c r="S84" s="342">
        <v>0</v>
      </c>
      <c r="T84" s="342">
        <v>0</v>
      </c>
      <c r="U84" s="342">
        <v>0</v>
      </c>
      <c r="V84" s="342">
        <v>0</v>
      </c>
      <c r="W84" s="342">
        <v>0</v>
      </c>
      <c r="X84" s="342">
        <v>0</v>
      </c>
      <c r="Y84" s="342">
        <v>0</v>
      </c>
      <c r="Z84" s="342">
        <v>0</v>
      </c>
      <c r="AA84" s="342">
        <v>0</v>
      </c>
      <c r="AB84" s="342">
        <v>0</v>
      </c>
      <c r="AC84" s="342">
        <v>0</v>
      </c>
      <c r="AD84" s="342">
        <v>0</v>
      </c>
      <c r="AE84" s="342">
        <v>0</v>
      </c>
      <c r="AF84" s="342">
        <v>0</v>
      </c>
      <c r="AG84" s="342">
        <v>0</v>
      </c>
      <c r="AH84" s="342">
        <v>0</v>
      </c>
      <c r="AI84" s="342">
        <v>0</v>
      </c>
      <c r="AJ84" s="342">
        <v>0</v>
      </c>
      <c r="AK84" s="258"/>
      <c r="AL84" s="258"/>
    </row>
    <row r="85" spans="2:41" x14ac:dyDescent="0.25">
      <c r="B85" s="641"/>
      <c r="D85" s="610"/>
      <c r="E85" s="351" t="s">
        <v>235</v>
      </c>
      <c r="F85" s="352" t="s">
        <v>233</v>
      </c>
      <c r="G85" s="342">
        <v>0</v>
      </c>
      <c r="H85" s="342">
        <v>0</v>
      </c>
      <c r="I85" s="342">
        <v>0</v>
      </c>
      <c r="J85" s="342">
        <v>0</v>
      </c>
      <c r="K85" s="342">
        <v>0</v>
      </c>
      <c r="L85" s="342">
        <v>0</v>
      </c>
      <c r="M85" s="342">
        <v>0</v>
      </c>
      <c r="N85" s="342">
        <v>0</v>
      </c>
      <c r="O85" s="342">
        <v>0</v>
      </c>
      <c r="P85" s="342">
        <v>0</v>
      </c>
      <c r="Q85" s="342">
        <v>0</v>
      </c>
      <c r="R85" s="342">
        <v>0</v>
      </c>
      <c r="S85" s="342">
        <v>0</v>
      </c>
      <c r="T85" s="342">
        <v>0</v>
      </c>
      <c r="U85" s="342">
        <v>0</v>
      </c>
      <c r="V85" s="342">
        <v>0</v>
      </c>
      <c r="W85" s="342">
        <v>0</v>
      </c>
      <c r="X85" s="342">
        <v>0</v>
      </c>
      <c r="Y85" s="342">
        <v>0</v>
      </c>
      <c r="Z85" s="342">
        <v>0</v>
      </c>
      <c r="AA85" s="342">
        <v>0</v>
      </c>
      <c r="AB85" s="342">
        <v>0</v>
      </c>
      <c r="AC85" s="342">
        <v>0</v>
      </c>
      <c r="AD85" s="342">
        <v>0</v>
      </c>
      <c r="AE85" s="342">
        <v>0</v>
      </c>
      <c r="AF85" s="342">
        <v>0</v>
      </c>
      <c r="AG85" s="342">
        <v>0</v>
      </c>
      <c r="AH85" s="342">
        <v>0</v>
      </c>
      <c r="AI85" s="342">
        <v>0</v>
      </c>
      <c r="AJ85" s="342">
        <v>0</v>
      </c>
      <c r="AK85" s="258"/>
      <c r="AL85" s="258"/>
    </row>
    <row r="86" spans="2:41" x14ac:dyDescent="0.25">
      <c r="B86" s="641"/>
      <c r="D86" s="610"/>
      <c r="E86" s="351" t="s">
        <v>235</v>
      </c>
      <c r="F86" s="352" t="s">
        <v>232</v>
      </c>
      <c r="G86" s="342">
        <v>0</v>
      </c>
      <c r="H86" s="342">
        <v>0</v>
      </c>
      <c r="I86" s="342">
        <v>0</v>
      </c>
      <c r="J86" s="342">
        <v>0</v>
      </c>
      <c r="K86" s="342">
        <v>0</v>
      </c>
      <c r="L86" s="342">
        <v>0</v>
      </c>
      <c r="M86" s="342">
        <v>0</v>
      </c>
      <c r="N86" s="342">
        <v>0</v>
      </c>
      <c r="O86" s="342">
        <v>0</v>
      </c>
      <c r="P86" s="342">
        <v>0</v>
      </c>
      <c r="Q86" s="342">
        <v>0</v>
      </c>
      <c r="R86" s="342">
        <v>0</v>
      </c>
      <c r="S86" s="342">
        <v>0</v>
      </c>
      <c r="T86" s="342">
        <v>0</v>
      </c>
      <c r="U86" s="342">
        <v>0</v>
      </c>
      <c r="V86" s="342">
        <v>0</v>
      </c>
      <c r="W86" s="342">
        <v>0</v>
      </c>
      <c r="X86" s="342">
        <v>0</v>
      </c>
      <c r="Y86" s="342">
        <v>0</v>
      </c>
      <c r="Z86" s="342">
        <v>0</v>
      </c>
      <c r="AA86" s="342">
        <v>0</v>
      </c>
      <c r="AB86" s="342">
        <v>0</v>
      </c>
      <c r="AC86" s="342">
        <v>0</v>
      </c>
      <c r="AD86" s="342">
        <v>0</v>
      </c>
      <c r="AE86" s="342">
        <v>0</v>
      </c>
      <c r="AF86" s="342">
        <v>0</v>
      </c>
      <c r="AG86" s="342">
        <v>0</v>
      </c>
      <c r="AH86" s="342">
        <v>0</v>
      </c>
      <c r="AI86" s="342">
        <v>0</v>
      </c>
      <c r="AJ86" s="342">
        <v>0</v>
      </c>
      <c r="AK86" s="258"/>
      <c r="AL86" s="258"/>
    </row>
    <row r="87" spans="2:41" x14ac:dyDescent="0.25">
      <c r="B87" s="641"/>
      <c r="D87" s="610"/>
      <c r="E87" s="351" t="s">
        <v>235</v>
      </c>
      <c r="F87" s="352" t="s">
        <v>194</v>
      </c>
      <c r="G87" s="342">
        <v>0</v>
      </c>
      <c r="H87" s="342">
        <v>0</v>
      </c>
      <c r="I87" s="342">
        <v>0</v>
      </c>
      <c r="J87" s="342">
        <v>0</v>
      </c>
      <c r="K87" s="342">
        <v>0</v>
      </c>
      <c r="L87" s="342">
        <v>0</v>
      </c>
      <c r="M87" s="342">
        <v>0</v>
      </c>
      <c r="N87" s="342">
        <v>0</v>
      </c>
      <c r="O87" s="342">
        <v>0</v>
      </c>
      <c r="P87" s="342">
        <v>0</v>
      </c>
      <c r="Q87" s="342">
        <v>0</v>
      </c>
      <c r="R87" s="342">
        <v>0</v>
      </c>
      <c r="S87" s="342">
        <v>0</v>
      </c>
      <c r="T87" s="342">
        <v>0</v>
      </c>
      <c r="U87" s="342">
        <v>0</v>
      </c>
      <c r="V87" s="342">
        <v>0</v>
      </c>
      <c r="W87" s="342">
        <v>0</v>
      </c>
      <c r="X87" s="342">
        <v>0</v>
      </c>
      <c r="Y87" s="342">
        <v>0</v>
      </c>
      <c r="Z87" s="342">
        <v>0</v>
      </c>
      <c r="AA87" s="342">
        <v>0</v>
      </c>
      <c r="AB87" s="342">
        <v>0</v>
      </c>
      <c r="AC87" s="342">
        <v>0</v>
      </c>
      <c r="AD87" s="342">
        <v>0</v>
      </c>
      <c r="AE87" s="342">
        <v>0</v>
      </c>
      <c r="AF87" s="342">
        <v>0</v>
      </c>
      <c r="AG87" s="342">
        <v>0</v>
      </c>
      <c r="AH87" s="342">
        <v>0</v>
      </c>
      <c r="AI87" s="342">
        <v>0</v>
      </c>
      <c r="AJ87" s="342">
        <v>0</v>
      </c>
      <c r="AK87" s="258"/>
      <c r="AL87" s="258"/>
    </row>
    <row r="88" spans="2:41" x14ac:dyDescent="0.25">
      <c r="B88" s="641"/>
      <c r="D88" s="610"/>
      <c r="E88" s="351" t="s">
        <v>234</v>
      </c>
      <c r="F88" s="352" t="s">
        <v>233</v>
      </c>
      <c r="G88" s="342">
        <v>0</v>
      </c>
      <c r="H88" s="342">
        <v>0</v>
      </c>
      <c r="I88" s="342">
        <v>0</v>
      </c>
      <c r="J88" s="342">
        <v>0</v>
      </c>
      <c r="K88" s="342">
        <v>0</v>
      </c>
      <c r="L88" s="342">
        <v>0</v>
      </c>
      <c r="M88" s="342">
        <v>0</v>
      </c>
      <c r="N88" s="342">
        <v>0</v>
      </c>
      <c r="O88" s="342">
        <v>0</v>
      </c>
      <c r="P88" s="342">
        <v>0</v>
      </c>
      <c r="Q88" s="342">
        <v>0</v>
      </c>
      <c r="R88" s="342">
        <v>0</v>
      </c>
      <c r="S88" s="342">
        <v>0</v>
      </c>
      <c r="T88" s="342">
        <v>0</v>
      </c>
      <c r="U88" s="342">
        <v>0</v>
      </c>
      <c r="V88" s="342">
        <v>0</v>
      </c>
      <c r="W88" s="342">
        <v>0</v>
      </c>
      <c r="X88" s="342">
        <v>0</v>
      </c>
      <c r="Y88" s="342">
        <v>0</v>
      </c>
      <c r="Z88" s="342">
        <v>0</v>
      </c>
      <c r="AA88" s="342">
        <v>0</v>
      </c>
      <c r="AB88" s="342">
        <v>0</v>
      </c>
      <c r="AC88" s="342">
        <v>0</v>
      </c>
      <c r="AD88" s="342">
        <v>0</v>
      </c>
      <c r="AE88" s="342">
        <v>0</v>
      </c>
      <c r="AF88" s="342">
        <v>0</v>
      </c>
      <c r="AG88" s="342">
        <v>0</v>
      </c>
      <c r="AH88" s="342">
        <v>0</v>
      </c>
      <c r="AI88" s="342">
        <v>0</v>
      </c>
      <c r="AJ88" s="342">
        <v>0</v>
      </c>
      <c r="AK88" s="258"/>
      <c r="AL88" s="258"/>
    </row>
    <row r="89" spans="2:41" x14ac:dyDescent="0.25">
      <c r="B89" s="641"/>
      <c r="D89" s="610"/>
      <c r="E89" s="351" t="s">
        <v>234</v>
      </c>
      <c r="F89" s="352" t="s">
        <v>232</v>
      </c>
      <c r="G89" s="342">
        <v>0</v>
      </c>
      <c r="H89" s="342">
        <v>0</v>
      </c>
      <c r="I89" s="342">
        <v>0</v>
      </c>
      <c r="J89" s="342">
        <v>0</v>
      </c>
      <c r="K89" s="342">
        <v>0</v>
      </c>
      <c r="L89" s="342">
        <v>0</v>
      </c>
      <c r="M89" s="342">
        <v>0</v>
      </c>
      <c r="N89" s="342">
        <v>0</v>
      </c>
      <c r="O89" s="342">
        <v>0</v>
      </c>
      <c r="P89" s="342">
        <v>0</v>
      </c>
      <c r="Q89" s="342">
        <v>0</v>
      </c>
      <c r="R89" s="342">
        <v>0</v>
      </c>
      <c r="S89" s="342">
        <v>0</v>
      </c>
      <c r="T89" s="342">
        <v>0</v>
      </c>
      <c r="U89" s="342">
        <v>0</v>
      </c>
      <c r="V89" s="342">
        <v>0</v>
      </c>
      <c r="W89" s="342">
        <v>0</v>
      </c>
      <c r="X89" s="342">
        <v>0</v>
      </c>
      <c r="Y89" s="342">
        <v>0</v>
      </c>
      <c r="Z89" s="342">
        <v>0</v>
      </c>
      <c r="AA89" s="342">
        <v>0</v>
      </c>
      <c r="AB89" s="342">
        <v>0</v>
      </c>
      <c r="AC89" s="342">
        <v>0</v>
      </c>
      <c r="AD89" s="342">
        <v>0</v>
      </c>
      <c r="AE89" s="342">
        <v>0</v>
      </c>
      <c r="AF89" s="342">
        <v>0</v>
      </c>
      <c r="AG89" s="342">
        <v>0</v>
      </c>
      <c r="AH89" s="342">
        <v>0</v>
      </c>
      <c r="AI89" s="342">
        <v>0</v>
      </c>
      <c r="AJ89" s="342">
        <v>0</v>
      </c>
      <c r="AK89" s="258"/>
      <c r="AL89" s="258"/>
    </row>
    <row r="90" spans="2:41" x14ac:dyDescent="0.25">
      <c r="B90" s="641"/>
      <c r="D90" s="610"/>
      <c r="E90" s="351" t="s">
        <v>234</v>
      </c>
      <c r="F90" s="352" t="s">
        <v>194</v>
      </c>
      <c r="G90" s="342">
        <v>0</v>
      </c>
      <c r="H90" s="342">
        <v>0</v>
      </c>
      <c r="I90" s="342">
        <v>0</v>
      </c>
      <c r="J90" s="342">
        <v>0</v>
      </c>
      <c r="K90" s="342">
        <v>0</v>
      </c>
      <c r="L90" s="342">
        <v>0</v>
      </c>
      <c r="M90" s="342">
        <v>0</v>
      </c>
      <c r="N90" s="342">
        <v>0</v>
      </c>
      <c r="O90" s="342">
        <v>0</v>
      </c>
      <c r="P90" s="342">
        <v>0</v>
      </c>
      <c r="Q90" s="342">
        <v>0</v>
      </c>
      <c r="R90" s="342">
        <v>0</v>
      </c>
      <c r="S90" s="342">
        <v>0</v>
      </c>
      <c r="T90" s="342">
        <v>0</v>
      </c>
      <c r="U90" s="342">
        <v>0</v>
      </c>
      <c r="V90" s="342">
        <v>0</v>
      </c>
      <c r="W90" s="342">
        <v>0</v>
      </c>
      <c r="X90" s="342">
        <v>0</v>
      </c>
      <c r="Y90" s="342">
        <v>0</v>
      </c>
      <c r="Z90" s="342">
        <v>0</v>
      </c>
      <c r="AA90" s="342">
        <v>0</v>
      </c>
      <c r="AB90" s="342">
        <v>0</v>
      </c>
      <c r="AC90" s="342">
        <v>0</v>
      </c>
      <c r="AD90" s="342">
        <v>0</v>
      </c>
      <c r="AE90" s="342">
        <v>0</v>
      </c>
      <c r="AF90" s="342">
        <v>0</v>
      </c>
      <c r="AG90" s="342">
        <v>0</v>
      </c>
      <c r="AH90" s="342">
        <v>0</v>
      </c>
      <c r="AI90" s="342">
        <v>0</v>
      </c>
      <c r="AJ90" s="342">
        <v>0</v>
      </c>
      <c r="AK90" s="258"/>
      <c r="AL90" s="258"/>
    </row>
    <row r="91" spans="2:41" x14ac:dyDescent="0.25">
      <c r="B91" s="641"/>
      <c r="D91" s="610"/>
      <c r="E91" s="351" t="s">
        <v>126</v>
      </c>
      <c r="F91" s="352" t="s">
        <v>233</v>
      </c>
      <c r="G91" s="342">
        <v>0</v>
      </c>
      <c r="H91" s="342">
        <v>0</v>
      </c>
      <c r="I91" s="342">
        <v>0</v>
      </c>
      <c r="J91" s="342">
        <v>0</v>
      </c>
      <c r="K91" s="342">
        <v>0</v>
      </c>
      <c r="L91" s="342">
        <v>0</v>
      </c>
      <c r="M91" s="342">
        <v>0</v>
      </c>
      <c r="N91" s="342">
        <v>0</v>
      </c>
      <c r="O91" s="342">
        <v>0</v>
      </c>
      <c r="P91" s="342">
        <v>0</v>
      </c>
      <c r="Q91" s="342">
        <v>0</v>
      </c>
      <c r="R91" s="342">
        <v>0</v>
      </c>
      <c r="S91" s="342">
        <v>0</v>
      </c>
      <c r="T91" s="342">
        <v>0</v>
      </c>
      <c r="U91" s="342">
        <v>0</v>
      </c>
      <c r="V91" s="342">
        <v>0</v>
      </c>
      <c r="W91" s="342">
        <v>0</v>
      </c>
      <c r="X91" s="342">
        <v>0</v>
      </c>
      <c r="Y91" s="342">
        <v>0</v>
      </c>
      <c r="Z91" s="342">
        <v>0</v>
      </c>
      <c r="AA91" s="342">
        <v>0</v>
      </c>
      <c r="AB91" s="342">
        <v>0</v>
      </c>
      <c r="AC91" s="342">
        <v>0</v>
      </c>
      <c r="AD91" s="342">
        <v>0</v>
      </c>
      <c r="AE91" s="342">
        <v>0</v>
      </c>
      <c r="AF91" s="342">
        <v>0</v>
      </c>
      <c r="AG91" s="342">
        <v>0</v>
      </c>
      <c r="AH91" s="342">
        <v>0</v>
      </c>
      <c r="AI91" s="342">
        <v>0</v>
      </c>
      <c r="AJ91" s="342">
        <v>0</v>
      </c>
      <c r="AK91" s="258"/>
      <c r="AL91" s="258"/>
    </row>
    <row r="92" spans="2:41" x14ac:dyDescent="0.25">
      <c r="B92" s="641"/>
      <c r="D92" s="610"/>
      <c r="E92" s="351" t="s">
        <v>126</v>
      </c>
      <c r="F92" s="352" t="s">
        <v>232</v>
      </c>
      <c r="G92" s="342">
        <v>0</v>
      </c>
      <c r="H92" s="342">
        <v>0</v>
      </c>
      <c r="I92" s="342">
        <v>0</v>
      </c>
      <c r="J92" s="342">
        <v>0</v>
      </c>
      <c r="K92" s="342">
        <v>0</v>
      </c>
      <c r="L92" s="342">
        <v>0</v>
      </c>
      <c r="M92" s="342">
        <v>0</v>
      </c>
      <c r="N92" s="342">
        <v>0</v>
      </c>
      <c r="O92" s="342">
        <v>0</v>
      </c>
      <c r="P92" s="342">
        <v>0</v>
      </c>
      <c r="Q92" s="342">
        <v>0</v>
      </c>
      <c r="R92" s="342">
        <v>0</v>
      </c>
      <c r="S92" s="342">
        <v>0</v>
      </c>
      <c r="T92" s="342">
        <v>0</v>
      </c>
      <c r="U92" s="342">
        <v>0</v>
      </c>
      <c r="V92" s="342">
        <v>0</v>
      </c>
      <c r="W92" s="342">
        <v>0</v>
      </c>
      <c r="X92" s="342">
        <v>0</v>
      </c>
      <c r="Y92" s="342">
        <v>0</v>
      </c>
      <c r="Z92" s="342">
        <v>0</v>
      </c>
      <c r="AA92" s="342">
        <v>0</v>
      </c>
      <c r="AB92" s="342">
        <v>0</v>
      </c>
      <c r="AC92" s="342">
        <v>0</v>
      </c>
      <c r="AD92" s="342">
        <v>0</v>
      </c>
      <c r="AE92" s="342">
        <v>0</v>
      </c>
      <c r="AF92" s="342">
        <v>0</v>
      </c>
      <c r="AG92" s="342">
        <v>0</v>
      </c>
      <c r="AH92" s="342">
        <v>0</v>
      </c>
      <c r="AI92" s="342">
        <v>0</v>
      </c>
      <c r="AJ92" s="342">
        <v>0</v>
      </c>
      <c r="AK92" s="258"/>
      <c r="AL92" s="258"/>
    </row>
    <row r="93" spans="2:41" x14ac:dyDescent="0.25">
      <c r="B93" s="641"/>
      <c r="D93" s="610"/>
      <c r="E93" s="351" t="s">
        <v>126</v>
      </c>
      <c r="F93" s="352" t="s">
        <v>194</v>
      </c>
      <c r="G93" s="342">
        <v>0</v>
      </c>
      <c r="H93" s="342">
        <v>0</v>
      </c>
      <c r="I93" s="342">
        <v>0</v>
      </c>
      <c r="J93" s="342">
        <v>0</v>
      </c>
      <c r="K93" s="342">
        <v>0</v>
      </c>
      <c r="L93" s="342">
        <v>0</v>
      </c>
      <c r="M93" s="342">
        <v>0</v>
      </c>
      <c r="N93" s="342">
        <v>0</v>
      </c>
      <c r="O93" s="342">
        <v>0</v>
      </c>
      <c r="P93" s="342">
        <v>0</v>
      </c>
      <c r="Q93" s="342">
        <v>0</v>
      </c>
      <c r="R93" s="342">
        <v>0</v>
      </c>
      <c r="S93" s="342">
        <v>0</v>
      </c>
      <c r="T93" s="342">
        <v>0</v>
      </c>
      <c r="U93" s="342">
        <v>0</v>
      </c>
      <c r="V93" s="342">
        <v>0</v>
      </c>
      <c r="W93" s="342">
        <v>0</v>
      </c>
      <c r="X93" s="342">
        <v>0</v>
      </c>
      <c r="Y93" s="342">
        <v>0</v>
      </c>
      <c r="Z93" s="342">
        <v>0</v>
      </c>
      <c r="AA93" s="342">
        <v>0</v>
      </c>
      <c r="AB93" s="342">
        <v>0</v>
      </c>
      <c r="AC93" s="342">
        <v>0</v>
      </c>
      <c r="AD93" s="342">
        <v>0</v>
      </c>
      <c r="AE93" s="342">
        <v>0</v>
      </c>
      <c r="AF93" s="342">
        <v>0</v>
      </c>
      <c r="AG93" s="342">
        <v>0</v>
      </c>
      <c r="AH93" s="342">
        <v>0</v>
      </c>
      <c r="AI93" s="342">
        <v>0</v>
      </c>
      <c r="AJ93" s="342">
        <v>0</v>
      </c>
      <c r="AK93" s="258"/>
      <c r="AL93" s="258"/>
    </row>
    <row r="94" spans="2:41" x14ac:dyDescent="0.25">
      <c r="B94" s="641"/>
    </row>
    <row r="95" spans="2:41" ht="15" customHeight="1" x14ac:dyDescent="0.25">
      <c r="B95" s="641"/>
      <c r="G95" s="31">
        <v>2021</v>
      </c>
      <c r="H95" s="31">
        <v>2022</v>
      </c>
      <c r="I95" s="31">
        <v>2023</v>
      </c>
      <c r="J95" s="31">
        <v>2024</v>
      </c>
      <c r="K95" s="31">
        <v>2025</v>
      </c>
      <c r="L95" s="31">
        <v>2026</v>
      </c>
      <c r="M95" s="31">
        <v>2027</v>
      </c>
      <c r="N95" s="31">
        <v>2028</v>
      </c>
      <c r="O95" s="31">
        <v>2029</v>
      </c>
      <c r="P95" s="31">
        <v>2030</v>
      </c>
      <c r="Q95" s="31">
        <v>2031</v>
      </c>
      <c r="R95" s="31">
        <v>2032</v>
      </c>
      <c r="S95" s="31">
        <v>2033</v>
      </c>
      <c r="T95" s="31">
        <v>2034</v>
      </c>
      <c r="U95" s="31">
        <v>2035</v>
      </c>
      <c r="V95" s="31">
        <v>2036</v>
      </c>
      <c r="W95" s="31">
        <v>2037</v>
      </c>
      <c r="X95" s="31">
        <v>2038</v>
      </c>
      <c r="Y95" s="31">
        <v>2039</v>
      </c>
      <c r="Z95" s="31">
        <v>2040</v>
      </c>
      <c r="AA95" s="31">
        <v>2041</v>
      </c>
      <c r="AB95" s="31">
        <v>2042</v>
      </c>
      <c r="AC95" s="31">
        <v>2043</v>
      </c>
      <c r="AD95" s="31">
        <v>2044</v>
      </c>
      <c r="AE95" s="31">
        <v>2045</v>
      </c>
      <c r="AF95" s="31">
        <v>2046</v>
      </c>
      <c r="AG95" s="31">
        <v>2047</v>
      </c>
      <c r="AH95" s="31">
        <v>2048</v>
      </c>
      <c r="AI95" s="31">
        <v>2049</v>
      </c>
      <c r="AJ95" s="31">
        <v>2050</v>
      </c>
    </row>
    <row r="96" spans="2:41" x14ac:dyDescent="0.25">
      <c r="B96" s="641"/>
      <c r="D96" s="608" t="s">
        <v>238</v>
      </c>
      <c r="E96" s="351" t="s">
        <v>236</v>
      </c>
      <c r="F96" s="352" t="s">
        <v>233</v>
      </c>
      <c r="G96" s="357">
        <v>0.85</v>
      </c>
      <c r="H96" s="357">
        <v>0.85</v>
      </c>
      <c r="I96" s="357">
        <v>0.85</v>
      </c>
      <c r="J96" s="357">
        <v>0.85</v>
      </c>
      <c r="K96" s="357">
        <v>0.85</v>
      </c>
      <c r="L96" s="357">
        <v>0.85</v>
      </c>
      <c r="M96" s="357">
        <v>0.85</v>
      </c>
      <c r="N96" s="357">
        <v>0.85</v>
      </c>
      <c r="O96" s="357">
        <v>0.85</v>
      </c>
      <c r="P96" s="357">
        <v>0.85</v>
      </c>
      <c r="Q96" s="357">
        <v>0.85</v>
      </c>
      <c r="R96" s="357">
        <v>0.85</v>
      </c>
      <c r="S96" s="357">
        <v>0.85</v>
      </c>
      <c r="T96" s="357">
        <v>0.85</v>
      </c>
      <c r="U96" s="357">
        <v>0.85</v>
      </c>
      <c r="V96" s="357">
        <v>0.85</v>
      </c>
      <c r="W96" s="357">
        <v>0.85</v>
      </c>
      <c r="X96" s="357">
        <v>0.85</v>
      </c>
      <c r="Y96" s="357">
        <v>0.85</v>
      </c>
      <c r="Z96" s="357">
        <v>0.85</v>
      </c>
      <c r="AA96" s="357">
        <v>0.85</v>
      </c>
      <c r="AB96" s="357">
        <v>0.85</v>
      </c>
      <c r="AC96" s="357">
        <v>0.85</v>
      </c>
      <c r="AD96" s="357">
        <v>0.85</v>
      </c>
      <c r="AE96" s="357">
        <v>0.85</v>
      </c>
      <c r="AF96" s="357">
        <v>0.85</v>
      </c>
      <c r="AG96" s="357">
        <v>0.85</v>
      </c>
      <c r="AH96" s="357">
        <v>0.85</v>
      </c>
      <c r="AI96" s="357">
        <v>0.85</v>
      </c>
      <c r="AJ96" s="357">
        <v>0.85</v>
      </c>
    </row>
    <row r="97" spans="2:36" x14ac:dyDescent="0.25">
      <c r="B97" s="641"/>
      <c r="D97" s="609"/>
      <c r="E97" s="354" t="s">
        <v>236</v>
      </c>
      <c r="F97" s="352" t="s">
        <v>232</v>
      </c>
      <c r="G97" s="357">
        <v>0.85</v>
      </c>
      <c r="H97" s="357">
        <v>0.85</v>
      </c>
      <c r="I97" s="357">
        <v>0.85</v>
      </c>
      <c r="J97" s="357">
        <v>0.85</v>
      </c>
      <c r="K97" s="357">
        <v>0.85</v>
      </c>
      <c r="L97" s="357">
        <v>0.85</v>
      </c>
      <c r="M97" s="357">
        <v>0.85</v>
      </c>
      <c r="N97" s="357">
        <v>0.85</v>
      </c>
      <c r="O97" s="357">
        <v>0.85</v>
      </c>
      <c r="P97" s="357">
        <v>0.85</v>
      </c>
      <c r="Q97" s="357">
        <v>0.85</v>
      </c>
      <c r="R97" s="357">
        <v>0.85</v>
      </c>
      <c r="S97" s="357">
        <v>0.85</v>
      </c>
      <c r="T97" s="357">
        <v>0.85</v>
      </c>
      <c r="U97" s="357">
        <v>0.85</v>
      </c>
      <c r="V97" s="357">
        <v>0.85</v>
      </c>
      <c r="W97" s="357">
        <v>0.85</v>
      </c>
      <c r="X97" s="357">
        <v>0.85</v>
      </c>
      <c r="Y97" s="357">
        <v>0.85</v>
      </c>
      <c r="Z97" s="357">
        <v>0.85</v>
      </c>
      <c r="AA97" s="357">
        <v>0.85</v>
      </c>
      <c r="AB97" s="357">
        <v>0.85</v>
      </c>
      <c r="AC97" s="357">
        <v>0.85</v>
      </c>
      <c r="AD97" s="357">
        <v>0.85</v>
      </c>
      <c r="AE97" s="357">
        <v>0.85</v>
      </c>
      <c r="AF97" s="357">
        <v>0.85</v>
      </c>
      <c r="AG97" s="357">
        <v>0.85</v>
      </c>
      <c r="AH97" s="357">
        <v>0.85</v>
      </c>
      <c r="AI97" s="357">
        <v>0.85</v>
      </c>
      <c r="AJ97" s="357">
        <v>0.85</v>
      </c>
    </row>
    <row r="98" spans="2:36" x14ac:dyDescent="0.25">
      <c r="B98" s="641"/>
      <c r="D98" s="609"/>
      <c r="E98" s="404" t="s">
        <v>236</v>
      </c>
      <c r="F98" s="352" t="s">
        <v>194</v>
      </c>
      <c r="G98" s="357">
        <v>0.85</v>
      </c>
      <c r="H98" s="357">
        <v>0.85</v>
      </c>
      <c r="I98" s="357">
        <v>0.85</v>
      </c>
      <c r="J98" s="357">
        <v>0.85</v>
      </c>
      <c r="K98" s="357">
        <v>0.85</v>
      </c>
      <c r="L98" s="357">
        <v>0.85</v>
      </c>
      <c r="M98" s="357">
        <v>0.85</v>
      </c>
      <c r="N98" s="357">
        <v>0.85</v>
      </c>
      <c r="O98" s="357">
        <v>0.85</v>
      </c>
      <c r="P98" s="357">
        <v>0.85</v>
      </c>
      <c r="Q98" s="357">
        <v>0.85</v>
      </c>
      <c r="R98" s="357">
        <v>0.85</v>
      </c>
      <c r="S98" s="357">
        <v>0.85</v>
      </c>
      <c r="T98" s="357">
        <v>0.85</v>
      </c>
      <c r="U98" s="357">
        <v>0.85</v>
      </c>
      <c r="V98" s="357">
        <v>0.85</v>
      </c>
      <c r="W98" s="357">
        <v>0.85</v>
      </c>
      <c r="X98" s="357">
        <v>0.85</v>
      </c>
      <c r="Y98" s="357">
        <v>0.85</v>
      </c>
      <c r="Z98" s="357">
        <v>0.85</v>
      </c>
      <c r="AA98" s="357">
        <v>0.85</v>
      </c>
      <c r="AB98" s="357">
        <v>0.85</v>
      </c>
      <c r="AC98" s="357">
        <v>0.85</v>
      </c>
      <c r="AD98" s="357">
        <v>0.85</v>
      </c>
      <c r="AE98" s="357">
        <v>0.85</v>
      </c>
      <c r="AF98" s="357">
        <v>0.85</v>
      </c>
      <c r="AG98" s="357">
        <v>0.85</v>
      </c>
      <c r="AH98" s="357">
        <v>0.85</v>
      </c>
      <c r="AI98" s="357">
        <v>0.85</v>
      </c>
      <c r="AJ98" s="357">
        <v>0.85</v>
      </c>
    </row>
    <row r="99" spans="2:36" x14ac:dyDescent="0.25">
      <c r="B99" s="641"/>
      <c r="D99" s="610"/>
      <c r="E99" s="351" t="s">
        <v>125</v>
      </c>
      <c r="F99" s="352" t="s">
        <v>233</v>
      </c>
      <c r="G99" s="357">
        <v>0.85</v>
      </c>
      <c r="H99" s="357">
        <v>0.85</v>
      </c>
      <c r="I99" s="357">
        <v>0.85</v>
      </c>
      <c r="J99" s="357">
        <v>0.85</v>
      </c>
      <c r="K99" s="357">
        <v>0.85</v>
      </c>
      <c r="L99" s="357">
        <v>0.85</v>
      </c>
      <c r="M99" s="357">
        <v>0.85</v>
      </c>
      <c r="N99" s="357">
        <v>0.85</v>
      </c>
      <c r="O99" s="357">
        <v>0.85</v>
      </c>
      <c r="P99" s="357">
        <v>0.85</v>
      </c>
      <c r="Q99" s="357">
        <v>0.85</v>
      </c>
      <c r="R99" s="357">
        <v>0.85</v>
      </c>
      <c r="S99" s="357">
        <v>0.85</v>
      </c>
      <c r="T99" s="357">
        <v>0.85</v>
      </c>
      <c r="U99" s="357">
        <v>0.85</v>
      </c>
      <c r="V99" s="357">
        <v>0.85</v>
      </c>
      <c r="W99" s="357">
        <v>0.85</v>
      </c>
      <c r="X99" s="357">
        <v>0.85</v>
      </c>
      <c r="Y99" s="357">
        <v>0.85</v>
      </c>
      <c r="Z99" s="357">
        <v>0.85</v>
      </c>
      <c r="AA99" s="357">
        <v>0.85</v>
      </c>
      <c r="AB99" s="357">
        <v>0.85</v>
      </c>
      <c r="AC99" s="357">
        <v>0.85</v>
      </c>
      <c r="AD99" s="357">
        <v>0.85</v>
      </c>
      <c r="AE99" s="357">
        <v>0.85</v>
      </c>
      <c r="AF99" s="357">
        <v>0.85</v>
      </c>
      <c r="AG99" s="357">
        <v>0.85</v>
      </c>
      <c r="AH99" s="357">
        <v>0.85</v>
      </c>
      <c r="AI99" s="357">
        <v>0.85</v>
      </c>
      <c r="AJ99" s="357">
        <v>0.85</v>
      </c>
    </row>
    <row r="100" spans="2:36" x14ac:dyDescent="0.25">
      <c r="B100" s="641"/>
      <c r="D100" s="610"/>
      <c r="E100" s="351" t="s">
        <v>125</v>
      </c>
      <c r="F100" s="352" t="s">
        <v>232</v>
      </c>
      <c r="G100" s="357">
        <v>0.85</v>
      </c>
      <c r="H100" s="357">
        <v>0.85</v>
      </c>
      <c r="I100" s="357">
        <v>0.85</v>
      </c>
      <c r="J100" s="357">
        <v>0.85</v>
      </c>
      <c r="K100" s="357">
        <v>0.85</v>
      </c>
      <c r="L100" s="357">
        <v>0.85</v>
      </c>
      <c r="M100" s="357">
        <v>0.85</v>
      </c>
      <c r="N100" s="357">
        <v>0.85</v>
      </c>
      <c r="O100" s="357">
        <v>0.85</v>
      </c>
      <c r="P100" s="357">
        <v>0.85</v>
      </c>
      <c r="Q100" s="357">
        <v>0.85</v>
      </c>
      <c r="R100" s="357">
        <v>0.85</v>
      </c>
      <c r="S100" s="357">
        <v>0.85</v>
      </c>
      <c r="T100" s="357">
        <v>0.85</v>
      </c>
      <c r="U100" s="357">
        <v>0.85</v>
      </c>
      <c r="V100" s="357">
        <v>0.85</v>
      </c>
      <c r="W100" s="357">
        <v>0.85</v>
      </c>
      <c r="X100" s="357">
        <v>0.85</v>
      </c>
      <c r="Y100" s="357">
        <v>0.85</v>
      </c>
      <c r="Z100" s="357">
        <v>0.85</v>
      </c>
      <c r="AA100" s="357">
        <v>0.85</v>
      </c>
      <c r="AB100" s="357">
        <v>0.85</v>
      </c>
      <c r="AC100" s="357">
        <v>0.85</v>
      </c>
      <c r="AD100" s="357">
        <v>0.85</v>
      </c>
      <c r="AE100" s="357">
        <v>0.85</v>
      </c>
      <c r="AF100" s="357">
        <v>0.85</v>
      </c>
      <c r="AG100" s="357">
        <v>0.85</v>
      </c>
      <c r="AH100" s="357">
        <v>0.85</v>
      </c>
      <c r="AI100" s="357">
        <v>0.85</v>
      </c>
      <c r="AJ100" s="357">
        <v>0.85</v>
      </c>
    </row>
    <row r="101" spans="2:36" x14ac:dyDescent="0.25">
      <c r="B101" s="641"/>
      <c r="D101" s="610"/>
      <c r="E101" s="351" t="s">
        <v>125</v>
      </c>
      <c r="F101" s="352" t="s">
        <v>194</v>
      </c>
      <c r="G101" s="357">
        <v>0.85</v>
      </c>
      <c r="H101" s="357">
        <v>0.85</v>
      </c>
      <c r="I101" s="357">
        <v>0.85</v>
      </c>
      <c r="J101" s="357">
        <v>0.85</v>
      </c>
      <c r="K101" s="357">
        <v>0.85</v>
      </c>
      <c r="L101" s="357">
        <v>0.85</v>
      </c>
      <c r="M101" s="357">
        <v>0.85</v>
      </c>
      <c r="N101" s="357">
        <v>0.85</v>
      </c>
      <c r="O101" s="357">
        <v>0.85</v>
      </c>
      <c r="P101" s="357">
        <v>0.85</v>
      </c>
      <c r="Q101" s="357">
        <v>0.85</v>
      </c>
      <c r="R101" s="357">
        <v>0.85</v>
      </c>
      <c r="S101" s="357">
        <v>0.85</v>
      </c>
      <c r="T101" s="357">
        <v>0.85</v>
      </c>
      <c r="U101" s="357">
        <v>0.85</v>
      </c>
      <c r="V101" s="357">
        <v>0.85</v>
      </c>
      <c r="W101" s="357">
        <v>0.85</v>
      </c>
      <c r="X101" s="357">
        <v>0.85</v>
      </c>
      <c r="Y101" s="357">
        <v>0.85</v>
      </c>
      <c r="Z101" s="357">
        <v>0.85</v>
      </c>
      <c r="AA101" s="357">
        <v>0.85</v>
      </c>
      <c r="AB101" s="357">
        <v>0.85</v>
      </c>
      <c r="AC101" s="357">
        <v>0.85</v>
      </c>
      <c r="AD101" s="357">
        <v>0.85</v>
      </c>
      <c r="AE101" s="357">
        <v>0.85</v>
      </c>
      <c r="AF101" s="357">
        <v>0.85</v>
      </c>
      <c r="AG101" s="357">
        <v>0.85</v>
      </c>
      <c r="AH101" s="357">
        <v>0.85</v>
      </c>
      <c r="AI101" s="357">
        <v>0.85</v>
      </c>
      <c r="AJ101" s="357">
        <v>0.85</v>
      </c>
    </row>
    <row r="102" spans="2:36" x14ac:dyDescent="0.25">
      <c r="B102" s="641"/>
      <c r="D102" s="610"/>
      <c r="E102" s="351" t="s">
        <v>235</v>
      </c>
      <c r="F102" s="352" t="s">
        <v>233</v>
      </c>
      <c r="G102" s="357">
        <v>0.85</v>
      </c>
      <c r="H102" s="357">
        <v>0.85</v>
      </c>
      <c r="I102" s="357">
        <v>0.85</v>
      </c>
      <c r="J102" s="357">
        <v>0.85</v>
      </c>
      <c r="K102" s="357">
        <v>0.85</v>
      </c>
      <c r="L102" s="357">
        <v>0.85</v>
      </c>
      <c r="M102" s="357">
        <v>0.85</v>
      </c>
      <c r="N102" s="357">
        <v>0.85</v>
      </c>
      <c r="O102" s="357">
        <v>0.85</v>
      </c>
      <c r="P102" s="357">
        <v>0.85</v>
      </c>
      <c r="Q102" s="357">
        <v>0.85</v>
      </c>
      <c r="R102" s="357">
        <v>0.85</v>
      </c>
      <c r="S102" s="357">
        <v>0.85</v>
      </c>
      <c r="T102" s="357">
        <v>0.85</v>
      </c>
      <c r="U102" s="357">
        <v>0.85</v>
      </c>
      <c r="V102" s="357">
        <v>0.85</v>
      </c>
      <c r="W102" s="357">
        <v>0.85</v>
      </c>
      <c r="X102" s="357">
        <v>0.85</v>
      </c>
      <c r="Y102" s="357">
        <v>0.85</v>
      </c>
      <c r="Z102" s="357">
        <v>0.85</v>
      </c>
      <c r="AA102" s="357">
        <v>0.85</v>
      </c>
      <c r="AB102" s="357">
        <v>0.85</v>
      </c>
      <c r="AC102" s="357">
        <v>0.85</v>
      </c>
      <c r="AD102" s="357">
        <v>0.85</v>
      </c>
      <c r="AE102" s="357">
        <v>0.85</v>
      </c>
      <c r="AF102" s="357">
        <v>0.85</v>
      </c>
      <c r="AG102" s="357">
        <v>0.85</v>
      </c>
      <c r="AH102" s="357">
        <v>0.85</v>
      </c>
      <c r="AI102" s="357">
        <v>0.85</v>
      </c>
      <c r="AJ102" s="357">
        <v>0.85</v>
      </c>
    </row>
    <row r="103" spans="2:36" x14ac:dyDescent="0.25">
      <c r="B103" s="641"/>
      <c r="D103" s="610"/>
      <c r="E103" s="351" t="s">
        <v>235</v>
      </c>
      <c r="F103" s="352" t="s">
        <v>232</v>
      </c>
      <c r="G103" s="357">
        <v>0.85</v>
      </c>
      <c r="H103" s="357">
        <v>0.85</v>
      </c>
      <c r="I103" s="357">
        <v>0.85</v>
      </c>
      <c r="J103" s="357">
        <v>0.85</v>
      </c>
      <c r="K103" s="357">
        <v>0.85</v>
      </c>
      <c r="L103" s="357">
        <v>0.85</v>
      </c>
      <c r="M103" s="357">
        <v>0.85</v>
      </c>
      <c r="N103" s="357">
        <v>0.85</v>
      </c>
      <c r="O103" s="357">
        <v>0.85</v>
      </c>
      <c r="P103" s="357">
        <v>0.85</v>
      </c>
      <c r="Q103" s="357">
        <v>0.85</v>
      </c>
      <c r="R103" s="357">
        <v>0.85</v>
      </c>
      <c r="S103" s="357">
        <v>0.85</v>
      </c>
      <c r="T103" s="357">
        <v>0.85</v>
      </c>
      <c r="U103" s="357">
        <v>0.85</v>
      </c>
      <c r="V103" s="357">
        <v>0.85</v>
      </c>
      <c r="W103" s="357">
        <v>0.85</v>
      </c>
      <c r="X103" s="357">
        <v>0.85</v>
      </c>
      <c r="Y103" s="357">
        <v>0.85</v>
      </c>
      <c r="Z103" s="357">
        <v>0.85</v>
      </c>
      <c r="AA103" s="357">
        <v>0.85</v>
      </c>
      <c r="AB103" s="357">
        <v>0.85</v>
      </c>
      <c r="AC103" s="357">
        <v>0.85</v>
      </c>
      <c r="AD103" s="357">
        <v>0.85</v>
      </c>
      <c r="AE103" s="357">
        <v>0.85</v>
      </c>
      <c r="AF103" s="357">
        <v>0.85</v>
      </c>
      <c r="AG103" s="357">
        <v>0.85</v>
      </c>
      <c r="AH103" s="357">
        <v>0.85</v>
      </c>
      <c r="AI103" s="357">
        <v>0.85</v>
      </c>
      <c r="AJ103" s="357">
        <v>0.85</v>
      </c>
    </row>
    <row r="104" spans="2:36" x14ac:dyDescent="0.25">
      <c r="B104" s="641"/>
      <c r="D104" s="610"/>
      <c r="E104" s="351" t="s">
        <v>235</v>
      </c>
      <c r="F104" s="352" t="s">
        <v>194</v>
      </c>
      <c r="G104" s="357">
        <v>0.85</v>
      </c>
      <c r="H104" s="357">
        <v>0.85</v>
      </c>
      <c r="I104" s="357">
        <v>0.85</v>
      </c>
      <c r="J104" s="357">
        <v>0.85</v>
      </c>
      <c r="K104" s="357">
        <v>0.85</v>
      </c>
      <c r="L104" s="357">
        <v>0.85</v>
      </c>
      <c r="M104" s="357">
        <v>0.85</v>
      </c>
      <c r="N104" s="357">
        <v>0.85</v>
      </c>
      <c r="O104" s="357">
        <v>0.85</v>
      </c>
      <c r="P104" s="357">
        <v>0.85</v>
      </c>
      <c r="Q104" s="357">
        <v>0.85</v>
      </c>
      <c r="R104" s="357">
        <v>0.85</v>
      </c>
      <c r="S104" s="357">
        <v>0.85</v>
      </c>
      <c r="T104" s="357">
        <v>0.85</v>
      </c>
      <c r="U104" s="357">
        <v>0.85</v>
      </c>
      <c r="V104" s="357">
        <v>0.85</v>
      </c>
      <c r="W104" s="357">
        <v>0.85</v>
      </c>
      <c r="X104" s="357">
        <v>0.85</v>
      </c>
      <c r="Y104" s="357">
        <v>0.85</v>
      </c>
      <c r="Z104" s="357">
        <v>0.85</v>
      </c>
      <c r="AA104" s="357">
        <v>0.85</v>
      </c>
      <c r="AB104" s="357">
        <v>0.85</v>
      </c>
      <c r="AC104" s="357">
        <v>0.85</v>
      </c>
      <c r="AD104" s="357">
        <v>0.85</v>
      </c>
      <c r="AE104" s="357">
        <v>0.85</v>
      </c>
      <c r="AF104" s="357">
        <v>0.85</v>
      </c>
      <c r="AG104" s="357">
        <v>0.85</v>
      </c>
      <c r="AH104" s="357">
        <v>0.85</v>
      </c>
      <c r="AI104" s="357">
        <v>0.85</v>
      </c>
      <c r="AJ104" s="357">
        <v>0.85</v>
      </c>
    </row>
    <row r="105" spans="2:36" x14ac:dyDescent="0.25">
      <c r="B105" s="641"/>
      <c r="D105" s="610"/>
      <c r="E105" s="351" t="s">
        <v>234</v>
      </c>
      <c r="F105" s="352" t="s">
        <v>233</v>
      </c>
      <c r="G105" s="357">
        <v>0.85</v>
      </c>
      <c r="H105" s="357">
        <v>0.85</v>
      </c>
      <c r="I105" s="357">
        <v>0.85</v>
      </c>
      <c r="J105" s="357">
        <v>0.85</v>
      </c>
      <c r="K105" s="357">
        <v>0.85</v>
      </c>
      <c r="L105" s="357">
        <v>0.85</v>
      </c>
      <c r="M105" s="357">
        <v>0.85</v>
      </c>
      <c r="N105" s="357">
        <v>0.85</v>
      </c>
      <c r="O105" s="357">
        <v>0.85</v>
      </c>
      <c r="P105" s="357">
        <v>0.85</v>
      </c>
      <c r="Q105" s="357">
        <v>0.85</v>
      </c>
      <c r="R105" s="357">
        <v>0.85</v>
      </c>
      <c r="S105" s="357">
        <v>0.85</v>
      </c>
      <c r="T105" s="357">
        <v>0.85</v>
      </c>
      <c r="U105" s="357">
        <v>0.85</v>
      </c>
      <c r="V105" s="357">
        <v>0.85</v>
      </c>
      <c r="W105" s="357">
        <v>0.85</v>
      </c>
      <c r="X105" s="357">
        <v>0.85</v>
      </c>
      <c r="Y105" s="357">
        <v>0.85</v>
      </c>
      <c r="Z105" s="357">
        <v>0.85</v>
      </c>
      <c r="AA105" s="357">
        <v>0.85</v>
      </c>
      <c r="AB105" s="357">
        <v>0.85</v>
      </c>
      <c r="AC105" s="357">
        <v>0.85</v>
      </c>
      <c r="AD105" s="357">
        <v>0.85</v>
      </c>
      <c r="AE105" s="357">
        <v>0.85</v>
      </c>
      <c r="AF105" s="357">
        <v>0.85</v>
      </c>
      <c r="AG105" s="357">
        <v>0.85</v>
      </c>
      <c r="AH105" s="357">
        <v>0.85</v>
      </c>
      <c r="AI105" s="357">
        <v>0.85</v>
      </c>
      <c r="AJ105" s="357">
        <v>0.85</v>
      </c>
    </row>
    <row r="106" spans="2:36" x14ac:dyDescent="0.25">
      <c r="B106" s="641"/>
      <c r="D106" s="610"/>
      <c r="E106" s="351" t="s">
        <v>234</v>
      </c>
      <c r="F106" s="352" t="s">
        <v>232</v>
      </c>
      <c r="G106" s="357">
        <v>0.85</v>
      </c>
      <c r="H106" s="357">
        <v>0.85</v>
      </c>
      <c r="I106" s="357">
        <v>0.85</v>
      </c>
      <c r="J106" s="357">
        <v>0.85</v>
      </c>
      <c r="K106" s="357">
        <v>0.85</v>
      </c>
      <c r="L106" s="357">
        <v>0.85</v>
      </c>
      <c r="M106" s="357">
        <v>0.85</v>
      </c>
      <c r="N106" s="357">
        <v>0.85</v>
      </c>
      <c r="O106" s="357">
        <v>0.85</v>
      </c>
      <c r="P106" s="357">
        <v>0.85</v>
      </c>
      <c r="Q106" s="357">
        <v>0.85</v>
      </c>
      <c r="R106" s="357">
        <v>0.85</v>
      </c>
      <c r="S106" s="357">
        <v>0.85</v>
      </c>
      <c r="T106" s="357">
        <v>0.85</v>
      </c>
      <c r="U106" s="357">
        <v>0.85</v>
      </c>
      <c r="V106" s="357">
        <v>0.85</v>
      </c>
      <c r="W106" s="357">
        <v>0.85</v>
      </c>
      <c r="X106" s="357">
        <v>0.85</v>
      </c>
      <c r="Y106" s="357">
        <v>0.85</v>
      </c>
      <c r="Z106" s="357">
        <v>0.85</v>
      </c>
      <c r="AA106" s="357">
        <v>0.85</v>
      </c>
      <c r="AB106" s="357">
        <v>0.85</v>
      </c>
      <c r="AC106" s="357">
        <v>0.85</v>
      </c>
      <c r="AD106" s="357">
        <v>0.85</v>
      </c>
      <c r="AE106" s="357">
        <v>0.85</v>
      </c>
      <c r="AF106" s="357">
        <v>0.85</v>
      </c>
      <c r="AG106" s="357">
        <v>0.85</v>
      </c>
      <c r="AH106" s="357">
        <v>0.85</v>
      </c>
      <c r="AI106" s="357">
        <v>0.85</v>
      </c>
      <c r="AJ106" s="357">
        <v>0.85</v>
      </c>
    </row>
    <row r="107" spans="2:36" x14ac:dyDescent="0.25">
      <c r="B107" s="641"/>
      <c r="D107" s="610"/>
      <c r="E107" s="351" t="s">
        <v>234</v>
      </c>
      <c r="F107" s="352" t="s">
        <v>194</v>
      </c>
      <c r="G107" s="357">
        <v>0.85</v>
      </c>
      <c r="H107" s="357">
        <v>0.85</v>
      </c>
      <c r="I107" s="357">
        <v>0.85</v>
      </c>
      <c r="J107" s="357">
        <v>0.85</v>
      </c>
      <c r="K107" s="357">
        <v>0.85</v>
      </c>
      <c r="L107" s="357">
        <v>0.85</v>
      </c>
      <c r="M107" s="357">
        <v>0.85</v>
      </c>
      <c r="N107" s="357">
        <v>0.85</v>
      </c>
      <c r="O107" s="357">
        <v>0.85</v>
      </c>
      <c r="P107" s="357">
        <v>0.85</v>
      </c>
      <c r="Q107" s="357">
        <v>0.85</v>
      </c>
      <c r="R107" s="357">
        <v>0.85</v>
      </c>
      <c r="S107" s="357">
        <v>0.85</v>
      </c>
      <c r="T107" s="357">
        <v>0.85</v>
      </c>
      <c r="U107" s="357">
        <v>0.85</v>
      </c>
      <c r="V107" s="357">
        <v>0.85</v>
      </c>
      <c r="W107" s="357">
        <v>0.85</v>
      </c>
      <c r="X107" s="357">
        <v>0.85</v>
      </c>
      <c r="Y107" s="357">
        <v>0.85</v>
      </c>
      <c r="Z107" s="357">
        <v>0.85</v>
      </c>
      <c r="AA107" s="357">
        <v>0.85</v>
      </c>
      <c r="AB107" s="357">
        <v>0.85</v>
      </c>
      <c r="AC107" s="357">
        <v>0.85</v>
      </c>
      <c r="AD107" s="357">
        <v>0.85</v>
      </c>
      <c r="AE107" s="357">
        <v>0.85</v>
      </c>
      <c r="AF107" s="357">
        <v>0.85</v>
      </c>
      <c r="AG107" s="357">
        <v>0.85</v>
      </c>
      <c r="AH107" s="357">
        <v>0.85</v>
      </c>
      <c r="AI107" s="357">
        <v>0.85</v>
      </c>
      <c r="AJ107" s="357">
        <v>0.85</v>
      </c>
    </row>
    <row r="108" spans="2:36" x14ac:dyDescent="0.25">
      <c r="B108" s="641"/>
      <c r="D108" s="610"/>
      <c r="E108" s="351" t="s">
        <v>126</v>
      </c>
      <c r="F108" s="352" t="s">
        <v>233</v>
      </c>
      <c r="G108" s="357">
        <v>0.85</v>
      </c>
      <c r="H108" s="357">
        <v>0.85</v>
      </c>
      <c r="I108" s="357">
        <v>0.85</v>
      </c>
      <c r="J108" s="357">
        <v>0.85</v>
      </c>
      <c r="K108" s="357">
        <v>0.85</v>
      </c>
      <c r="L108" s="357">
        <v>0.85</v>
      </c>
      <c r="M108" s="357">
        <v>0.85</v>
      </c>
      <c r="N108" s="357">
        <v>0.85</v>
      </c>
      <c r="O108" s="357">
        <v>0.85</v>
      </c>
      <c r="P108" s="357">
        <v>0.85</v>
      </c>
      <c r="Q108" s="357">
        <v>0.85</v>
      </c>
      <c r="R108" s="357">
        <v>0.85</v>
      </c>
      <c r="S108" s="357">
        <v>0.85</v>
      </c>
      <c r="T108" s="357">
        <v>0.85</v>
      </c>
      <c r="U108" s="357">
        <v>0.85</v>
      </c>
      <c r="V108" s="357">
        <v>0.85</v>
      </c>
      <c r="W108" s="357">
        <v>0.85</v>
      </c>
      <c r="X108" s="357">
        <v>0.85</v>
      </c>
      <c r="Y108" s="357">
        <v>0.85</v>
      </c>
      <c r="Z108" s="357">
        <v>0.85</v>
      </c>
      <c r="AA108" s="357">
        <v>0.85</v>
      </c>
      <c r="AB108" s="357">
        <v>0.85</v>
      </c>
      <c r="AC108" s="357">
        <v>0.85</v>
      </c>
      <c r="AD108" s="357">
        <v>0.85</v>
      </c>
      <c r="AE108" s="357">
        <v>0.85</v>
      </c>
      <c r="AF108" s="357">
        <v>0.85</v>
      </c>
      <c r="AG108" s="357">
        <v>0.85</v>
      </c>
      <c r="AH108" s="357">
        <v>0.85</v>
      </c>
      <c r="AI108" s="357">
        <v>0.85</v>
      </c>
      <c r="AJ108" s="357">
        <v>0.85</v>
      </c>
    </row>
    <row r="109" spans="2:36" x14ac:dyDescent="0.25">
      <c r="B109" s="641"/>
      <c r="D109" s="610"/>
      <c r="E109" s="351" t="s">
        <v>126</v>
      </c>
      <c r="F109" s="352" t="s">
        <v>232</v>
      </c>
      <c r="G109" s="357">
        <v>0.85</v>
      </c>
      <c r="H109" s="357">
        <v>0.85</v>
      </c>
      <c r="I109" s="357">
        <v>0.85</v>
      </c>
      <c r="J109" s="357">
        <v>0.85</v>
      </c>
      <c r="K109" s="357">
        <v>0.85</v>
      </c>
      <c r="L109" s="357">
        <v>0.85</v>
      </c>
      <c r="M109" s="357">
        <v>0.85</v>
      </c>
      <c r="N109" s="357">
        <v>0.85</v>
      </c>
      <c r="O109" s="357">
        <v>0.85</v>
      </c>
      <c r="P109" s="357">
        <v>0.85</v>
      </c>
      <c r="Q109" s="357">
        <v>0.85</v>
      </c>
      <c r="R109" s="357">
        <v>0.85</v>
      </c>
      <c r="S109" s="357">
        <v>0.85</v>
      </c>
      <c r="T109" s="357">
        <v>0.85</v>
      </c>
      <c r="U109" s="357">
        <v>0.85</v>
      </c>
      <c r="V109" s="357">
        <v>0.85</v>
      </c>
      <c r="W109" s="357">
        <v>0.85</v>
      </c>
      <c r="X109" s="357">
        <v>0.85</v>
      </c>
      <c r="Y109" s="357">
        <v>0.85</v>
      </c>
      <c r="Z109" s="357">
        <v>0.85</v>
      </c>
      <c r="AA109" s="357">
        <v>0.85</v>
      </c>
      <c r="AB109" s="357">
        <v>0.85</v>
      </c>
      <c r="AC109" s="357">
        <v>0.85</v>
      </c>
      <c r="AD109" s="357">
        <v>0.85</v>
      </c>
      <c r="AE109" s="357">
        <v>0.85</v>
      </c>
      <c r="AF109" s="357">
        <v>0.85</v>
      </c>
      <c r="AG109" s="357">
        <v>0.85</v>
      </c>
      <c r="AH109" s="357">
        <v>0.85</v>
      </c>
      <c r="AI109" s="357">
        <v>0.85</v>
      </c>
      <c r="AJ109" s="357">
        <v>0.85</v>
      </c>
    </row>
    <row r="110" spans="2:36" x14ac:dyDescent="0.25">
      <c r="B110" s="641"/>
      <c r="D110" s="610"/>
      <c r="E110" s="351" t="s">
        <v>126</v>
      </c>
      <c r="F110" s="352" t="s">
        <v>194</v>
      </c>
      <c r="G110" s="357">
        <v>0.85</v>
      </c>
      <c r="H110" s="357">
        <v>0.85</v>
      </c>
      <c r="I110" s="357">
        <v>0.85</v>
      </c>
      <c r="J110" s="357">
        <v>0.85</v>
      </c>
      <c r="K110" s="357">
        <v>0.85</v>
      </c>
      <c r="L110" s="357">
        <v>0.85</v>
      </c>
      <c r="M110" s="357">
        <v>0.85</v>
      </c>
      <c r="N110" s="357">
        <v>0.85</v>
      </c>
      <c r="O110" s="357">
        <v>0.85</v>
      </c>
      <c r="P110" s="357">
        <v>0.85</v>
      </c>
      <c r="Q110" s="357">
        <v>0.85</v>
      </c>
      <c r="R110" s="357">
        <v>0.85</v>
      </c>
      <c r="S110" s="357">
        <v>0.85</v>
      </c>
      <c r="T110" s="357">
        <v>0.85</v>
      </c>
      <c r="U110" s="357">
        <v>0.85</v>
      </c>
      <c r="V110" s="357">
        <v>0.85</v>
      </c>
      <c r="W110" s="357">
        <v>0.85</v>
      </c>
      <c r="X110" s="357">
        <v>0.85</v>
      </c>
      <c r="Y110" s="357">
        <v>0.85</v>
      </c>
      <c r="Z110" s="357">
        <v>0.85</v>
      </c>
      <c r="AA110" s="357">
        <v>0.85</v>
      </c>
      <c r="AB110" s="357">
        <v>0.85</v>
      </c>
      <c r="AC110" s="357">
        <v>0.85</v>
      </c>
      <c r="AD110" s="357">
        <v>0.85</v>
      </c>
      <c r="AE110" s="357">
        <v>0.85</v>
      </c>
      <c r="AF110" s="357">
        <v>0.85</v>
      </c>
      <c r="AG110" s="357">
        <v>0.85</v>
      </c>
      <c r="AH110" s="357">
        <v>0.85</v>
      </c>
      <c r="AI110" s="357">
        <v>0.85</v>
      </c>
      <c r="AJ110" s="357">
        <v>0.85</v>
      </c>
    </row>
    <row r="111" spans="2:36" x14ac:dyDescent="0.25">
      <c r="B111" s="641"/>
    </row>
    <row r="112" spans="2:36" x14ac:dyDescent="0.25">
      <c r="B112" s="641"/>
      <c r="G112" s="31">
        <v>2021</v>
      </c>
      <c r="H112" s="31">
        <v>2022</v>
      </c>
      <c r="I112" s="31">
        <v>2023</v>
      </c>
      <c r="J112" s="31">
        <v>2024</v>
      </c>
      <c r="K112" s="31">
        <v>2025</v>
      </c>
      <c r="L112" s="31">
        <v>2026</v>
      </c>
      <c r="M112" s="31">
        <v>2027</v>
      </c>
      <c r="N112" s="31">
        <v>2028</v>
      </c>
      <c r="O112" s="31">
        <v>2029</v>
      </c>
      <c r="P112" s="31">
        <v>2030</v>
      </c>
      <c r="Q112" s="31">
        <v>2031</v>
      </c>
      <c r="R112" s="31">
        <v>2032</v>
      </c>
      <c r="S112" s="31">
        <v>2033</v>
      </c>
      <c r="T112" s="31">
        <v>2034</v>
      </c>
      <c r="U112" s="31">
        <v>2035</v>
      </c>
      <c r="V112" s="31">
        <v>2036</v>
      </c>
      <c r="W112" s="31">
        <v>2037</v>
      </c>
      <c r="X112" s="31">
        <v>2038</v>
      </c>
      <c r="Y112" s="31">
        <v>2039</v>
      </c>
      <c r="Z112" s="31">
        <v>2040</v>
      </c>
      <c r="AA112" s="31">
        <v>2041</v>
      </c>
      <c r="AB112" s="31">
        <v>2042</v>
      </c>
      <c r="AC112" s="31">
        <v>2043</v>
      </c>
      <c r="AD112" s="31">
        <v>2044</v>
      </c>
      <c r="AE112" s="31">
        <v>2045</v>
      </c>
      <c r="AF112" s="31">
        <v>2046</v>
      </c>
      <c r="AG112" s="31">
        <v>2047</v>
      </c>
      <c r="AH112" s="31">
        <v>2048</v>
      </c>
      <c r="AI112" s="31">
        <v>2049</v>
      </c>
      <c r="AJ112" s="31">
        <v>2050</v>
      </c>
    </row>
    <row r="113" spans="1:36" x14ac:dyDescent="0.25">
      <c r="A113" s="325" t="str">
        <f t="shared" ref="A113:A127" si="2">$D$113&amp;"_"&amp;E113&amp;"_"&amp;F113</f>
        <v>Capacity Factor (%)_Utility-Scale Battery Storage - 2Hr_Advanced</v>
      </c>
      <c r="B113" s="641"/>
      <c r="D113" s="608" t="s">
        <v>237</v>
      </c>
      <c r="E113" s="351" t="s">
        <v>236</v>
      </c>
      <c r="F113" s="352" t="s">
        <v>233</v>
      </c>
      <c r="G113" s="357">
        <v>8.3333333333333329E-2</v>
      </c>
      <c r="H113" s="357">
        <v>8.3333333333333329E-2</v>
      </c>
      <c r="I113" s="357">
        <v>8.3333333333333329E-2</v>
      </c>
      <c r="J113" s="357">
        <v>8.3333333333333329E-2</v>
      </c>
      <c r="K113" s="357">
        <v>8.3333333333333329E-2</v>
      </c>
      <c r="L113" s="357">
        <v>8.3333333333333329E-2</v>
      </c>
      <c r="M113" s="357">
        <v>8.3333333333333329E-2</v>
      </c>
      <c r="N113" s="357">
        <v>8.3333333333333329E-2</v>
      </c>
      <c r="O113" s="357">
        <v>8.3333333333333329E-2</v>
      </c>
      <c r="P113" s="357">
        <v>8.3333333333333329E-2</v>
      </c>
      <c r="Q113" s="357">
        <v>8.3333333333333329E-2</v>
      </c>
      <c r="R113" s="357">
        <v>8.3333333333333329E-2</v>
      </c>
      <c r="S113" s="357">
        <v>8.3333333333333329E-2</v>
      </c>
      <c r="T113" s="357">
        <v>8.3333333333333329E-2</v>
      </c>
      <c r="U113" s="357">
        <v>8.3333333333333329E-2</v>
      </c>
      <c r="V113" s="357">
        <v>8.3333333333333329E-2</v>
      </c>
      <c r="W113" s="357">
        <v>8.3333333333333329E-2</v>
      </c>
      <c r="X113" s="357">
        <v>8.3333333333333329E-2</v>
      </c>
      <c r="Y113" s="357">
        <v>8.3333333333333329E-2</v>
      </c>
      <c r="Z113" s="357">
        <v>8.3333333333333329E-2</v>
      </c>
      <c r="AA113" s="357">
        <v>8.3333333333333329E-2</v>
      </c>
      <c r="AB113" s="357">
        <v>8.3333333333333329E-2</v>
      </c>
      <c r="AC113" s="357">
        <v>8.3333333333333329E-2</v>
      </c>
      <c r="AD113" s="357">
        <v>8.3333333333333329E-2</v>
      </c>
      <c r="AE113" s="357">
        <v>8.3333333333333329E-2</v>
      </c>
      <c r="AF113" s="357">
        <v>8.3333333333333329E-2</v>
      </c>
      <c r="AG113" s="357">
        <v>8.3333333333333329E-2</v>
      </c>
      <c r="AH113" s="357">
        <v>8.3333333333333329E-2</v>
      </c>
      <c r="AI113" s="357">
        <v>8.3333333333333329E-2</v>
      </c>
      <c r="AJ113" s="357">
        <v>8.3333333333333329E-2</v>
      </c>
    </row>
    <row r="114" spans="1:36" x14ac:dyDescent="0.25">
      <c r="A114" s="325" t="str">
        <f t="shared" si="2"/>
        <v>Capacity Factor (%)_Utility-Scale Battery Storage - 2Hr_Moderate</v>
      </c>
      <c r="B114" s="641"/>
      <c r="D114" s="609"/>
      <c r="E114" s="354" t="s">
        <v>236</v>
      </c>
      <c r="F114" s="352" t="s">
        <v>232</v>
      </c>
      <c r="G114" s="357">
        <v>8.3333333333333329E-2</v>
      </c>
      <c r="H114" s="357">
        <v>8.3333333333333329E-2</v>
      </c>
      <c r="I114" s="357">
        <v>8.3333333333333329E-2</v>
      </c>
      <c r="J114" s="357">
        <v>8.3333333333333329E-2</v>
      </c>
      <c r="K114" s="357">
        <v>8.3333333333333329E-2</v>
      </c>
      <c r="L114" s="357">
        <v>8.3333333333333329E-2</v>
      </c>
      <c r="M114" s="357">
        <v>8.3333333333333329E-2</v>
      </c>
      <c r="N114" s="357">
        <v>8.3333333333333329E-2</v>
      </c>
      <c r="O114" s="357">
        <v>8.3333333333333329E-2</v>
      </c>
      <c r="P114" s="357">
        <v>8.3333333333333329E-2</v>
      </c>
      <c r="Q114" s="357">
        <v>8.3333333333333329E-2</v>
      </c>
      <c r="R114" s="357">
        <v>8.3333333333333329E-2</v>
      </c>
      <c r="S114" s="357">
        <v>8.3333333333333329E-2</v>
      </c>
      <c r="T114" s="357">
        <v>8.3333333333333329E-2</v>
      </c>
      <c r="U114" s="357">
        <v>8.3333333333333329E-2</v>
      </c>
      <c r="V114" s="357">
        <v>8.3333333333333329E-2</v>
      </c>
      <c r="W114" s="357">
        <v>8.3333333333333329E-2</v>
      </c>
      <c r="X114" s="357">
        <v>8.3333333333333329E-2</v>
      </c>
      <c r="Y114" s="357">
        <v>8.3333333333333329E-2</v>
      </c>
      <c r="Z114" s="357">
        <v>8.3333333333333329E-2</v>
      </c>
      <c r="AA114" s="357">
        <v>8.3333333333333329E-2</v>
      </c>
      <c r="AB114" s="357">
        <v>8.3333333333333329E-2</v>
      </c>
      <c r="AC114" s="357">
        <v>8.3333333333333329E-2</v>
      </c>
      <c r="AD114" s="357">
        <v>8.3333333333333329E-2</v>
      </c>
      <c r="AE114" s="357">
        <v>8.3333333333333329E-2</v>
      </c>
      <c r="AF114" s="357">
        <v>8.3333333333333329E-2</v>
      </c>
      <c r="AG114" s="357">
        <v>8.3333333333333329E-2</v>
      </c>
      <c r="AH114" s="357">
        <v>8.3333333333333329E-2</v>
      </c>
      <c r="AI114" s="357">
        <v>8.3333333333333329E-2</v>
      </c>
      <c r="AJ114" s="357">
        <v>8.3333333333333329E-2</v>
      </c>
    </row>
    <row r="115" spans="1:36" x14ac:dyDescent="0.25">
      <c r="A115" s="325" t="str">
        <f t="shared" si="2"/>
        <v>Capacity Factor (%)_Utility-Scale Battery Storage - 2Hr_Conservative</v>
      </c>
      <c r="B115" s="641"/>
      <c r="D115" s="609"/>
      <c r="E115" s="404" t="s">
        <v>236</v>
      </c>
      <c r="F115" s="352" t="s">
        <v>194</v>
      </c>
      <c r="G115" s="357">
        <v>8.3333333333333329E-2</v>
      </c>
      <c r="H115" s="357">
        <v>8.3333333333333329E-2</v>
      </c>
      <c r="I115" s="357">
        <v>8.3333333333333329E-2</v>
      </c>
      <c r="J115" s="357">
        <v>8.3333333333333329E-2</v>
      </c>
      <c r="K115" s="357">
        <v>8.3333333333333329E-2</v>
      </c>
      <c r="L115" s="357">
        <v>8.3333333333333329E-2</v>
      </c>
      <c r="M115" s="357">
        <v>8.3333333333333329E-2</v>
      </c>
      <c r="N115" s="357">
        <v>8.3333333333333329E-2</v>
      </c>
      <c r="O115" s="357">
        <v>8.3333333333333329E-2</v>
      </c>
      <c r="P115" s="357">
        <v>8.3333333333333329E-2</v>
      </c>
      <c r="Q115" s="357">
        <v>8.3333333333333329E-2</v>
      </c>
      <c r="R115" s="357">
        <v>8.3333333333333329E-2</v>
      </c>
      <c r="S115" s="357">
        <v>8.3333333333333329E-2</v>
      </c>
      <c r="T115" s="357">
        <v>8.3333333333333329E-2</v>
      </c>
      <c r="U115" s="357">
        <v>8.3333333333333329E-2</v>
      </c>
      <c r="V115" s="357">
        <v>8.3333333333333329E-2</v>
      </c>
      <c r="W115" s="357">
        <v>8.3333333333333329E-2</v>
      </c>
      <c r="X115" s="357">
        <v>8.3333333333333329E-2</v>
      </c>
      <c r="Y115" s="357">
        <v>8.3333333333333329E-2</v>
      </c>
      <c r="Z115" s="357">
        <v>8.3333333333333329E-2</v>
      </c>
      <c r="AA115" s="357">
        <v>8.3333333333333329E-2</v>
      </c>
      <c r="AB115" s="357">
        <v>8.3333333333333329E-2</v>
      </c>
      <c r="AC115" s="357">
        <v>8.3333333333333329E-2</v>
      </c>
      <c r="AD115" s="357">
        <v>8.3333333333333329E-2</v>
      </c>
      <c r="AE115" s="357">
        <v>8.3333333333333329E-2</v>
      </c>
      <c r="AF115" s="357">
        <v>8.3333333333333329E-2</v>
      </c>
      <c r="AG115" s="357">
        <v>8.3333333333333329E-2</v>
      </c>
      <c r="AH115" s="357">
        <v>8.3333333333333329E-2</v>
      </c>
      <c r="AI115" s="357">
        <v>8.3333333333333329E-2</v>
      </c>
      <c r="AJ115" s="357">
        <v>8.3333333333333329E-2</v>
      </c>
    </row>
    <row r="116" spans="1:36" x14ac:dyDescent="0.25">
      <c r="A116" s="325" t="str">
        <f t="shared" si="2"/>
        <v>Capacity Factor (%)_Utility-Scale Battery Storage - 4Hr_Advanced</v>
      </c>
      <c r="B116" s="641"/>
      <c r="D116" s="610"/>
      <c r="E116" s="351" t="s">
        <v>125</v>
      </c>
      <c r="F116" s="352" t="s">
        <v>233</v>
      </c>
      <c r="G116" s="357">
        <v>0.16666666666666666</v>
      </c>
      <c r="H116" s="357">
        <v>0.16666666666666666</v>
      </c>
      <c r="I116" s="357">
        <v>0.16666666666666666</v>
      </c>
      <c r="J116" s="357">
        <v>0.16666666666666666</v>
      </c>
      <c r="K116" s="357">
        <v>0.16666666666666666</v>
      </c>
      <c r="L116" s="357">
        <v>0.16666666666666666</v>
      </c>
      <c r="M116" s="357">
        <v>0.16666666666666666</v>
      </c>
      <c r="N116" s="357">
        <v>0.16666666666666666</v>
      </c>
      <c r="O116" s="357">
        <v>0.16666666666666666</v>
      </c>
      <c r="P116" s="357">
        <v>0.16666666666666666</v>
      </c>
      <c r="Q116" s="357">
        <v>0.16666666666666666</v>
      </c>
      <c r="R116" s="357">
        <v>0.16666666666666666</v>
      </c>
      <c r="S116" s="357">
        <v>0.16666666666666666</v>
      </c>
      <c r="T116" s="357">
        <v>0.16666666666666666</v>
      </c>
      <c r="U116" s="357">
        <v>0.16666666666666666</v>
      </c>
      <c r="V116" s="357">
        <v>0.16666666666666666</v>
      </c>
      <c r="W116" s="357">
        <v>0.16666666666666666</v>
      </c>
      <c r="X116" s="357">
        <v>0.16666666666666666</v>
      </c>
      <c r="Y116" s="357">
        <v>0.16666666666666666</v>
      </c>
      <c r="Z116" s="357">
        <v>0.16666666666666666</v>
      </c>
      <c r="AA116" s="357">
        <v>0.16666666666666666</v>
      </c>
      <c r="AB116" s="357">
        <v>0.16666666666666666</v>
      </c>
      <c r="AC116" s="357">
        <v>0.16666666666666666</v>
      </c>
      <c r="AD116" s="357">
        <v>0.16666666666666666</v>
      </c>
      <c r="AE116" s="357">
        <v>0.16666666666666666</v>
      </c>
      <c r="AF116" s="357">
        <v>0.16666666666666666</v>
      </c>
      <c r="AG116" s="357">
        <v>0.16666666666666666</v>
      </c>
      <c r="AH116" s="357">
        <v>0.16666666666666666</v>
      </c>
      <c r="AI116" s="357">
        <v>0.16666666666666666</v>
      </c>
      <c r="AJ116" s="357">
        <v>0.16666666666666666</v>
      </c>
    </row>
    <row r="117" spans="1:36" x14ac:dyDescent="0.25">
      <c r="A117" s="325" t="str">
        <f t="shared" si="2"/>
        <v>Capacity Factor (%)_Utility-Scale Battery Storage - 4Hr_Moderate</v>
      </c>
      <c r="B117" s="641"/>
      <c r="D117" s="610"/>
      <c r="E117" s="351" t="s">
        <v>125</v>
      </c>
      <c r="F117" s="352" t="s">
        <v>232</v>
      </c>
      <c r="G117" s="357">
        <v>0.16666666666666666</v>
      </c>
      <c r="H117" s="357">
        <v>0.16666666666666666</v>
      </c>
      <c r="I117" s="357">
        <v>0.16666666666666666</v>
      </c>
      <c r="J117" s="357">
        <v>0.16666666666666666</v>
      </c>
      <c r="K117" s="357">
        <v>0.16666666666666666</v>
      </c>
      <c r="L117" s="357">
        <v>0.16666666666666666</v>
      </c>
      <c r="M117" s="357">
        <v>0.16666666666666666</v>
      </c>
      <c r="N117" s="357">
        <v>0.16666666666666666</v>
      </c>
      <c r="O117" s="357">
        <v>0.16666666666666666</v>
      </c>
      <c r="P117" s="357">
        <v>0.16666666666666666</v>
      </c>
      <c r="Q117" s="357">
        <v>0.16666666666666666</v>
      </c>
      <c r="R117" s="357">
        <v>0.16666666666666666</v>
      </c>
      <c r="S117" s="357">
        <v>0.16666666666666666</v>
      </c>
      <c r="T117" s="357">
        <v>0.16666666666666666</v>
      </c>
      <c r="U117" s="357">
        <v>0.16666666666666666</v>
      </c>
      <c r="V117" s="357">
        <v>0.16666666666666666</v>
      </c>
      <c r="W117" s="357">
        <v>0.16666666666666666</v>
      </c>
      <c r="X117" s="357">
        <v>0.16666666666666666</v>
      </c>
      <c r="Y117" s="357">
        <v>0.16666666666666666</v>
      </c>
      <c r="Z117" s="357">
        <v>0.16666666666666666</v>
      </c>
      <c r="AA117" s="357">
        <v>0.16666666666666666</v>
      </c>
      <c r="AB117" s="357">
        <v>0.16666666666666666</v>
      </c>
      <c r="AC117" s="357">
        <v>0.16666666666666666</v>
      </c>
      <c r="AD117" s="357">
        <v>0.16666666666666666</v>
      </c>
      <c r="AE117" s="357">
        <v>0.16666666666666666</v>
      </c>
      <c r="AF117" s="357">
        <v>0.16666666666666666</v>
      </c>
      <c r="AG117" s="357">
        <v>0.16666666666666666</v>
      </c>
      <c r="AH117" s="357">
        <v>0.16666666666666666</v>
      </c>
      <c r="AI117" s="357">
        <v>0.16666666666666666</v>
      </c>
      <c r="AJ117" s="357">
        <v>0.16666666666666666</v>
      </c>
    </row>
    <row r="118" spans="1:36" x14ac:dyDescent="0.25">
      <c r="A118" s="325" t="str">
        <f t="shared" si="2"/>
        <v>Capacity Factor (%)_Utility-Scale Battery Storage - 4Hr_Conservative</v>
      </c>
      <c r="B118" s="641"/>
      <c r="D118" s="610"/>
      <c r="E118" s="351" t="s">
        <v>125</v>
      </c>
      <c r="F118" s="352" t="s">
        <v>194</v>
      </c>
      <c r="G118" s="357">
        <v>0.16666666666666666</v>
      </c>
      <c r="H118" s="357">
        <v>0.16666666666666666</v>
      </c>
      <c r="I118" s="357">
        <v>0.16666666666666666</v>
      </c>
      <c r="J118" s="357">
        <v>0.16666666666666666</v>
      </c>
      <c r="K118" s="357">
        <v>0.16666666666666666</v>
      </c>
      <c r="L118" s="357">
        <v>0.16666666666666666</v>
      </c>
      <c r="M118" s="357">
        <v>0.16666666666666666</v>
      </c>
      <c r="N118" s="357">
        <v>0.16666666666666666</v>
      </c>
      <c r="O118" s="357">
        <v>0.16666666666666666</v>
      </c>
      <c r="P118" s="357">
        <v>0.16666666666666666</v>
      </c>
      <c r="Q118" s="357">
        <v>0.16666666666666666</v>
      </c>
      <c r="R118" s="357">
        <v>0.16666666666666666</v>
      </c>
      <c r="S118" s="357">
        <v>0.16666666666666666</v>
      </c>
      <c r="T118" s="357">
        <v>0.16666666666666666</v>
      </c>
      <c r="U118" s="357">
        <v>0.16666666666666666</v>
      </c>
      <c r="V118" s="357">
        <v>0.16666666666666666</v>
      </c>
      <c r="W118" s="357">
        <v>0.16666666666666666</v>
      </c>
      <c r="X118" s="357">
        <v>0.16666666666666666</v>
      </c>
      <c r="Y118" s="357">
        <v>0.16666666666666666</v>
      </c>
      <c r="Z118" s="357">
        <v>0.16666666666666666</v>
      </c>
      <c r="AA118" s="357">
        <v>0.16666666666666666</v>
      </c>
      <c r="AB118" s="357">
        <v>0.16666666666666666</v>
      </c>
      <c r="AC118" s="357">
        <v>0.16666666666666666</v>
      </c>
      <c r="AD118" s="357">
        <v>0.16666666666666666</v>
      </c>
      <c r="AE118" s="357">
        <v>0.16666666666666666</v>
      </c>
      <c r="AF118" s="357">
        <v>0.16666666666666666</v>
      </c>
      <c r="AG118" s="357">
        <v>0.16666666666666666</v>
      </c>
      <c r="AH118" s="357">
        <v>0.16666666666666666</v>
      </c>
      <c r="AI118" s="357">
        <v>0.16666666666666666</v>
      </c>
      <c r="AJ118" s="357">
        <v>0.16666666666666666</v>
      </c>
    </row>
    <row r="119" spans="1:36" x14ac:dyDescent="0.25">
      <c r="A119" s="325" t="str">
        <f t="shared" si="2"/>
        <v>Capacity Factor (%)_Utility-Scale Battery Storage - 6Hr_Advanced</v>
      </c>
      <c r="B119" s="641"/>
      <c r="D119" s="610"/>
      <c r="E119" s="351" t="s">
        <v>235</v>
      </c>
      <c r="F119" s="352" t="s">
        <v>233</v>
      </c>
      <c r="G119" s="357">
        <v>0.25</v>
      </c>
      <c r="H119" s="357">
        <v>0.25</v>
      </c>
      <c r="I119" s="357">
        <v>0.25</v>
      </c>
      <c r="J119" s="357">
        <v>0.25</v>
      </c>
      <c r="K119" s="357">
        <v>0.25</v>
      </c>
      <c r="L119" s="357">
        <v>0.25</v>
      </c>
      <c r="M119" s="357">
        <v>0.25</v>
      </c>
      <c r="N119" s="357">
        <v>0.25</v>
      </c>
      <c r="O119" s="357">
        <v>0.25</v>
      </c>
      <c r="P119" s="357">
        <v>0.25</v>
      </c>
      <c r="Q119" s="357">
        <v>0.25</v>
      </c>
      <c r="R119" s="357">
        <v>0.25</v>
      </c>
      <c r="S119" s="357">
        <v>0.25</v>
      </c>
      <c r="T119" s="357">
        <v>0.25</v>
      </c>
      <c r="U119" s="357">
        <v>0.25</v>
      </c>
      <c r="V119" s="357">
        <v>0.25</v>
      </c>
      <c r="W119" s="357">
        <v>0.25</v>
      </c>
      <c r="X119" s="357">
        <v>0.25</v>
      </c>
      <c r="Y119" s="357">
        <v>0.25</v>
      </c>
      <c r="Z119" s="357">
        <v>0.25</v>
      </c>
      <c r="AA119" s="357">
        <v>0.25</v>
      </c>
      <c r="AB119" s="357">
        <v>0.25</v>
      </c>
      <c r="AC119" s="357">
        <v>0.25</v>
      </c>
      <c r="AD119" s="357">
        <v>0.25</v>
      </c>
      <c r="AE119" s="357">
        <v>0.25</v>
      </c>
      <c r="AF119" s="357">
        <v>0.25</v>
      </c>
      <c r="AG119" s="357">
        <v>0.25</v>
      </c>
      <c r="AH119" s="357">
        <v>0.25</v>
      </c>
      <c r="AI119" s="357">
        <v>0.25</v>
      </c>
      <c r="AJ119" s="357">
        <v>0.25</v>
      </c>
    </row>
    <row r="120" spans="1:36" x14ac:dyDescent="0.25">
      <c r="A120" s="325" t="str">
        <f t="shared" si="2"/>
        <v>Capacity Factor (%)_Utility-Scale Battery Storage - 6Hr_Moderate</v>
      </c>
      <c r="B120" s="641"/>
      <c r="D120" s="610"/>
      <c r="E120" s="351" t="s">
        <v>235</v>
      </c>
      <c r="F120" s="352" t="s">
        <v>232</v>
      </c>
      <c r="G120" s="357">
        <v>0.25</v>
      </c>
      <c r="H120" s="357">
        <v>0.25</v>
      </c>
      <c r="I120" s="357">
        <v>0.25</v>
      </c>
      <c r="J120" s="357">
        <v>0.25</v>
      </c>
      <c r="K120" s="357">
        <v>0.25</v>
      </c>
      <c r="L120" s="357">
        <v>0.25</v>
      </c>
      <c r="M120" s="357">
        <v>0.25</v>
      </c>
      <c r="N120" s="357">
        <v>0.25</v>
      </c>
      <c r="O120" s="357">
        <v>0.25</v>
      </c>
      <c r="P120" s="357">
        <v>0.25</v>
      </c>
      <c r="Q120" s="357">
        <v>0.25</v>
      </c>
      <c r="R120" s="357">
        <v>0.25</v>
      </c>
      <c r="S120" s="357">
        <v>0.25</v>
      </c>
      <c r="T120" s="357">
        <v>0.25</v>
      </c>
      <c r="U120" s="357">
        <v>0.25</v>
      </c>
      <c r="V120" s="357">
        <v>0.25</v>
      </c>
      <c r="W120" s="357">
        <v>0.25</v>
      </c>
      <c r="X120" s="357">
        <v>0.25</v>
      </c>
      <c r="Y120" s="357">
        <v>0.25</v>
      </c>
      <c r="Z120" s="357">
        <v>0.25</v>
      </c>
      <c r="AA120" s="357">
        <v>0.25</v>
      </c>
      <c r="AB120" s="357">
        <v>0.25</v>
      </c>
      <c r="AC120" s="357">
        <v>0.25</v>
      </c>
      <c r="AD120" s="357">
        <v>0.25</v>
      </c>
      <c r="AE120" s="357">
        <v>0.25</v>
      </c>
      <c r="AF120" s="357">
        <v>0.25</v>
      </c>
      <c r="AG120" s="357">
        <v>0.25</v>
      </c>
      <c r="AH120" s="357">
        <v>0.25</v>
      </c>
      <c r="AI120" s="357">
        <v>0.25</v>
      </c>
      <c r="AJ120" s="357">
        <v>0.25</v>
      </c>
    </row>
    <row r="121" spans="1:36" x14ac:dyDescent="0.25">
      <c r="A121" s="325" t="str">
        <f t="shared" si="2"/>
        <v>Capacity Factor (%)_Utility-Scale Battery Storage - 6Hr_Conservative</v>
      </c>
      <c r="B121" s="641"/>
      <c r="D121" s="610"/>
      <c r="E121" s="351" t="s">
        <v>235</v>
      </c>
      <c r="F121" s="352" t="s">
        <v>194</v>
      </c>
      <c r="G121" s="357">
        <v>0.25</v>
      </c>
      <c r="H121" s="357">
        <v>0.25</v>
      </c>
      <c r="I121" s="357">
        <v>0.25</v>
      </c>
      <c r="J121" s="357">
        <v>0.25</v>
      </c>
      <c r="K121" s="357">
        <v>0.25</v>
      </c>
      <c r="L121" s="357">
        <v>0.25</v>
      </c>
      <c r="M121" s="357">
        <v>0.25</v>
      </c>
      <c r="N121" s="357">
        <v>0.25</v>
      </c>
      <c r="O121" s="357">
        <v>0.25</v>
      </c>
      <c r="P121" s="357">
        <v>0.25</v>
      </c>
      <c r="Q121" s="357">
        <v>0.25</v>
      </c>
      <c r="R121" s="357">
        <v>0.25</v>
      </c>
      <c r="S121" s="357">
        <v>0.25</v>
      </c>
      <c r="T121" s="357">
        <v>0.25</v>
      </c>
      <c r="U121" s="357">
        <v>0.25</v>
      </c>
      <c r="V121" s="357">
        <v>0.25</v>
      </c>
      <c r="W121" s="357">
        <v>0.25</v>
      </c>
      <c r="X121" s="357">
        <v>0.25</v>
      </c>
      <c r="Y121" s="357">
        <v>0.25</v>
      </c>
      <c r="Z121" s="357">
        <v>0.25</v>
      </c>
      <c r="AA121" s="357">
        <v>0.25</v>
      </c>
      <c r="AB121" s="357">
        <v>0.25</v>
      </c>
      <c r="AC121" s="357">
        <v>0.25</v>
      </c>
      <c r="AD121" s="357">
        <v>0.25</v>
      </c>
      <c r="AE121" s="357">
        <v>0.25</v>
      </c>
      <c r="AF121" s="357">
        <v>0.25</v>
      </c>
      <c r="AG121" s="357">
        <v>0.25</v>
      </c>
      <c r="AH121" s="357">
        <v>0.25</v>
      </c>
      <c r="AI121" s="357">
        <v>0.25</v>
      </c>
      <c r="AJ121" s="357">
        <v>0.25</v>
      </c>
    </row>
    <row r="122" spans="1:36" x14ac:dyDescent="0.25">
      <c r="A122" s="325" t="str">
        <f t="shared" si="2"/>
        <v>Capacity Factor (%)_Utility-Scale Battery Storage - 8Hr_Advanced</v>
      </c>
      <c r="B122" s="641"/>
      <c r="D122" s="610"/>
      <c r="E122" s="351" t="s">
        <v>234</v>
      </c>
      <c r="F122" s="352" t="s">
        <v>233</v>
      </c>
      <c r="G122" s="357">
        <v>0.33333333333333331</v>
      </c>
      <c r="H122" s="357">
        <v>0.33333333333333331</v>
      </c>
      <c r="I122" s="357">
        <v>0.33333333333333331</v>
      </c>
      <c r="J122" s="357">
        <v>0.33333333333333331</v>
      </c>
      <c r="K122" s="357">
        <v>0.33333333333333331</v>
      </c>
      <c r="L122" s="357">
        <v>0.33333333333333331</v>
      </c>
      <c r="M122" s="357">
        <v>0.33333333333333331</v>
      </c>
      <c r="N122" s="357">
        <v>0.33333333333333331</v>
      </c>
      <c r="O122" s="357">
        <v>0.33333333333333331</v>
      </c>
      <c r="P122" s="357">
        <v>0.33333333333333331</v>
      </c>
      <c r="Q122" s="357">
        <v>0.33333333333333331</v>
      </c>
      <c r="R122" s="357">
        <v>0.33333333333333331</v>
      </c>
      <c r="S122" s="357">
        <v>0.33333333333333331</v>
      </c>
      <c r="T122" s="357">
        <v>0.33333333333333331</v>
      </c>
      <c r="U122" s="357">
        <v>0.33333333333333331</v>
      </c>
      <c r="V122" s="357">
        <v>0.33333333333333331</v>
      </c>
      <c r="W122" s="357">
        <v>0.33333333333333331</v>
      </c>
      <c r="X122" s="357">
        <v>0.33333333333333331</v>
      </c>
      <c r="Y122" s="357">
        <v>0.33333333333333331</v>
      </c>
      <c r="Z122" s="357">
        <v>0.33333333333333331</v>
      </c>
      <c r="AA122" s="357">
        <v>0.33333333333333331</v>
      </c>
      <c r="AB122" s="357">
        <v>0.33333333333333331</v>
      </c>
      <c r="AC122" s="357">
        <v>0.33333333333333331</v>
      </c>
      <c r="AD122" s="357">
        <v>0.33333333333333331</v>
      </c>
      <c r="AE122" s="357">
        <v>0.33333333333333331</v>
      </c>
      <c r="AF122" s="357">
        <v>0.33333333333333331</v>
      </c>
      <c r="AG122" s="357">
        <v>0.33333333333333331</v>
      </c>
      <c r="AH122" s="357">
        <v>0.33333333333333331</v>
      </c>
      <c r="AI122" s="357">
        <v>0.33333333333333331</v>
      </c>
      <c r="AJ122" s="357">
        <v>0.33333333333333331</v>
      </c>
    </row>
    <row r="123" spans="1:36" x14ac:dyDescent="0.25">
      <c r="A123" s="325" t="str">
        <f t="shared" si="2"/>
        <v>Capacity Factor (%)_Utility-Scale Battery Storage - 8Hr_Moderate</v>
      </c>
      <c r="B123" s="641"/>
      <c r="D123" s="610"/>
      <c r="E123" s="351" t="s">
        <v>234</v>
      </c>
      <c r="F123" s="352" t="s">
        <v>232</v>
      </c>
      <c r="G123" s="357">
        <v>0.33333333333333331</v>
      </c>
      <c r="H123" s="357">
        <v>0.33333333333333331</v>
      </c>
      <c r="I123" s="357">
        <v>0.33333333333333331</v>
      </c>
      <c r="J123" s="357">
        <v>0.33333333333333331</v>
      </c>
      <c r="K123" s="357">
        <v>0.33333333333333331</v>
      </c>
      <c r="L123" s="357">
        <v>0.33333333333333331</v>
      </c>
      <c r="M123" s="357">
        <v>0.33333333333333331</v>
      </c>
      <c r="N123" s="357">
        <v>0.33333333333333331</v>
      </c>
      <c r="O123" s="357">
        <v>0.33333333333333331</v>
      </c>
      <c r="P123" s="357">
        <v>0.33333333333333331</v>
      </c>
      <c r="Q123" s="357">
        <v>0.33333333333333331</v>
      </c>
      <c r="R123" s="357">
        <v>0.33333333333333331</v>
      </c>
      <c r="S123" s="357">
        <v>0.33333333333333331</v>
      </c>
      <c r="T123" s="357">
        <v>0.33333333333333331</v>
      </c>
      <c r="U123" s="357">
        <v>0.33333333333333331</v>
      </c>
      <c r="V123" s="357">
        <v>0.33333333333333331</v>
      </c>
      <c r="W123" s="357">
        <v>0.33333333333333331</v>
      </c>
      <c r="X123" s="357">
        <v>0.33333333333333331</v>
      </c>
      <c r="Y123" s="357">
        <v>0.33333333333333331</v>
      </c>
      <c r="Z123" s="357">
        <v>0.33333333333333331</v>
      </c>
      <c r="AA123" s="357">
        <v>0.33333333333333331</v>
      </c>
      <c r="AB123" s="357">
        <v>0.33333333333333331</v>
      </c>
      <c r="AC123" s="357">
        <v>0.33333333333333331</v>
      </c>
      <c r="AD123" s="357">
        <v>0.33333333333333331</v>
      </c>
      <c r="AE123" s="357">
        <v>0.33333333333333331</v>
      </c>
      <c r="AF123" s="357">
        <v>0.33333333333333331</v>
      </c>
      <c r="AG123" s="357">
        <v>0.33333333333333331</v>
      </c>
      <c r="AH123" s="357">
        <v>0.33333333333333331</v>
      </c>
      <c r="AI123" s="357">
        <v>0.33333333333333331</v>
      </c>
      <c r="AJ123" s="357">
        <v>0.33333333333333331</v>
      </c>
    </row>
    <row r="124" spans="1:36" x14ac:dyDescent="0.25">
      <c r="A124" s="325" t="str">
        <f t="shared" si="2"/>
        <v>Capacity Factor (%)_Utility-Scale Battery Storage - 8Hr_Conservative</v>
      </c>
      <c r="B124" s="641"/>
      <c r="D124" s="610"/>
      <c r="E124" s="351" t="s">
        <v>234</v>
      </c>
      <c r="F124" s="352" t="s">
        <v>194</v>
      </c>
      <c r="G124" s="357">
        <v>0.33333333333333331</v>
      </c>
      <c r="H124" s="357">
        <v>0.33333333333333331</v>
      </c>
      <c r="I124" s="357">
        <v>0.33333333333333331</v>
      </c>
      <c r="J124" s="357">
        <v>0.33333333333333331</v>
      </c>
      <c r="K124" s="357">
        <v>0.33333333333333331</v>
      </c>
      <c r="L124" s="357">
        <v>0.33333333333333331</v>
      </c>
      <c r="M124" s="357">
        <v>0.33333333333333331</v>
      </c>
      <c r="N124" s="357">
        <v>0.33333333333333331</v>
      </c>
      <c r="O124" s="357">
        <v>0.33333333333333331</v>
      </c>
      <c r="P124" s="357">
        <v>0.33333333333333331</v>
      </c>
      <c r="Q124" s="357">
        <v>0.33333333333333331</v>
      </c>
      <c r="R124" s="357">
        <v>0.33333333333333331</v>
      </c>
      <c r="S124" s="357">
        <v>0.33333333333333331</v>
      </c>
      <c r="T124" s="357">
        <v>0.33333333333333331</v>
      </c>
      <c r="U124" s="357">
        <v>0.33333333333333331</v>
      </c>
      <c r="V124" s="357">
        <v>0.33333333333333331</v>
      </c>
      <c r="W124" s="357">
        <v>0.33333333333333331</v>
      </c>
      <c r="X124" s="357">
        <v>0.33333333333333331</v>
      </c>
      <c r="Y124" s="357">
        <v>0.33333333333333331</v>
      </c>
      <c r="Z124" s="357">
        <v>0.33333333333333331</v>
      </c>
      <c r="AA124" s="357">
        <v>0.33333333333333331</v>
      </c>
      <c r="AB124" s="357">
        <v>0.33333333333333331</v>
      </c>
      <c r="AC124" s="357">
        <v>0.33333333333333331</v>
      </c>
      <c r="AD124" s="357">
        <v>0.33333333333333331</v>
      </c>
      <c r="AE124" s="357">
        <v>0.33333333333333331</v>
      </c>
      <c r="AF124" s="357">
        <v>0.33333333333333331</v>
      </c>
      <c r="AG124" s="357">
        <v>0.33333333333333331</v>
      </c>
      <c r="AH124" s="357">
        <v>0.33333333333333331</v>
      </c>
      <c r="AI124" s="357">
        <v>0.33333333333333331</v>
      </c>
      <c r="AJ124" s="357">
        <v>0.33333333333333331</v>
      </c>
    </row>
    <row r="125" spans="1:36" x14ac:dyDescent="0.25">
      <c r="A125" s="325" t="str">
        <f t="shared" si="2"/>
        <v>Capacity Factor (%)_Utility-Scale Battery Storage - 10Hr_Advanced</v>
      </c>
      <c r="B125" s="641"/>
      <c r="D125" s="610"/>
      <c r="E125" s="351" t="s">
        <v>126</v>
      </c>
      <c r="F125" s="352" t="s">
        <v>233</v>
      </c>
      <c r="G125" s="357">
        <v>0.41666666666666669</v>
      </c>
      <c r="H125" s="357">
        <v>0.41666666666666669</v>
      </c>
      <c r="I125" s="357">
        <v>0.41666666666666669</v>
      </c>
      <c r="J125" s="357">
        <v>0.41666666666666669</v>
      </c>
      <c r="K125" s="357">
        <v>0.41666666666666669</v>
      </c>
      <c r="L125" s="357">
        <v>0.41666666666666669</v>
      </c>
      <c r="M125" s="357">
        <v>0.41666666666666669</v>
      </c>
      <c r="N125" s="357">
        <v>0.41666666666666669</v>
      </c>
      <c r="O125" s="357">
        <v>0.41666666666666669</v>
      </c>
      <c r="P125" s="357">
        <v>0.41666666666666669</v>
      </c>
      <c r="Q125" s="357">
        <v>0.41666666666666669</v>
      </c>
      <c r="R125" s="357">
        <v>0.41666666666666669</v>
      </c>
      <c r="S125" s="357">
        <v>0.41666666666666669</v>
      </c>
      <c r="T125" s="357">
        <v>0.41666666666666669</v>
      </c>
      <c r="U125" s="357">
        <v>0.41666666666666669</v>
      </c>
      <c r="V125" s="357">
        <v>0.41666666666666669</v>
      </c>
      <c r="W125" s="357">
        <v>0.41666666666666669</v>
      </c>
      <c r="X125" s="357">
        <v>0.41666666666666669</v>
      </c>
      <c r="Y125" s="357">
        <v>0.41666666666666669</v>
      </c>
      <c r="Z125" s="357">
        <v>0.41666666666666669</v>
      </c>
      <c r="AA125" s="357">
        <v>0.41666666666666669</v>
      </c>
      <c r="AB125" s="357">
        <v>0.41666666666666669</v>
      </c>
      <c r="AC125" s="357">
        <v>0.41666666666666669</v>
      </c>
      <c r="AD125" s="357">
        <v>0.41666666666666669</v>
      </c>
      <c r="AE125" s="357">
        <v>0.41666666666666669</v>
      </c>
      <c r="AF125" s="357">
        <v>0.41666666666666669</v>
      </c>
      <c r="AG125" s="357">
        <v>0.41666666666666669</v>
      </c>
      <c r="AH125" s="357">
        <v>0.41666666666666669</v>
      </c>
      <c r="AI125" s="357">
        <v>0.41666666666666669</v>
      </c>
      <c r="AJ125" s="357">
        <v>0.41666666666666669</v>
      </c>
    </row>
    <row r="126" spans="1:36" x14ac:dyDescent="0.25">
      <c r="A126" s="325" t="str">
        <f t="shared" si="2"/>
        <v>Capacity Factor (%)_Utility-Scale Battery Storage - 10Hr_Moderate</v>
      </c>
      <c r="B126" s="641"/>
      <c r="D126" s="610"/>
      <c r="E126" s="351" t="s">
        <v>126</v>
      </c>
      <c r="F126" s="352" t="s">
        <v>232</v>
      </c>
      <c r="G126" s="357">
        <v>0.41666666666666669</v>
      </c>
      <c r="H126" s="357">
        <v>0.41666666666666669</v>
      </c>
      <c r="I126" s="357">
        <v>0.41666666666666669</v>
      </c>
      <c r="J126" s="357">
        <v>0.41666666666666669</v>
      </c>
      <c r="K126" s="357">
        <v>0.41666666666666669</v>
      </c>
      <c r="L126" s="357">
        <v>0.41666666666666669</v>
      </c>
      <c r="M126" s="357">
        <v>0.41666666666666669</v>
      </c>
      <c r="N126" s="357">
        <v>0.41666666666666669</v>
      </c>
      <c r="O126" s="357">
        <v>0.41666666666666669</v>
      </c>
      <c r="P126" s="357">
        <v>0.41666666666666669</v>
      </c>
      <c r="Q126" s="357">
        <v>0.41666666666666669</v>
      </c>
      <c r="R126" s="357">
        <v>0.41666666666666669</v>
      </c>
      <c r="S126" s="357">
        <v>0.41666666666666669</v>
      </c>
      <c r="T126" s="357">
        <v>0.41666666666666669</v>
      </c>
      <c r="U126" s="357">
        <v>0.41666666666666669</v>
      </c>
      <c r="V126" s="357">
        <v>0.41666666666666669</v>
      </c>
      <c r="W126" s="357">
        <v>0.41666666666666669</v>
      </c>
      <c r="X126" s="357">
        <v>0.41666666666666669</v>
      </c>
      <c r="Y126" s="357">
        <v>0.41666666666666669</v>
      </c>
      <c r="Z126" s="357">
        <v>0.41666666666666669</v>
      </c>
      <c r="AA126" s="357">
        <v>0.41666666666666669</v>
      </c>
      <c r="AB126" s="357">
        <v>0.41666666666666669</v>
      </c>
      <c r="AC126" s="357">
        <v>0.41666666666666669</v>
      </c>
      <c r="AD126" s="357">
        <v>0.41666666666666669</v>
      </c>
      <c r="AE126" s="357">
        <v>0.41666666666666669</v>
      </c>
      <c r="AF126" s="357">
        <v>0.41666666666666669</v>
      </c>
      <c r="AG126" s="357">
        <v>0.41666666666666669</v>
      </c>
      <c r="AH126" s="357">
        <v>0.41666666666666669</v>
      </c>
      <c r="AI126" s="357">
        <v>0.41666666666666669</v>
      </c>
      <c r="AJ126" s="357">
        <v>0.41666666666666669</v>
      </c>
    </row>
    <row r="127" spans="1:36" x14ac:dyDescent="0.25">
      <c r="A127" s="325" t="str">
        <f t="shared" si="2"/>
        <v>Capacity Factor (%)_Utility-Scale Battery Storage - 10Hr_Conservative</v>
      </c>
      <c r="B127" s="641"/>
      <c r="D127" s="610"/>
      <c r="E127" s="351" t="s">
        <v>126</v>
      </c>
      <c r="F127" s="352" t="s">
        <v>194</v>
      </c>
      <c r="G127" s="357">
        <v>0.41666666666666669</v>
      </c>
      <c r="H127" s="357">
        <v>0.41666666666666669</v>
      </c>
      <c r="I127" s="357">
        <v>0.41666666666666669</v>
      </c>
      <c r="J127" s="357">
        <v>0.41666666666666669</v>
      </c>
      <c r="K127" s="357">
        <v>0.41666666666666669</v>
      </c>
      <c r="L127" s="357">
        <v>0.41666666666666669</v>
      </c>
      <c r="M127" s="357">
        <v>0.41666666666666669</v>
      </c>
      <c r="N127" s="357">
        <v>0.41666666666666669</v>
      </c>
      <c r="O127" s="357">
        <v>0.41666666666666669</v>
      </c>
      <c r="P127" s="357">
        <v>0.41666666666666669</v>
      </c>
      <c r="Q127" s="357">
        <v>0.41666666666666669</v>
      </c>
      <c r="R127" s="357">
        <v>0.41666666666666669</v>
      </c>
      <c r="S127" s="357">
        <v>0.41666666666666669</v>
      </c>
      <c r="T127" s="357">
        <v>0.41666666666666669</v>
      </c>
      <c r="U127" s="357">
        <v>0.41666666666666669</v>
      </c>
      <c r="V127" s="357">
        <v>0.41666666666666669</v>
      </c>
      <c r="W127" s="357">
        <v>0.41666666666666669</v>
      </c>
      <c r="X127" s="357">
        <v>0.41666666666666669</v>
      </c>
      <c r="Y127" s="357">
        <v>0.41666666666666669</v>
      </c>
      <c r="Z127" s="357">
        <v>0.41666666666666669</v>
      </c>
      <c r="AA127" s="357">
        <v>0.41666666666666669</v>
      </c>
      <c r="AB127" s="357">
        <v>0.41666666666666669</v>
      </c>
      <c r="AC127" s="357">
        <v>0.41666666666666669</v>
      </c>
      <c r="AD127" s="357">
        <v>0.41666666666666669</v>
      </c>
      <c r="AE127" s="357">
        <v>0.41666666666666669</v>
      </c>
      <c r="AF127" s="357">
        <v>0.41666666666666669</v>
      </c>
      <c r="AG127" s="357">
        <v>0.41666666666666669</v>
      </c>
      <c r="AH127" s="357">
        <v>0.41666666666666669</v>
      </c>
      <c r="AI127" s="357">
        <v>0.41666666666666669</v>
      </c>
      <c r="AJ127" s="357">
        <v>0.41666666666666669</v>
      </c>
    </row>
    <row r="128" spans="1:36" x14ac:dyDescent="0.25">
      <c r="B128" s="43"/>
    </row>
    <row r="129" spans="2:28" x14ac:dyDescent="0.25">
      <c r="B129" s="637" t="s">
        <v>231</v>
      </c>
      <c r="C129" s="614"/>
      <c r="D129" s="614"/>
      <c r="E129" s="614"/>
      <c r="F129" s="614"/>
      <c r="G129" s="614"/>
      <c r="H129" s="614"/>
      <c r="I129" s="614"/>
      <c r="J129" s="614"/>
      <c r="K129" s="614"/>
      <c r="L129" s="614"/>
      <c r="M129" s="614"/>
      <c r="N129" s="614"/>
      <c r="O129" s="614"/>
      <c r="P129" s="614"/>
      <c r="Q129" s="335"/>
      <c r="R129" s="335"/>
      <c r="S129" s="335"/>
      <c r="T129" s="335"/>
      <c r="U129" s="335"/>
      <c r="V129" s="335"/>
      <c r="W129" s="335"/>
    </row>
    <row r="130" spans="2:28" ht="15.75" thickBot="1" x14ac:dyDescent="0.3">
      <c r="B130" s="325"/>
      <c r="C130" s="325"/>
      <c r="D130" s="325"/>
      <c r="E130" s="325"/>
      <c r="F130" s="325"/>
      <c r="G130" s="325"/>
      <c r="H130" s="325"/>
      <c r="I130" s="358"/>
      <c r="J130" s="358"/>
      <c r="K130" s="358"/>
      <c r="L130" s="358"/>
      <c r="M130" s="358"/>
      <c r="N130" s="358"/>
      <c r="O130" s="358"/>
      <c r="P130" s="325"/>
      <c r="Q130" s="325"/>
      <c r="R130" s="325"/>
      <c r="S130" s="325"/>
      <c r="T130" s="325"/>
      <c r="U130" s="325"/>
      <c r="V130" s="325"/>
      <c r="W130" s="325"/>
    </row>
    <row r="131" spans="2:28" x14ac:dyDescent="0.25">
      <c r="B131" s="325"/>
      <c r="C131" s="638" t="s">
        <v>230</v>
      </c>
      <c r="D131" s="639"/>
      <c r="E131" s="639"/>
      <c r="F131" s="639"/>
      <c r="G131" s="639"/>
      <c r="H131" s="639"/>
      <c r="I131" s="628" t="s">
        <v>224</v>
      </c>
      <c r="J131" s="629"/>
      <c r="K131" s="629"/>
      <c r="L131" s="629"/>
      <c r="M131" s="630"/>
      <c r="N131" s="359" t="s">
        <v>223</v>
      </c>
      <c r="O131" s="422" t="s">
        <v>222</v>
      </c>
      <c r="P131" s="360"/>
      <c r="Q131" s="360"/>
      <c r="R131" s="360"/>
      <c r="S131" s="360"/>
      <c r="T131" s="360"/>
      <c r="U131" s="360"/>
      <c r="V131" s="360"/>
      <c r="W131" s="361"/>
    </row>
    <row r="132" spans="2:28" ht="14.65" customHeight="1" x14ac:dyDescent="0.25">
      <c r="B132" s="325"/>
      <c r="C132" s="631" t="s">
        <v>229</v>
      </c>
      <c r="D132" s="632"/>
      <c r="E132" s="632"/>
      <c r="F132" s="632"/>
      <c r="G132" s="632"/>
      <c r="H132" s="633"/>
      <c r="I132" s="3" t="s">
        <v>213</v>
      </c>
      <c r="M132" s="405"/>
      <c r="N132" s="365"/>
      <c r="O132" s="423"/>
      <c r="W132" s="366"/>
    </row>
    <row r="133" spans="2:28" ht="14.65" customHeight="1" x14ac:dyDescent="0.25">
      <c r="B133" s="325"/>
      <c r="C133" s="631" t="s">
        <v>221</v>
      </c>
      <c r="D133" s="632"/>
      <c r="E133" s="632"/>
      <c r="F133" s="632"/>
      <c r="G133" s="632"/>
      <c r="H133" s="633"/>
      <c r="I133" s="380" t="s">
        <v>213</v>
      </c>
      <c r="J133" s="381"/>
      <c r="K133" s="381"/>
      <c r="L133" s="381"/>
      <c r="M133" s="411"/>
      <c r="N133" s="382"/>
      <c r="O133" s="382"/>
      <c r="P133" s="381" t="s">
        <v>220</v>
      </c>
      <c r="Q133" s="381"/>
      <c r="R133" s="381"/>
      <c r="S133" s="381"/>
      <c r="T133" s="381"/>
      <c r="U133" s="381"/>
      <c r="V133" s="381"/>
      <c r="W133" s="383"/>
    </row>
    <row r="134" spans="2:28" ht="45" customHeight="1" x14ac:dyDescent="0.25">
      <c r="B134" s="325"/>
      <c r="C134" s="631" t="s">
        <v>129</v>
      </c>
      <c r="D134" s="632"/>
      <c r="E134" s="632"/>
      <c r="F134" s="632"/>
      <c r="G134" s="632"/>
      <c r="H134" s="633"/>
      <c r="I134" s="634" t="s">
        <v>228</v>
      </c>
      <c r="J134" s="635"/>
      <c r="K134" s="635"/>
      <c r="L134" s="635"/>
      <c r="M134" s="636"/>
      <c r="N134" s="408"/>
      <c r="O134" s="408"/>
      <c r="P134" s="407"/>
      <c r="Q134" s="407"/>
      <c r="R134" s="407"/>
      <c r="S134" s="407"/>
      <c r="T134" s="407"/>
      <c r="U134" s="407"/>
      <c r="V134" s="407"/>
      <c r="W134" s="409"/>
    </row>
    <row r="135" spans="2:28" ht="46.5" customHeight="1" x14ac:dyDescent="0.25">
      <c r="B135" s="325"/>
      <c r="C135" s="631" t="s">
        <v>217</v>
      </c>
      <c r="D135" s="632"/>
      <c r="E135" s="632"/>
      <c r="F135" s="632"/>
      <c r="G135" s="632"/>
      <c r="H135" s="633"/>
      <c r="I135" s="634" t="s">
        <v>227</v>
      </c>
      <c r="J135" s="635"/>
      <c r="K135" s="635"/>
      <c r="L135" s="635"/>
      <c r="M135" s="636"/>
      <c r="N135" s="408"/>
      <c r="O135" s="408"/>
      <c r="P135" s="407"/>
      <c r="Q135" s="407"/>
      <c r="R135" s="407"/>
      <c r="S135" s="407"/>
      <c r="T135" s="407"/>
      <c r="U135" s="407"/>
      <c r="V135" s="407"/>
      <c r="W135" s="409"/>
    </row>
    <row r="136" spans="2:28" x14ac:dyDescent="0.25">
      <c r="B136" s="325"/>
      <c r="C136" s="631" t="s">
        <v>216</v>
      </c>
      <c r="D136" s="632"/>
      <c r="E136" s="632"/>
      <c r="F136" s="632"/>
      <c r="G136" s="632"/>
      <c r="H136" s="633"/>
      <c r="I136" s="367" t="s">
        <v>213</v>
      </c>
      <c r="J136" s="368"/>
      <c r="K136" s="368"/>
      <c r="L136" s="368"/>
      <c r="M136" s="411"/>
      <c r="N136" s="369"/>
      <c r="O136" s="369"/>
      <c r="P136" s="368"/>
      <c r="Q136" s="368"/>
      <c r="R136" s="368"/>
      <c r="S136" s="368"/>
      <c r="T136" s="368"/>
      <c r="U136" s="368"/>
      <c r="V136" s="368"/>
      <c r="W136" s="370"/>
    </row>
    <row r="137" spans="2:28" ht="15.75" thickBot="1" x14ac:dyDescent="0.3">
      <c r="B137" s="325"/>
      <c r="C137" s="642" t="s">
        <v>226</v>
      </c>
      <c r="D137" s="643"/>
      <c r="E137" s="643"/>
      <c r="F137" s="643"/>
      <c r="G137" s="643"/>
      <c r="H137" s="644"/>
      <c r="I137" s="372" t="s">
        <v>213</v>
      </c>
      <c r="J137" s="373"/>
      <c r="K137" s="373"/>
      <c r="L137" s="373"/>
      <c r="M137" s="373"/>
      <c r="N137" s="374"/>
      <c r="O137" s="374"/>
      <c r="P137" s="373"/>
      <c r="Q137" s="373"/>
      <c r="R137" s="373"/>
      <c r="S137" s="373"/>
      <c r="T137" s="373"/>
      <c r="U137" s="373"/>
      <c r="V137" s="373"/>
      <c r="W137" s="375"/>
    </row>
    <row r="138" spans="2:28" ht="15.75" thickBot="1" x14ac:dyDescent="0.3">
      <c r="B138" s="325"/>
      <c r="C138" s="645"/>
      <c r="D138" s="645"/>
      <c r="E138" s="645"/>
      <c r="F138" s="645"/>
      <c r="G138" s="645"/>
      <c r="H138" s="645"/>
      <c r="I138" s="376"/>
      <c r="J138" s="376"/>
      <c r="K138" s="376"/>
      <c r="L138" s="376"/>
      <c r="M138" s="376"/>
      <c r="N138" s="376"/>
      <c r="O138" s="376"/>
      <c r="P138" s="377"/>
      <c r="Q138" s="377"/>
      <c r="R138" s="377"/>
      <c r="S138" s="377"/>
      <c r="T138" s="377"/>
      <c r="U138" s="377"/>
      <c r="V138" s="377"/>
      <c r="W138" s="377"/>
    </row>
    <row r="139" spans="2:28" x14ac:dyDescent="0.25">
      <c r="B139" s="325"/>
      <c r="C139" s="638" t="s">
        <v>225</v>
      </c>
      <c r="D139" s="639"/>
      <c r="E139" s="639"/>
      <c r="F139" s="639"/>
      <c r="G139" s="639"/>
      <c r="H139" s="646"/>
      <c r="I139" s="628" t="s">
        <v>224</v>
      </c>
      <c r="J139" s="629"/>
      <c r="K139" s="629"/>
      <c r="L139" s="629"/>
      <c r="M139" s="630"/>
      <c r="N139" s="359" t="s">
        <v>223</v>
      </c>
      <c r="O139" s="359" t="s">
        <v>222</v>
      </c>
      <c r="P139" s="413"/>
      <c r="Q139" s="378"/>
      <c r="R139" s="378"/>
      <c r="S139" s="378"/>
      <c r="T139" s="378"/>
      <c r="U139" s="378"/>
      <c r="V139" s="378"/>
      <c r="W139" s="379"/>
    </row>
    <row r="140" spans="2:28" x14ac:dyDescent="0.25">
      <c r="B140" s="325"/>
      <c r="C140" s="631" t="s">
        <v>221</v>
      </c>
      <c r="D140" s="632"/>
      <c r="E140" s="632"/>
      <c r="F140" s="632"/>
      <c r="G140" s="632"/>
      <c r="H140" s="633"/>
      <c r="I140" s="380" t="s">
        <v>213</v>
      </c>
      <c r="J140" s="381"/>
      <c r="K140" s="381"/>
      <c r="L140" s="381"/>
      <c r="M140" s="406"/>
      <c r="N140" s="382"/>
      <c r="O140" s="382"/>
      <c r="P140" s="381" t="s">
        <v>220</v>
      </c>
      <c r="Q140" s="381"/>
      <c r="R140" s="381"/>
      <c r="S140" s="381"/>
      <c r="T140" s="381"/>
      <c r="U140" s="381"/>
      <c r="V140" s="381"/>
      <c r="W140" s="383"/>
    </row>
    <row r="141" spans="2:28" x14ac:dyDescent="0.25">
      <c r="B141" s="325"/>
      <c r="C141" s="362" t="s">
        <v>129</v>
      </c>
      <c r="D141" s="363"/>
      <c r="E141" s="363"/>
      <c r="F141" s="363"/>
      <c r="G141" s="363"/>
      <c r="H141" s="364"/>
      <c r="I141" s="424" t="s">
        <v>215</v>
      </c>
      <c r="J141" s="385"/>
      <c r="K141" s="385"/>
      <c r="L141" s="385"/>
      <c r="M141" s="425"/>
      <c r="N141" s="384"/>
      <c r="O141" s="384"/>
      <c r="P141" s="385"/>
      <c r="Q141" s="385"/>
      <c r="R141" s="385"/>
      <c r="S141" s="385"/>
      <c r="T141" s="385"/>
      <c r="U141" s="385"/>
      <c r="V141" s="385"/>
      <c r="W141" s="386"/>
    </row>
    <row r="142" spans="2:28" s="325" customFormat="1" ht="14.25" customHeight="1" x14ac:dyDescent="0.25">
      <c r="C142" s="362" t="s">
        <v>219</v>
      </c>
      <c r="D142" s="363"/>
      <c r="E142" s="363"/>
      <c r="F142" s="363"/>
      <c r="G142" s="363"/>
      <c r="H142" s="364"/>
      <c r="I142" s="387" t="s">
        <v>213</v>
      </c>
      <c r="J142" s="387"/>
      <c r="K142" s="387"/>
      <c r="L142" s="387"/>
      <c r="M142" s="387"/>
      <c r="O142" s="388"/>
      <c r="P142" s="44" t="s">
        <v>218</v>
      </c>
      <c r="Q142" s="363"/>
      <c r="R142" s="364"/>
      <c r="S142" s="363"/>
      <c r="T142" s="389"/>
      <c r="U142" s="363"/>
      <c r="V142" s="363"/>
      <c r="W142" s="363"/>
      <c r="X142" s="363"/>
      <c r="Y142" s="363"/>
      <c r="Z142" s="363"/>
      <c r="AA142" s="363"/>
      <c r="AB142" s="364"/>
    </row>
    <row r="143" spans="2:28" x14ac:dyDescent="0.25">
      <c r="B143" s="325"/>
      <c r="C143" s="631" t="s">
        <v>217</v>
      </c>
      <c r="D143" s="632"/>
      <c r="E143" s="632"/>
      <c r="F143" s="632"/>
      <c r="G143" s="632"/>
      <c r="H143" s="633"/>
      <c r="I143" s="424" t="s">
        <v>215</v>
      </c>
      <c r="J143" s="391"/>
      <c r="K143" s="391"/>
      <c r="L143" s="391"/>
      <c r="M143" s="416"/>
      <c r="N143" s="390"/>
      <c r="O143" s="390"/>
      <c r="P143" s="391"/>
      <c r="Q143" s="391"/>
      <c r="R143" s="391"/>
      <c r="S143" s="391"/>
      <c r="T143" s="391"/>
      <c r="U143" s="391"/>
      <c r="V143" s="391"/>
      <c r="W143" s="392"/>
    </row>
    <row r="144" spans="2:28" x14ac:dyDescent="0.25">
      <c r="B144" s="325"/>
      <c r="C144" s="631" t="s">
        <v>216</v>
      </c>
      <c r="D144" s="632"/>
      <c r="E144" s="632"/>
      <c r="F144" s="632"/>
      <c r="G144" s="632"/>
      <c r="H144" s="633"/>
      <c r="I144" s="424" t="s">
        <v>215</v>
      </c>
      <c r="J144" s="368"/>
      <c r="K144" s="368"/>
      <c r="L144" s="368"/>
      <c r="M144" s="411"/>
      <c r="N144" s="369"/>
      <c r="O144" s="369"/>
      <c r="P144" s="368"/>
      <c r="Q144" s="368"/>
      <c r="R144" s="368"/>
      <c r="S144" s="368"/>
      <c r="T144" s="368"/>
      <c r="U144" s="368"/>
      <c r="V144" s="368"/>
      <c r="W144" s="370"/>
    </row>
    <row r="145" spans="2:23" ht="15.75" thickBot="1" x14ac:dyDescent="0.3">
      <c r="B145" s="325"/>
      <c r="C145" s="642" t="s">
        <v>214</v>
      </c>
      <c r="D145" s="643"/>
      <c r="E145" s="643"/>
      <c r="F145" s="643"/>
      <c r="G145" s="643"/>
      <c r="H145" s="644"/>
      <c r="I145" s="372" t="s">
        <v>213</v>
      </c>
      <c r="J145" s="373"/>
      <c r="K145" s="373"/>
      <c r="L145" s="373"/>
      <c r="M145" s="412"/>
      <c r="N145" s="374"/>
      <c r="O145" s="374"/>
      <c r="P145" s="373"/>
      <c r="Q145" s="373"/>
      <c r="R145" s="373"/>
      <c r="S145" s="373"/>
      <c r="T145" s="373"/>
      <c r="U145" s="373"/>
      <c r="V145" s="373"/>
      <c r="W145" s="375"/>
    </row>
    <row r="146" spans="2:23" x14ac:dyDescent="0.25">
      <c r="B146" s="43"/>
    </row>
    <row r="147" spans="2:23" x14ac:dyDescent="0.25">
      <c r="B147" s="43"/>
    </row>
    <row r="148" spans="2:23" x14ac:dyDescent="0.25">
      <c r="B148" s="43"/>
    </row>
    <row r="149" spans="2:23" x14ac:dyDescent="0.25">
      <c r="B149" s="43"/>
    </row>
    <row r="150" spans="2:23" x14ac:dyDescent="0.25">
      <c r="B150" s="43"/>
    </row>
    <row r="151" spans="2:23" x14ac:dyDescent="0.25">
      <c r="B151" s="43"/>
    </row>
    <row r="152" spans="2:23" x14ac:dyDescent="0.25">
      <c r="B152" s="43"/>
    </row>
    <row r="153" spans="2:23" x14ac:dyDescent="0.25">
      <c r="B153" s="43"/>
    </row>
    <row r="154" spans="2:23" x14ac:dyDescent="0.25">
      <c r="B154" s="43"/>
    </row>
    <row r="155" spans="2:23" x14ac:dyDescent="0.25">
      <c r="B155" s="43"/>
    </row>
    <row r="156" spans="2:23" x14ac:dyDescent="0.25">
      <c r="B156" s="43"/>
    </row>
    <row r="157" spans="2:23" x14ac:dyDescent="0.25">
      <c r="B157" s="43"/>
    </row>
    <row r="158" spans="2:23" x14ac:dyDescent="0.25">
      <c r="B158" s="43"/>
    </row>
    <row r="159" spans="2:23" x14ac:dyDescent="0.25">
      <c r="B159" s="43"/>
    </row>
    <row r="160" spans="2:23"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169" spans="2:2" x14ac:dyDescent="0.25">
      <c r="B169" s="43"/>
    </row>
    <row r="170" spans="2:2" x14ac:dyDescent="0.25">
      <c r="B170" s="43"/>
    </row>
    <row r="171" spans="2:2" x14ac:dyDescent="0.25">
      <c r="B171" s="43"/>
    </row>
    <row r="172" spans="2:2" x14ac:dyDescent="0.25">
      <c r="B172" s="43"/>
    </row>
    <row r="173" spans="2:2" x14ac:dyDescent="0.25">
      <c r="B173" s="43"/>
    </row>
    <row r="174" spans="2:2" x14ac:dyDescent="0.25">
      <c r="B174" s="43"/>
    </row>
    <row r="175" spans="2:2" x14ac:dyDescent="0.25">
      <c r="B175" s="43"/>
    </row>
    <row r="176" spans="2:2" x14ac:dyDescent="0.25">
      <c r="B176" s="43"/>
    </row>
    <row r="177" spans="2:2" x14ac:dyDescent="0.25">
      <c r="B177" s="43"/>
    </row>
    <row r="178" spans="2:2" x14ac:dyDescent="0.25">
      <c r="B178" s="43"/>
    </row>
    <row r="179" spans="2:2" x14ac:dyDescent="0.25">
      <c r="B179" s="43"/>
    </row>
    <row r="180" spans="2:2" x14ac:dyDescent="0.25">
      <c r="B180" s="43"/>
    </row>
    <row r="181" spans="2:2" x14ac:dyDescent="0.25">
      <c r="B181" s="43"/>
    </row>
    <row r="182" spans="2:2" x14ac:dyDescent="0.25">
      <c r="B182" s="43"/>
    </row>
    <row r="183" spans="2:2" x14ac:dyDescent="0.25">
      <c r="B183" s="43"/>
    </row>
    <row r="184" spans="2:2" x14ac:dyDescent="0.25">
      <c r="B184" s="43"/>
    </row>
    <row r="185" spans="2:2" x14ac:dyDescent="0.25">
      <c r="B185" s="43"/>
    </row>
    <row r="186" spans="2:2" x14ac:dyDescent="0.25">
      <c r="B186" s="43"/>
    </row>
    <row r="187" spans="2:2" x14ac:dyDescent="0.25">
      <c r="B187" s="43"/>
    </row>
    <row r="188" spans="2:2" x14ac:dyDescent="0.25">
      <c r="B188" s="43"/>
    </row>
    <row r="189" spans="2:2" x14ac:dyDescent="0.25">
      <c r="B189" s="43"/>
    </row>
    <row r="190" spans="2:2" x14ac:dyDescent="0.25">
      <c r="B190" s="43"/>
    </row>
    <row r="191" spans="2:2" x14ac:dyDescent="0.25">
      <c r="B191" s="43"/>
    </row>
    <row r="192" spans="2:2" x14ac:dyDescent="0.25">
      <c r="B192" s="43"/>
    </row>
    <row r="193" spans="2:2" x14ac:dyDescent="0.25">
      <c r="B193" s="43"/>
    </row>
    <row r="194" spans="2:2" x14ac:dyDescent="0.25">
      <c r="B194" s="43"/>
    </row>
    <row r="195" spans="2:2" x14ac:dyDescent="0.25">
      <c r="B195" s="43"/>
    </row>
    <row r="196" spans="2:2" x14ac:dyDescent="0.25">
      <c r="B196" s="43"/>
    </row>
    <row r="197" spans="2:2" x14ac:dyDescent="0.25">
      <c r="B197" s="43"/>
    </row>
    <row r="198" spans="2:2" x14ac:dyDescent="0.25">
      <c r="B198" s="43"/>
    </row>
    <row r="199" spans="2:2" x14ac:dyDescent="0.25">
      <c r="B199" s="43"/>
    </row>
    <row r="200" spans="2:2" x14ac:dyDescent="0.25">
      <c r="B200" s="43"/>
    </row>
    <row r="201" spans="2:2" x14ac:dyDescent="0.25">
      <c r="B201" s="43"/>
    </row>
    <row r="202" spans="2:2" x14ac:dyDescent="0.25">
      <c r="B202" s="43"/>
    </row>
    <row r="203" spans="2:2" x14ac:dyDescent="0.25">
      <c r="B203" s="43"/>
    </row>
    <row r="204" spans="2:2" x14ac:dyDescent="0.25">
      <c r="B204" s="43"/>
    </row>
    <row r="205" spans="2:2" x14ac:dyDescent="0.25">
      <c r="B205" s="43"/>
    </row>
    <row r="206" spans="2:2" x14ac:dyDescent="0.25">
      <c r="B206" s="43"/>
    </row>
    <row r="207" spans="2:2" x14ac:dyDescent="0.25">
      <c r="B207" s="43"/>
    </row>
    <row r="208" spans="2:2" x14ac:dyDescent="0.25">
      <c r="B208" s="43"/>
    </row>
    <row r="209" spans="2:2" x14ac:dyDescent="0.25">
      <c r="B209" s="43"/>
    </row>
    <row r="210" spans="2:2" x14ac:dyDescent="0.25">
      <c r="B210" s="43"/>
    </row>
    <row r="211" spans="2:2" x14ac:dyDescent="0.25">
      <c r="B211" s="43"/>
    </row>
    <row r="212" spans="2:2" x14ac:dyDescent="0.25">
      <c r="B212" s="43"/>
    </row>
    <row r="213" spans="2:2" x14ac:dyDescent="0.25">
      <c r="B213" s="43"/>
    </row>
    <row r="214" spans="2:2" x14ac:dyDescent="0.25">
      <c r="B214" s="43"/>
    </row>
    <row r="215" spans="2:2" x14ac:dyDescent="0.25">
      <c r="B215" s="43"/>
    </row>
    <row r="216" spans="2:2" x14ac:dyDescent="0.25">
      <c r="B216" s="43"/>
    </row>
    <row r="217" spans="2:2" x14ac:dyDescent="0.25">
      <c r="B217" s="43"/>
    </row>
    <row r="218" spans="2:2" x14ac:dyDescent="0.25">
      <c r="B218" s="43"/>
    </row>
    <row r="219" spans="2:2" x14ac:dyDescent="0.25">
      <c r="B219" s="43"/>
    </row>
    <row r="220" spans="2:2" x14ac:dyDescent="0.25">
      <c r="B220" s="43"/>
    </row>
    <row r="221" spans="2:2" x14ac:dyDescent="0.25">
      <c r="B221" s="43"/>
    </row>
    <row r="222" spans="2:2" x14ac:dyDescent="0.25">
      <c r="B222" s="43"/>
    </row>
  </sheetData>
  <mergeCells count="37">
    <mergeCell ref="C140:H140"/>
    <mergeCell ref="C143:H143"/>
    <mergeCell ref="C144:H144"/>
    <mergeCell ref="C145:H145"/>
    <mergeCell ref="C135:H135"/>
    <mergeCell ref="C136:H136"/>
    <mergeCell ref="C137:H137"/>
    <mergeCell ref="C138:H138"/>
    <mergeCell ref="C139:H139"/>
    <mergeCell ref="I139:M139"/>
    <mergeCell ref="C134:H134"/>
    <mergeCell ref="I134:M134"/>
    <mergeCell ref="D17:D27"/>
    <mergeCell ref="D31:D36"/>
    <mergeCell ref="C38:Q38"/>
    <mergeCell ref="B129:P129"/>
    <mergeCell ref="C131:H131"/>
    <mergeCell ref="I131:M131"/>
    <mergeCell ref="C132:H132"/>
    <mergeCell ref="I135:M135"/>
    <mergeCell ref="C133:H133"/>
    <mergeCell ref="B43:B127"/>
    <mergeCell ref="D43:D57"/>
    <mergeCell ref="D62:D76"/>
    <mergeCell ref="D79:D93"/>
    <mergeCell ref="D96:D110"/>
    <mergeCell ref="D113:D127"/>
    <mergeCell ref="A1:K1"/>
    <mergeCell ref="L4:L5"/>
    <mergeCell ref="C7:Q7"/>
    <mergeCell ref="B9:B36"/>
    <mergeCell ref="D9:F9"/>
    <mergeCell ref="G9:L9"/>
    <mergeCell ref="D11:L11"/>
    <mergeCell ref="D12:L12"/>
    <mergeCell ref="D13:L13"/>
    <mergeCell ref="C15:P16"/>
  </mergeCells>
  <hyperlinks>
    <hyperlink ref="M1" r:id="rId1" display="https://atb.nrel.gov/electricity/2022/utility-scale_battery_storage" xr:uid="{C7123B13-2694-43A2-BF9E-EA74F7B09649}"/>
    <hyperlink ref="I134:M134" r:id="rId2" display="V. Ramasamy, D. Feldman, J. Desai, and R. Margolis. 2022. U.S. Solar Photovoltaic System and Energy Storage Cost Benchmark: Q1 2022. Golden, CO: National Renewable Energy Laboratory" xr:uid="{73E9D56D-EB77-46D4-99A9-CCAC802A968B}"/>
    <hyperlink ref="I135:M135" r:id="rId3" display="V. Ramasamy, D. Feldman, J. Desai, and R. Margolis. 2022. U.S. Solar Photovoltaic System and Energy Storage Cost Benchmark: Q1 2022. Golden, CO: National Renewable Energy Laboratory" xr:uid="{C68C7D9C-65B4-4604-A8B1-21C5FAA7847E}"/>
    <hyperlink ref="I141" r:id="rId4" xr:uid="{B7CDF7F2-F39D-41A7-B62F-1DD604928BFE}"/>
    <hyperlink ref="I143" r:id="rId5" xr:uid="{BEDCED5F-C396-4831-AC33-DFA18B7DD6BC}"/>
    <hyperlink ref="I144" r:id="rId6" xr:uid="{D2F9D7F5-E6AE-4DDF-9850-0979B9898594}"/>
  </hyperlinks>
  <pageMargins left="0.7" right="0.7" top="0.75" bottom="0.75" header="0.3" footer="0.3"/>
  <pageSetup orientation="portrait" r:id="rId7"/>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B2F3D-176F-45FA-BF60-ED00DB38089D}">
  <sheetPr codeName="Sheet45">
    <tabColor theme="5" tint="0.39997558519241921"/>
  </sheetPr>
  <dimension ref="A1:DD239"/>
  <sheetViews>
    <sheetView zoomScale="80" zoomScaleNormal="80" workbookViewId="0">
      <selection sqref="A1:K1"/>
    </sheetView>
  </sheetViews>
  <sheetFormatPr defaultColWidth="8.42578125" defaultRowHeight="15" x14ac:dyDescent="0.25"/>
  <cols>
    <col min="1" max="1" width="92.140625" style="3" bestFit="1" customWidth="1"/>
    <col min="2" max="3" width="8.42578125" style="3"/>
    <col min="4" max="4" width="36.42578125" style="3" customWidth="1"/>
    <col min="5" max="5" width="34.42578125" style="3" bestFit="1" customWidth="1"/>
    <col min="6" max="6" width="34.42578125" style="3" customWidth="1"/>
    <col min="7" max="38" width="21.42578125" style="3" customWidth="1"/>
    <col min="39" max="40" width="10" style="3" bestFit="1" customWidth="1"/>
    <col min="41" max="41" width="8.42578125" style="3" customWidth="1"/>
    <col min="42" max="68" width="10" style="3" bestFit="1" customWidth="1"/>
    <col min="69" max="71" width="8.42578125" style="3"/>
    <col min="72" max="72" width="13.42578125" style="3" customWidth="1"/>
    <col min="73" max="16384" width="8.42578125" style="3"/>
  </cols>
  <sheetData>
    <row r="1" spans="1:108" s="325" customFormat="1" ht="18" x14ac:dyDescent="0.25">
      <c r="A1" s="611" t="s">
        <v>288</v>
      </c>
      <c r="B1" s="611"/>
      <c r="C1" s="611"/>
      <c r="D1" s="611"/>
      <c r="E1" s="611"/>
      <c r="F1" s="611"/>
      <c r="G1" s="611"/>
      <c r="H1" s="611"/>
      <c r="I1" s="611"/>
      <c r="J1" s="611"/>
      <c r="K1" s="611"/>
      <c r="M1" s="326" t="s">
        <v>287</v>
      </c>
    </row>
    <row r="2" spans="1:108" s="325" customFormat="1" ht="14.25" customHeight="1" x14ac:dyDescent="0.25">
      <c r="A2" s="3"/>
      <c r="B2" s="3"/>
      <c r="C2" s="3"/>
      <c r="D2" s="3"/>
      <c r="E2" s="3"/>
      <c r="F2" s="3"/>
      <c r="G2" s="327"/>
      <c r="H2" s="327"/>
      <c r="I2" s="327"/>
      <c r="J2" s="327"/>
      <c r="K2" s="327"/>
      <c r="L2" s="328" t="s">
        <v>270</v>
      </c>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c r="AR2" s="327"/>
      <c r="AS2" s="327"/>
      <c r="AT2" s="327"/>
      <c r="AU2" s="327"/>
      <c r="AV2" s="327"/>
      <c r="AW2" s="327"/>
      <c r="AX2" s="327"/>
      <c r="AY2" s="327"/>
      <c r="AZ2" s="327"/>
      <c r="BA2" s="327"/>
      <c r="BB2" s="327"/>
      <c r="BC2" s="327"/>
      <c r="BD2" s="327"/>
      <c r="BE2" s="327"/>
      <c r="BF2" s="327"/>
      <c r="BG2" s="327"/>
      <c r="BH2" s="327"/>
      <c r="BI2" s="327"/>
      <c r="BJ2" s="327"/>
      <c r="BK2" s="327"/>
      <c r="BL2" s="327"/>
      <c r="BM2" s="327"/>
      <c r="BN2" s="327"/>
      <c r="BO2" s="327"/>
      <c r="BP2" s="327"/>
      <c r="BQ2" s="327"/>
      <c r="BR2" s="327"/>
      <c r="BS2" s="327"/>
      <c r="BT2" s="327"/>
      <c r="BU2" s="327"/>
      <c r="BV2" s="327"/>
      <c r="BW2" s="327"/>
      <c r="BX2" s="327"/>
      <c r="BY2" s="327"/>
      <c r="BZ2" s="327"/>
      <c r="CA2" s="327"/>
      <c r="CB2" s="327"/>
      <c r="CC2" s="327"/>
      <c r="CD2" s="327"/>
      <c r="CE2" s="327"/>
      <c r="CF2" s="327"/>
      <c r="CG2" s="327"/>
      <c r="CH2" s="327"/>
      <c r="CI2" s="327"/>
      <c r="CJ2" s="327"/>
      <c r="CK2" s="327"/>
      <c r="CL2" s="327"/>
      <c r="CM2" s="327"/>
      <c r="CN2" s="327"/>
      <c r="CO2" s="327"/>
      <c r="CP2" s="327"/>
      <c r="CQ2" s="327"/>
      <c r="CR2" s="327"/>
      <c r="CS2" s="327"/>
      <c r="CT2" s="327"/>
      <c r="CU2" s="327"/>
      <c r="CV2" s="327"/>
      <c r="CW2" s="327"/>
      <c r="CX2" s="327"/>
      <c r="CY2" s="327"/>
      <c r="CZ2" s="327"/>
      <c r="DA2" s="327"/>
      <c r="DB2" s="327"/>
      <c r="DC2" s="327"/>
      <c r="DD2" s="327"/>
    </row>
    <row r="3" spans="1:108" s="325" customFormat="1" ht="14.25" customHeight="1" x14ac:dyDescent="0.25">
      <c r="A3" s="3"/>
      <c r="B3" s="3"/>
      <c r="C3" s="3"/>
      <c r="D3" s="3"/>
      <c r="E3" s="3"/>
      <c r="F3" s="3"/>
      <c r="L3" s="329" t="s">
        <v>269</v>
      </c>
    </row>
    <row r="4" spans="1:108" s="325" customFormat="1" ht="14.25" customHeight="1" x14ac:dyDescent="0.2">
      <c r="D4" s="330"/>
      <c r="L4" s="612" t="s">
        <v>268</v>
      </c>
    </row>
    <row r="5" spans="1:108" x14ac:dyDescent="0.25">
      <c r="L5" s="613"/>
    </row>
    <row r="6" spans="1:108" s="325" customFormat="1" ht="14.25" customHeight="1" x14ac:dyDescent="0.2">
      <c r="H6" s="331"/>
      <c r="I6" s="332"/>
      <c r="J6" s="332"/>
      <c r="K6" s="332"/>
      <c r="M6" s="332"/>
      <c r="N6" s="332"/>
      <c r="O6" s="332"/>
      <c r="P6" s="332"/>
      <c r="Q6" s="332"/>
      <c r="R6" s="332"/>
      <c r="S6" s="332"/>
      <c r="T6" s="332"/>
      <c r="U6" s="332"/>
      <c r="V6" s="332"/>
      <c r="W6" s="332"/>
      <c r="X6" s="332"/>
      <c r="Y6" s="332"/>
      <c r="Z6" s="332"/>
      <c r="AA6" s="332"/>
      <c r="AB6" s="332"/>
      <c r="AC6" s="332"/>
      <c r="AD6" s="332"/>
      <c r="AE6" s="333"/>
      <c r="AF6" s="334"/>
    </row>
    <row r="7" spans="1:108" s="325" customFormat="1" ht="14.25" customHeight="1" x14ac:dyDescent="0.2">
      <c r="B7" s="325" t="s">
        <v>267</v>
      </c>
      <c r="C7" s="614" t="s">
        <v>15</v>
      </c>
      <c r="D7" s="614"/>
      <c r="E7" s="614"/>
      <c r="F7" s="614"/>
      <c r="G7" s="614"/>
      <c r="H7" s="614"/>
      <c r="I7" s="614"/>
      <c r="J7" s="614"/>
      <c r="K7" s="614"/>
      <c r="L7" s="614"/>
      <c r="M7" s="614"/>
      <c r="N7" s="614"/>
      <c r="O7" s="614"/>
      <c r="P7" s="614"/>
      <c r="Q7" s="614"/>
      <c r="R7" s="335"/>
      <c r="S7" s="335"/>
      <c r="T7" s="335"/>
      <c r="U7" s="335"/>
      <c r="V7" s="335"/>
      <c r="W7" s="335"/>
      <c r="X7" s="335"/>
      <c r="Y7" s="335"/>
      <c r="Z7" s="335"/>
      <c r="AA7" s="336"/>
      <c r="AB7" s="334"/>
    </row>
    <row r="8" spans="1:108" s="325" customFormat="1" ht="14.25" customHeight="1" thickBot="1" x14ac:dyDescent="0.25">
      <c r="O8" s="337"/>
    </row>
    <row r="9" spans="1:108" s="325" customFormat="1" ht="14.25" customHeight="1" thickBot="1" x14ac:dyDescent="0.3">
      <c r="A9" s="3"/>
      <c r="B9" s="615" t="s">
        <v>266</v>
      </c>
      <c r="D9" s="616" t="s">
        <v>265</v>
      </c>
      <c r="E9" s="617"/>
      <c r="F9" s="618"/>
      <c r="G9" s="619">
        <v>2021</v>
      </c>
      <c r="H9" s="620"/>
      <c r="I9" s="620"/>
      <c r="J9" s="620"/>
      <c r="K9" s="621"/>
      <c r="L9" s="621"/>
    </row>
    <row r="10" spans="1:108" s="325" customFormat="1" ht="14.25" customHeight="1" thickBot="1" x14ac:dyDescent="0.25">
      <c r="B10" s="615"/>
      <c r="D10" s="338" t="s">
        <v>264</v>
      </c>
      <c r="J10" s="337"/>
    </row>
    <row r="11" spans="1:108" s="325" customFormat="1" ht="13.5" customHeight="1" thickBot="1" x14ac:dyDescent="0.3">
      <c r="B11" s="615"/>
      <c r="D11" s="622" t="s">
        <v>286</v>
      </c>
      <c r="E11" s="623"/>
      <c r="F11" s="623"/>
      <c r="G11" s="623"/>
      <c r="H11" s="623"/>
      <c r="I11" s="623"/>
      <c r="J11" s="623"/>
      <c r="K11" s="623"/>
      <c r="L11" s="623"/>
      <c r="W11" s="339"/>
      <c r="X11" s="340"/>
      <c r="Y11" s="340"/>
      <c r="Z11" s="340"/>
      <c r="AA11" s="340"/>
    </row>
    <row r="12" spans="1:108" s="325" customFormat="1" ht="17.25" customHeight="1" thickBot="1" x14ac:dyDescent="0.3">
      <c r="B12" s="615"/>
      <c r="D12" s="624" t="s">
        <v>285</v>
      </c>
      <c r="E12" s="625"/>
      <c r="F12" s="625"/>
      <c r="G12" s="625"/>
      <c r="H12" s="625"/>
      <c r="I12" s="625"/>
      <c r="J12" s="625"/>
      <c r="K12" s="625"/>
      <c r="L12" s="626"/>
      <c r="M12" s="341"/>
      <c r="W12" s="339"/>
      <c r="X12" s="340"/>
      <c r="Y12" s="340"/>
      <c r="Z12" s="340"/>
      <c r="AA12" s="340"/>
    </row>
    <row r="13" spans="1:108" s="325" customFormat="1" ht="13.5" customHeight="1" thickBot="1" x14ac:dyDescent="0.3">
      <c r="B13" s="615"/>
      <c r="D13" s="624"/>
      <c r="E13" s="625"/>
      <c r="F13" s="625"/>
      <c r="G13" s="625"/>
      <c r="H13" s="625"/>
      <c r="I13" s="625"/>
      <c r="J13" s="625"/>
      <c r="K13" s="625"/>
      <c r="L13" s="626"/>
      <c r="W13" s="339"/>
      <c r="X13" s="340"/>
      <c r="Y13" s="340"/>
      <c r="Z13" s="340"/>
      <c r="AA13" s="340"/>
    </row>
    <row r="14" spans="1:108" s="325" customFormat="1" ht="13.5" customHeight="1" thickBot="1" x14ac:dyDescent="0.3">
      <c r="B14" s="615"/>
      <c r="D14" s="624"/>
      <c r="E14" s="625"/>
      <c r="F14" s="625"/>
      <c r="G14" s="625"/>
      <c r="H14" s="625"/>
      <c r="I14" s="625"/>
      <c r="J14" s="625"/>
      <c r="K14" s="625"/>
      <c r="L14" s="626"/>
      <c r="W14" s="340"/>
      <c r="X14" s="340"/>
      <c r="Y14" s="340"/>
      <c r="Z14" s="340"/>
      <c r="AA14" s="340"/>
    </row>
    <row r="15" spans="1:108" x14ac:dyDescent="0.25">
      <c r="B15" s="615"/>
    </row>
    <row r="16" spans="1:108" x14ac:dyDescent="0.25">
      <c r="B16" s="615"/>
      <c r="C16" s="627" t="s">
        <v>284</v>
      </c>
      <c r="D16" s="610"/>
      <c r="E16" s="610"/>
      <c r="F16" s="610"/>
      <c r="G16" s="610"/>
      <c r="H16" s="610"/>
      <c r="I16" s="610"/>
      <c r="J16" s="610"/>
      <c r="K16" s="610"/>
      <c r="L16" s="610"/>
      <c r="M16" s="610"/>
      <c r="N16" s="610"/>
      <c r="O16" s="610"/>
      <c r="P16" s="610"/>
      <c r="Q16" s="31"/>
    </row>
    <row r="17" spans="2:68" x14ac:dyDescent="0.25">
      <c r="B17" s="615"/>
      <c r="C17" s="610"/>
      <c r="D17" s="610"/>
      <c r="E17" s="610"/>
      <c r="F17" s="610"/>
      <c r="G17" s="610"/>
      <c r="H17" s="610"/>
      <c r="I17" s="610"/>
      <c r="J17" s="610"/>
      <c r="K17" s="610"/>
      <c r="L17" s="610"/>
      <c r="M17" s="610"/>
      <c r="N17" s="610"/>
      <c r="O17" s="610"/>
      <c r="P17" s="610"/>
    </row>
    <row r="18" spans="2:68" ht="15" customHeight="1" x14ac:dyDescent="0.25">
      <c r="B18" s="615"/>
      <c r="C18" s="246"/>
      <c r="D18" s="608" t="s">
        <v>260</v>
      </c>
      <c r="E18" s="31" t="s">
        <v>259</v>
      </c>
      <c r="F18" s="31"/>
      <c r="AL18" s="31" t="s">
        <v>283</v>
      </c>
    </row>
    <row r="19" spans="2:68" ht="15" customHeight="1" x14ac:dyDescent="0.25">
      <c r="B19" s="615"/>
      <c r="C19" s="246"/>
      <c r="D19" s="609"/>
      <c r="F19" s="31">
        <v>2021</v>
      </c>
      <c r="G19" s="31">
        <v>2022</v>
      </c>
      <c r="H19" s="31">
        <v>2023</v>
      </c>
      <c r="I19" s="31">
        <v>2024</v>
      </c>
      <c r="J19" s="31">
        <v>2025</v>
      </c>
      <c r="K19" s="31">
        <v>2026</v>
      </c>
      <c r="L19" s="31">
        <v>2027</v>
      </c>
      <c r="M19" s="31">
        <v>2028</v>
      </c>
      <c r="N19" s="31">
        <v>2029</v>
      </c>
      <c r="O19" s="31">
        <v>2030</v>
      </c>
      <c r="P19" s="31">
        <v>2031</v>
      </c>
      <c r="Q19" s="31">
        <v>2032</v>
      </c>
      <c r="R19" s="31">
        <v>2033</v>
      </c>
      <c r="S19" s="31">
        <v>2034</v>
      </c>
      <c r="T19" s="31">
        <v>2035</v>
      </c>
      <c r="U19" s="31">
        <v>2036</v>
      </c>
      <c r="V19" s="31">
        <v>2037</v>
      </c>
      <c r="W19" s="31">
        <v>2038</v>
      </c>
      <c r="X19" s="31">
        <v>2039</v>
      </c>
      <c r="Y19" s="31">
        <v>2040</v>
      </c>
      <c r="Z19" s="31">
        <v>2041</v>
      </c>
      <c r="AA19" s="31">
        <v>2042</v>
      </c>
      <c r="AB19" s="31">
        <v>2043</v>
      </c>
      <c r="AC19" s="31">
        <v>2044</v>
      </c>
      <c r="AD19" s="31">
        <v>2045</v>
      </c>
      <c r="AE19" s="31">
        <v>2046</v>
      </c>
      <c r="AF19" s="31">
        <v>2047</v>
      </c>
      <c r="AG19" s="31">
        <v>2048</v>
      </c>
      <c r="AH19" s="31">
        <v>2049</v>
      </c>
      <c r="AI19" s="31">
        <v>2050</v>
      </c>
      <c r="AM19" s="31">
        <v>2021</v>
      </c>
      <c r="AN19" s="31">
        <v>2022</v>
      </c>
      <c r="AO19" s="31">
        <v>2023</v>
      </c>
      <c r="AP19" s="31">
        <v>2024</v>
      </c>
      <c r="AQ19" s="31">
        <v>2025</v>
      </c>
      <c r="AR19" s="31">
        <v>2026</v>
      </c>
      <c r="AS19" s="31">
        <v>2027</v>
      </c>
      <c r="AT19" s="31">
        <v>2028</v>
      </c>
      <c r="AU19" s="31">
        <v>2029</v>
      </c>
      <c r="AV19" s="31">
        <v>2030</v>
      </c>
      <c r="AW19" s="31">
        <v>2031</v>
      </c>
      <c r="AX19" s="31">
        <v>2032</v>
      </c>
      <c r="AY19" s="31">
        <v>2033</v>
      </c>
      <c r="AZ19" s="31">
        <v>2034</v>
      </c>
      <c r="BA19" s="31">
        <v>2035</v>
      </c>
      <c r="BB19" s="31">
        <v>2036</v>
      </c>
      <c r="BC19" s="31">
        <v>2037</v>
      </c>
      <c r="BD19" s="31">
        <v>2038</v>
      </c>
      <c r="BE19" s="31">
        <v>2039</v>
      </c>
      <c r="BF19" s="31">
        <v>2040</v>
      </c>
      <c r="BG19" s="31">
        <v>2041</v>
      </c>
      <c r="BH19" s="31">
        <v>2042</v>
      </c>
      <c r="BI19" s="31">
        <v>2043</v>
      </c>
      <c r="BJ19" s="31">
        <v>2044</v>
      </c>
      <c r="BK19" s="31">
        <v>2045</v>
      </c>
      <c r="BL19" s="31">
        <v>2046</v>
      </c>
      <c r="BM19" s="31">
        <v>2047</v>
      </c>
      <c r="BN19" s="31">
        <v>2048</v>
      </c>
      <c r="BO19" s="31">
        <v>2049</v>
      </c>
      <c r="BP19" s="31">
        <v>2050</v>
      </c>
    </row>
    <row r="20" spans="2:68" ht="15" customHeight="1" x14ac:dyDescent="0.25">
      <c r="B20" s="615"/>
      <c r="C20" s="246"/>
      <c r="D20" s="609"/>
      <c r="E20" s="3" t="s">
        <v>233</v>
      </c>
      <c r="F20" s="342">
        <v>234.62293770025531</v>
      </c>
      <c r="G20" s="342">
        <v>264.32363318451928</v>
      </c>
      <c r="H20" s="342">
        <v>190.15384917254332</v>
      </c>
      <c r="I20" s="342">
        <v>179.47959914600014</v>
      </c>
      <c r="J20" s="342">
        <v>170.34756474718216</v>
      </c>
      <c r="K20" s="342">
        <v>164.20992704547396</v>
      </c>
      <c r="L20" s="342">
        <v>158.0722893437657</v>
      </c>
      <c r="M20" s="342">
        <v>151.93465164205753</v>
      </c>
      <c r="N20" s="342">
        <v>145.79701394034927</v>
      </c>
      <c r="O20" s="342">
        <v>139.65937623864116</v>
      </c>
      <c r="P20" s="342">
        <v>137.03306907986104</v>
      </c>
      <c r="Q20" s="342">
        <v>134.40676192108086</v>
      </c>
      <c r="R20" s="342">
        <v>131.78045476230071</v>
      </c>
      <c r="S20" s="342">
        <v>129.15414760352056</v>
      </c>
      <c r="T20" s="342">
        <v>126.52784044474048</v>
      </c>
      <c r="U20" s="342">
        <v>123.90153328596033</v>
      </c>
      <c r="V20" s="342">
        <v>121.2752261271802</v>
      </c>
      <c r="W20" s="342">
        <v>118.64891896840004</v>
      </c>
      <c r="X20" s="342">
        <v>116.02261180961993</v>
      </c>
      <c r="Y20" s="342">
        <v>113.39630465083975</v>
      </c>
      <c r="Z20" s="342">
        <v>110.7699974920597</v>
      </c>
      <c r="AA20" s="342">
        <v>108.14369033327955</v>
      </c>
      <c r="AB20" s="342">
        <v>105.51738317449944</v>
      </c>
      <c r="AC20" s="342">
        <v>102.89107601571931</v>
      </c>
      <c r="AD20" s="342">
        <v>100.2647688569392</v>
      </c>
      <c r="AE20" s="342">
        <v>97.63846169815902</v>
      </c>
      <c r="AF20" s="342">
        <v>95.01215453937894</v>
      </c>
      <c r="AG20" s="342">
        <v>92.385847380598761</v>
      </c>
      <c r="AH20" s="342">
        <v>89.759540221818654</v>
      </c>
      <c r="AI20" s="342">
        <v>87.133233063038446</v>
      </c>
      <c r="AL20" s="3" t="s">
        <v>233</v>
      </c>
      <c r="AM20" s="342">
        <v>397856.72898423189</v>
      </c>
      <c r="AN20" s="342">
        <v>215911.26059769187</v>
      </c>
      <c r="AO20" s="342">
        <v>155326.09319760115</v>
      </c>
      <c r="AP20" s="342">
        <v>146606.89260475466</v>
      </c>
      <c r="AQ20" s="342">
        <v>139147.4421004029</v>
      </c>
      <c r="AR20" s="342">
        <v>134133.94755471213</v>
      </c>
      <c r="AS20" s="342">
        <v>129120.45300902158</v>
      </c>
      <c r="AT20" s="342">
        <v>124106.95846333081</v>
      </c>
      <c r="AU20" s="342">
        <v>119093.4639176405</v>
      </c>
      <c r="AV20" s="342">
        <v>114079.96937194926</v>
      </c>
      <c r="AW20" s="342">
        <v>111934.68526497326</v>
      </c>
      <c r="AX20" s="342">
        <v>109789.40115799668</v>
      </c>
      <c r="AY20" s="342">
        <v>107644.11705102079</v>
      </c>
      <c r="AZ20" s="342">
        <v>105498.83294404449</v>
      </c>
      <c r="BA20" s="342">
        <v>103353.54883706814</v>
      </c>
      <c r="BB20" s="342">
        <v>101208.26473009202</v>
      </c>
      <c r="BC20" s="342">
        <v>99062.980623115844</v>
      </c>
      <c r="BD20" s="342">
        <v>96917.696516139666</v>
      </c>
      <c r="BE20" s="342">
        <v>94772.412409163488</v>
      </c>
      <c r="BF20" s="342">
        <v>92627.12830218731</v>
      </c>
      <c r="BG20" s="342">
        <v>90481.844195210957</v>
      </c>
      <c r="BH20" s="342">
        <v>88336.560088234721</v>
      </c>
      <c r="BI20" s="342">
        <v>86191.275981258485</v>
      </c>
      <c r="BJ20" s="342">
        <v>84045.991874282307</v>
      </c>
      <c r="BK20" s="342">
        <v>81900.707767305954</v>
      </c>
      <c r="BL20" s="342">
        <v>79755.423660329776</v>
      </c>
      <c r="BM20" s="342">
        <v>77610.139553353481</v>
      </c>
      <c r="BN20" s="342">
        <v>75464.85544637742</v>
      </c>
      <c r="BO20" s="342">
        <v>73319.571339401242</v>
      </c>
      <c r="BP20" s="342">
        <v>71174.287232424947</v>
      </c>
    </row>
    <row r="21" spans="2:68" ht="15" customHeight="1" x14ac:dyDescent="0.25">
      <c r="B21" s="615"/>
      <c r="C21" s="246"/>
      <c r="D21" s="610"/>
      <c r="E21" s="3" t="s">
        <v>232</v>
      </c>
      <c r="F21" s="342">
        <v>234.62293770025531</v>
      </c>
      <c r="G21" s="342">
        <v>264.32363318451928</v>
      </c>
      <c r="H21" s="342">
        <v>241.26164139646448</v>
      </c>
      <c r="I21" s="342">
        <v>219.16347805941243</v>
      </c>
      <c r="J21" s="342">
        <v>208.71745231522377</v>
      </c>
      <c r="K21" s="342">
        <v>197.28173695386295</v>
      </c>
      <c r="L21" s="342">
        <v>186.84973175494912</v>
      </c>
      <c r="M21" s="342">
        <v>177.2561348796898</v>
      </c>
      <c r="N21" s="342">
        <v>168.58759602422685</v>
      </c>
      <c r="O21" s="342">
        <v>160.62184475393241</v>
      </c>
      <c r="P21" s="342">
        <v>158.61407169450828</v>
      </c>
      <c r="Q21" s="342">
        <v>156.6062986350841</v>
      </c>
      <c r="R21" s="342">
        <v>154.59852557565992</v>
      </c>
      <c r="S21" s="342">
        <v>152.59075251623582</v>
      </c>
      <c r="T21" s="342">
        <v>150.58297945681164</v>
      </c>
      <c r="U21" s="342">
        <v>148.57520639738749</v>
      </c>
      <c r="V21" s="342">
        <v>146.56743333796337</v>
      </c>
      <c r="W21" s="342">
        <v>144.55966027853927</v>
      </c>
      <c r="X21" s="342">
        <v>142.55188721911506</v>
      </c>
      <c r="Y21" s="342">
        <v>140.54411415969091</v>
      </c>
      <c r="Z21" s="342">
        <v>138.53634110026678</v>
      </c>
      <c r="AA21" s="342">
        <v>136.52856804084263</v>
      </c>
      <c r="AB21" s="342">
        <v>134.52079498141848</v>
      </c>
      <c r="AC21" s="342">
        <v>132.51302192199435</v>
      </c>
      <c r="AD21" s="342">
        <v>130.50524886257014</v>
      </c>
      <c r="AE21" s="342">
        <v>128.49747580314599</v>
      </c>
      <c r="AF21" s="342">
        <v>126.48970274372182</v>
      </c>
      <c r="AG21" s="342">
        <v>124.48192968429774</v>
      </c>
      <c r="AH21" s="342">
        <v>122.47415662487359</v>
      </c>
      <c r="AI21" s="342">
        <v>120.46638356544935</v>
      </c>
      <c r="AL21" s="3" t="s">
        <v>232</v>
      </c>
      <c r="AM21" s="342">
        <v>397856.72898423189</v>
      </c>
      <c r="AN21" s="342">
        <v>215911.26059769187</v>
      </c>
      <c r="AO21" s="342">
        <v>203028.73495805287</v>
      </c>
      <c r="AP21" s="342">
        <v>192207.19567570917</v>
      </c>
      <c r="AQ21" s="342">
        <v>184658.5290493397</v>
      </c>
      <c r="AR21" s="342">
        <v>180287.08183066431</v>
      </c>
      <c r="AS21" s="342">
        <v>175839.57466151577</v>
      </c>
      <c r="AT21" s="342">
        <v>171643.99048574106</v>
      </c>
      <c r="AU21" s="342">
        <v>167824.69809594401</v>
      </c>
      <c r="AV21" s="342">
        <v>163995.33720922831</v>
      </c>
      <c r="AW21" s="342">
        <v>161945.39549411298</v>
      </c>
      <c r="AX21" s="342">
        <v>159895.45377899747</v>
      </c>
      <c r="AY21" s="342">
        <v>157845.51206388237</v>
      </c>
      <c r="AZ21" s="342">
        <v>155795.57034876721</v>
      </c>
      <c r="BA21" s="342">
        <v>153745.62863365142</v>
      </c>
      <c r="BB21" s="342">
        <v>151695.68691853614</v>
      </c>
      <c r="BC21" s="342">
        <v>149645.74520342093</v>
      </c>
      <c r="BD21" s="342">
        <v>147595.80348830536</v>
      </c>
      <c r="BE21" s="342">
        <v>145545.86177319038</v>
      </c>
      <c r="BF21" s="342">
        <v>143495.92005807528</v>
      </c>
      <c r="BG21" s="342">
        <v>141445.97834295931</v>
      </c>
      <c r="BH21" s="342">
        <v>139396.03662784403</v>
      </c>
      <c r="BI21" s="342">
        <v>137346.09491272882</v>
      </c>
      <c r="BJ21" s="342">
        <v>135296.15319761354</v>
      </c>
      <c r="BK21" s="342">
        <v>133246.2114824985</v>
      </c>
      <c r="BL21" s="342">
        <v>131196.269767383</v>
      </c>
      <c r="BM21" s="342">
        <v>129146.32805226755</v>
      </c>
      <c r="BN21" s="342">
        <v>127096.38633715216</v>
      </c>
      <c r="BO21" s="342">
        <v>125046.44462203648</v>
      </c>
      <c r="BP21" s="342">
        <v>122996.50290692132</v>
      </c>
    </row>
    <row r="22" spans="2:68" ht="15" customHeight="1" x14ac:dyDescent="0.25">
      <c r="B22" s="615"/>
      <c r="C22" s="246"/>
      <c r="D22" s="610"/>
      <c r="E22" s="3" t="s">
        <v>194</v>
      </c>
      <c r="F22" s="342">
        <v>234.62293770025531</v>
      </c>
      <c r="G22" s="342">
        <v>264.32363318451928</v>
      </c>
      <c r="H22" s="342">
        <v>274.1133973765385</v>
      </c>
      <c r="I22" s="342">
        <v>276.07135021494224</v>
      </c>
      <c r="J22" s="342">
        <v>272.1554445381347</v>
      </c>
      <c r="K22" s="342">
        <v>261.97408977843463</v>
      </c>
      <c r="L22" s="342">
        <v>251.79273501873476</v>
      </c>
      <c r="M22" s="342">
        <v>241.61138025903472</v>
      </c>
      <c r="N22" s="342">
        <v>231.43002549933465</v>
      </c>
      <c r="O22" s="342">
        <v>221.24867073963472</v>
      </c>
      <c r="P22" s="342">
        <v>220.61687309406094</v>
      </c>
      <c r="Q22" s="342">
        <v>219.98507544848709</v>
      </c>
      <c r="R22" s="342">
        <v>219.35327780291323</v>
      </c>
      <c r="S22" s="342">
        <v>218.72148015733947</v>
      </c>
      <c r="T22" s="342">
        <v>218.08968251176566</v>
      </c>
      <c r="U22" s="342">
        <v>217.4578848661919</v>
      </c>
      <c r="V22" s="342">
        <v>216.82608722061809</v>
      </c>
      <c r="W22" s="342">
        <v>216.19428957504434</v>
      </c>
      <c r="X22" s="342">
        <v>215.56249192947053</v>
      </c>
      <c r="Y22" s="342">
        <v>214.93069428389671</v>
      </c>
      <c r="Z22" s="342">
        <v>214.2988966383229</v>
      </c>
      <c r="AA22" s="342">
        <v>213.66709899274915</v>
      </c>
      <c r="AB22" s="342">
        <v>213.03530134717528</v>
      </c>
      <c r="AC22" s="342">
        <v>212.40350370160158</v>
      </c>
      <c r="AD22" s="342">
        <v>211.77170605602771</v>
      </c>
      <c r="AE22" s="342">
        <v>211.13990841045396</v>
      </c>
      <c r="AF22" s="342">
        <v>210.50811076488014</v>
      </c>
      <c r="AG22" s="342">
        <v>209.87631311930633</v>
      </c>
      <c r="AH22" s="342">
        <v>209.24451547373252</v>
      </c>
      <c r="AI22" s="342">
        <v>208.61271782815862</v>
      </c>
      <c r="AL22" s="3" t="s">
        <v>194</v>
      </c>
      <c r="AM22" s="342">
        <v>397856.72898423189</v>
      </c>
      <c r="AN22" s="342">
        <v>215911.26059769187</v>
      </c>
      <c r="AO22" s="342">
        <v>223907.97395316185</v>
      </c>
      <c r="AP22" s="342">
        <v>225507.31662425597</v>
      </c>
      <c r="AQ22" s="342">
        <v>222308.63128206751</v>
      </c>
      <c r="AR22" s="342">
        <v>213992.04939237912</v>
      </c>
      <c r="AS22" s="342">
        <v>205675.46750268992</v>
      </c>
      <c r="AT22" s="342">
        <v>197358.88561300084</v>
      </c>
      <c r="AU22" s="342">
        <v>189042.30372331257</v>
      </c>
      <c r="AV22" s="342">
        <v>180725.7218336236</v>
      </c>
      <c r="AW22" s="342">
        <v>180209.64151021442</v>
      </c>
      <c r="AX22" s="342">
        <v>179693.56118680595</v>
      </c>
      <c r="AY22" s="342">
        <v>179177.48086339701</v>
      </c>
      <c r="AZ22" s="342">
        <v>178661.40053998772</v>
      </c>
      <c r="BA22" s="342">
        <v>178145.32021657925</v>
      </c>
      <c r="BB22" s="342">
        <v>177629.23989317007</v>
      </c>
      <c r="BC22" s="342">
        <v>177113.15956976078</v>
      </c>
      <c r="BD22" s="342">
        <v>176597.0792463515</v>
      </c>
      <c r="BE22" s="342">
        <v>176080.99892294302</v>
      </c>
      <c r="BF22" s="342">
        <v>175564.91859953396</v>
      </c>
      <c r="BG22" s="342">
        <v>175048.83827612491</v>
      </c>
      <c r="BH22" s="342">
        <v>174532.75795271609</v>
      </c>
      <c r="BI22" s="342">
        <v>174016.67762930749</v>
      </c>
      <c r="BJ22" s="342">
        <v>173500.59730589832</v>
      </c>
      <c r="BK22" s="342">
        <v>172984.51698248961</v>
      </c>
      <c r="BL22" s="342">
        <v>172468.43665908067</v>
      </c>
      <c r="BM22" s="342">
        <v>171952.35633567139</v>
      </c>
      <c r="BN22" s="342">
        <v>171436.27601226268</v>
      </c>
      <c r="BO22" s="342">
        <v>170920.19568885374</v>
      </c>
      <c r="BP22" s="342">
        <v>170404.11536544433</v>
      </c>
    </row>
    <row r="23" spans="2:68" ht="15" customHeight="1" x14ac:dyDescent="0.25">
      <c r="B23" s="615"/>
      <c r="C23" s="246"/>
      <c r="D23" s="610"/>
      <c r="F23" s="258"/>
      <c r="G23" s="258"/>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row>
    <row r="24" spans="2:68" ht="15" customHeight="1" x14ac:dyDescent="0.25">
      <c r="B24" s="615"/>
      <c r="C24" s="246"/>
      <c r="D24" s="610"/>
      <c r="E24" s="31" t="s">
        <v>258</v>
      </c>
    </row>
    <row r="25" spans="2:68" ht="15" customHeight="1" x14ac:dyDescent="0.25">
      <c r="B25" s="615"/>
      <c r="C25" s="246"/>
      <c r="D25" s="610"/>
      <c r="F25" s="31">
        <v>2021</v>
      </c>
      <c r="G25" s="31">
        <v>2022</v>
      </c>
      <c r="H25" s="31">
        <v>2023</v>
      </c>
      <c r="I25" s="31">
        <v>2024</v>
      </c>
      <c r="J25" s="31">
        <v>2025</v>
      </c>
      <c r="K25" s="31">
        <v>2026</v>
      </c>
      <c r="L25" s="31">
        <v>2027</v>
      </c>
      <c r="M25" s="31">
        <v>2028</v>
      </c>
      <c r="N25" s="31">
        <v>2029</v>
      </c>
      <c r="O25" s="31">
        <v>2030</v>
      </c>
      <c r="P25" s="31">
        <v>2031</v>
      </c>
      <c r="Q25" s="31">
        <v>2032</v>
      </c>
      <c r="R25" s="31">
        <v>2033</v>
      </c>
      <c r="S25" s="31">
        <v>2034</v>
      </c>
      <c r="T25" s="31">
        <v>2035</v>
      </c>
      <c r="U25" s="31">
        <v>2036</v>
      </c>
      <c r="V25" s="31">
        <v>2037</v>
      </c>
      <c r="W25" s="31">
        <v>2038</v>
      </c>
      <c r="X25" s="31">
        <v>2039</v>
      </c>
      <c r="Y25" s="31">
        <v>2040</v>
      </c>
      <c r="Z25" s="31">
        <v>2041</v>
      </c>
      <c r="AA25" s="31">
        <v>2042</v>
      </c>
      <c r="AB25" s="31">
        <v>2043</v>
      </c>
      <c r="AC25" s="31">
        <v>2044</v>
      </c>
      <c r="AD25" s="31">
        <v>2045</v>
      </c>
      <c r="AE25" s="31">
        <v>2046</v>
      </c>
      <c r="AF25" s="31">
        <v>2047</v>
      </c>
      <c r="AG25" s="31">
        <v>2048</v>
      </c>
      <c r="AH25" s="31">
        <v>2049</v>
      </c>
      <c r="AI25" s="31">
        <v>2050</v>
      </c>
    </row>
    <row r="26" spans="2:68" ht="15" customHeight="1" x14ac:dyDescent="0.25">
      <c r="B26" s="615"/>
      <c r="C26" s="246"/>
      <c r="D26" s="610"/>
      <c r="E26" s="3" t="s">
        <v>233</v>
      </c>
      <c r="F26" s="342">
        <v>327.50226443994501</v>
      </c>
      <c r="G26" s="342">
        <v>957.87671109265295</v>
      </c>
      <c r="H26" s="342">
        <v>689.09443114325256</v>
      </c>
      <c r="I26" s="342">
        <v>650.41224678606295</v>
      </c>
      <c r="J26" s="342">
        <v>617.31886436641958</v>
      </c>
      <c r="K26" s="342">
        <v>595.07681152853968</v>
      </c>
      <c r="L26" s="342">
        <v>572.83475869065967</v>
      </c>
      <c r="M26" s="342">
        <v>550.59270585277943</v>
      </c>
      <c r="N26" s="342">
        <v>528.35065301489931</v>
      </c>
      <c r="O26" s="342">
        <v>506.10860017701935</v>
      </c>
      <c r="P26" s="342">
        <v>496.59118233108899</v>
      </c>
      <c r="Q26" s="342">
        <v>487.07376448515913</v>
      </c>
      <c r="R26" s="342">
        <v>477.55634663922899</v>
      </c>
      <c r="S26" s="342">
        <v>468.03892879329908</v>
      </c>
      <c r="T26" s="342">
        <v>458.52151094736894</v>
      </c>
      <c r="U26" s="342">
        <v>449.00409310143897</v>
      </c>
      <c r="V26" s="342">
        <v>439.48667525550894</v>
      </c>
      <c r="W26" s="342">
        <v>429.96925740957909</v>
      </c>
      <c r="X26" s="342">
        <v>420.45183956364895</v>
      </c>
      <c r="Y26" s="342">
        <v>410.93442171771909</v>
      </c>
      <c r="Z26" s="342">
        <v>401.41700387178906</v>
      </c>
      <c r="AA26" s="342">
        <v>391.89958602585904</v>
      </c>
      <c r="AB26" s="342">
        <v>382.38216817992901</v>
      </c>
      <c r="AC26" s="342">
        <v>372.86475033399898</v>
      </c>
      <c r="AD26" s="342">
        <v>363.3473324880689</v>
      </c>
      <c r="AE26" s="342">
        <v>353.82991464213904</v>
      </c>
      <c r="AF26" s="342">
        <v>344.31249679620896</v>
      </c>
      <c r="AG26" s="342">
        <v>334.79507895027899</v>
      </c>
      <c r="AH26" s="342">
        <v>325.27766110434891</v>
      </c>
      <c r="AI26" s="342">
        <v>315.76024325841877</v>
      </c>
    </row>
    <row r="27" spans="2:68" ht="15" customHeight="1" x14ac:dyDescent="0.25">
      <c r="B27" s="615"/>
      <c r="C27" s="246"/>
      <c r="D27" s="610"/>
      <c r="E27" s="3" t="s">
        <v>232</v>
      </c>
      <c r="F27" s="342">
        <v>327.50226443994501</v>
      </c>
      <c r="G27" s="342">
        <v>957.87671109265295</v>
      </c>
      <c r="H27" s="342">
        <v>893.12550829023451</v>
      </c>
      <c r="I27" s="342">
        <v>837.60164489836291</v>
      </c>
      <c r="J27" s="342">
        <v>803.09944570704783</v>
      </c>
      <c r="K27" s="342">
        <v>779.37749080771005</v>
      </c>
      <c r="L27" s="342">
        <v>755.87679926435305</v>
      </c>
      <c r="M27" s="342">
        <v>733.82677511364056</v>
      </c>
      <c r="N27" s="342">
        <v>713.80062594518154</v>
      </c>
      <c r="O27" s="342">
        <v>694.10351761122899</v>
      </c>
      <c r="P27" s="342">
        <v>685.42722364108886</v>
      </c>
      <c r="Q27" s="342">
        <v>676.75092967094849</v>
      </c>
      <c r="R27" s="342">
        <v>668.07463570080824</v>
      </c>
      <c r="S27" s="342">
        <v>659.39834173066777</v>
      </c>
      <c r="T27" s="342">
        <v>650.7220477605274</v>
      </c>
      <c r="U27" s="342">
        <v>642.04575379038715</v>
      </c>
      <c r="V27" s="342">
        <v>633.3694598202469</v>
      </c>
      <c r="W27" s="342">
        <v>624.69316585010631</v>
      </c>
      <c r="X27" s="342">
        <v>616.01687187996606</v>
      </c>
      <c r="Y27" s="342">
        <v>607.34057790982558</v>
      </c>
      <c r="Z27" s="342">
        <v>598.66428393968556</v>
      </c>
      <c r="AA27" s="342">
        <v>589.9879899695452</v>
      </c>
      <c r="AB27" s="342">
        <v>581.31169599940472</v>
      </c>
      <c r="AC27" s="342">
        <v>572.63540202926447</v>
      </c>
      <c r="AD27" s="342">
        <v>563.95910805912411</v>
      </c>
      <c r="AE27" s="342">
        <v>555.28281408898386</v>
      </c>
      <c r="AF27" s="342">
        <v>546.6065201188436</v>
      </c>
      <c r="AG27" s="342">
        <v>537.93022614870313</v>
      </c>
      <c r="AH27" s="342">
        <v>529.25393217856276</v>
      </c>
      <c r="AI27" s="342">
        <v>520.57763820842172</v>
      </c>
    </row>
    <row r="28" spans="2:68" ht="15" customHeight="1" x14ac:dyDescent="0.25">
      <c r="B28" s="615"/>
      <c r="C28" s="246"/>
      <c r="D28" s="610"/>
      <c r="E28" s="3" t="s">
        <v>194</v>
      </c>
      <c r="F28" s="342">
        <v>327.50226443994501</v>
      </c>
      <c r="G28" s="342">
        <v>957.87671109265295</v>
      </c>
      <c r="H28" s="342">
        <v>993.35362631830651</v>
      </c>
      <c r="I28" s="342">
        <v>1000.4490093634372</v>
      </c>
      <c r="J28" s="342">
        <v>986.25824327317594</v>
      </c>
      <c r="K28" s="342">
        <v>949.36225143849617</v>
      </c>
      <c r="L28" s="342">
        <v>912.46625960381607</v>
      </c>
      <c r="M28" s="342">
        <v>875.57026776913608</v>
      </c>
      <c r="N28" s="342">
        <v>838.6742759344562</v>
      </c>
      <c r="O28" s="342">
        <v>801.77828409977622</v>
      </c>
      <c r="P28" s="342">
        <v>799.48872624402475</v>
      </c>
      <c r="Q28" s="342">
        <v>797.19916838827362</v>
      </c>
      <c r="R28" s="342">
        <v>794.90961053252272</v>
      </c>
      <c r="S28" s="342">
        <v>792.62005267677148</v>
      </c>
      <c r="T28" s="342">
        <v>790.33049482101978</v>
      </c>
      <c r="U28" s="342">
        <v>788.04093696526911</v>
      </c>
      <c r="V28" s="342">
        <v>785.75137910951776</v>
      </c>
      <c r="W28" s="342">
        <v>783.46182125376686</v>
      </c>
      <c r="X28" s="342">
        <v>781.17226339801562</v>
      </c>
      <c r="Y28" s="342">
        <v>778.88270554226438</v>
      </c>
      <c r="Z28" s="342">
        <v>776.59314768651325</v>
      </c>
      <c r="AA28" s="342">
        <v>774.30358983076189</v>
      </c>
      <c r="AB28" s="342">
        <v>772.01403197501054</v>
      </c>
      <c r="AC28" s="342">
        <v>769.72447411925941</v>
      </c>
      <c r="AD28" s="342">
        <v>767.43491626350817</v>
      </c>
      <c r="AE28" s="342">
        <v>765.14535840775704</v>
      </c>
      <c r="AF28" s="342">
        <v>762.8558005520058</v>
      </c>
      <c r="AG28" s="342">
        <v>760.56624269625468</v>
      </c>
      <c r="AH28" s="342">
        <v>758.27668484050355</v>
      </c>
      <c r="AI28" s="342">
        <v>755.98712698475163</v>
      </c>
    </row>
    <row r="29" spans="2:68" ht="15" customHeight="1" x14ac:dyDescent="0.25">
      <c r="B29" s="615"/>
      <c r="C29" s="246"/>
      <c r="D29" s="246"/>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row>
    <row r="30" spans="2:68" ht="15" customHeight="1" x14ac:dyDescent="0.25">
      <c r="B30" s="615"/>
      <c r="C30" s="246"/>
      <c r="D30" s="246"/>
      <c r="E30" s="31" t="s">
        <v>282</v>
      </c>
      <c r="F30" s="31"/>
      <c r="G30" s="258"/>
      <c r="H30" s="258"/>
      <c r="I30" s="258"/>
      <c r="J30" s="258"/>
      <c r="K30" s="258"/>
      <c r="L30" s="258"/>
      <c r="M30" s="258"/>
      <c r="N30" s="258"/>
      <c r="O30" s="258"/>
      <c r="P30" s="258"/>
      <c r="Q30" s="258"/>
      <c r="R30" s="258"/>
      <c r="S30" s="258"/>
      <c r="T30" s="258"/>
      <c r="U30" s="258"/>
      <c r="V30" s="343"/>
      <c r="W30" s="258"/>
      <c r="X30" s="258"/>
      <c r="Y30" s="258"/>
      <c r="Z30" s="258"/>
      <c r="AA30" s="258"/>
      <c r="AB30" s="258"/>
      <c r="AC30" s="258"/>
      <c r="AD30" s="258"/>
      <c r="AE30" s="258"/>
      <c r="AF30" s="258"/>
      <c r="AG30" s="258"/>
      <c r="AH30" s="258"/>
      <c r="AI30" s="258"/>
      <c r="AJ30" s="258"/>
      <c r="AK30" s="258"/>
      <c r="AL30" s="258"/>
      <c r="AM30" s="258"/>
    </row>
    <row r="31" spans="2:68" ht="15" customHeight="1" thickBot="1" x14ac:dyDescent="0.3">
      <c r="B31" s="615"/>
      <c r="C31" s="246"/>
      <c r="D31" s="246"/>
      <c r="E31" s="31"/>
      <c r="F31" s="31"/>
      <c r="G31" s="258"/>
      <c r="H31" s="258"/>
      <c r="I31" s="258"/>
      <c r="J31" s="258"/>
      <c r="K31" s="258"/>
      <c r="L31" s="258"/>
      <c r="M31" s="258"/>
      <c r="N31" s="258"/>
      <c r="O31" s="258"/>
      <c r="P31" s="258"/>
      <c r="Q31" s="258"/>
      <c r="R31" s="258"/>
      <c r="S31" s="258"/>
      <c r="T31" s="258"/>
      <c r="U31" s="258"/>
      <c r="V31" s="343"/>
      <c r="W31" s="258"/>
      <c r="X31" s="258"/>
      <c r="Y31" s="258"/>
      <c r="Z31" s="258"/>
      <c r="AA31" s="258"/>
      <c r="AB31" s="258"/>
      <c r="AC31" s="258"/>
      <c r="AD31" s="258"/>
      <c r="AE31" s="258"/>
      <c r="AF31" s="258"/>
      <c r="AG31" s="258"/>
      <c r="AH31" s="258"/>
      <c r="AI31" s="258"/>
      <c r="AJ31" s="258"/>
      <c r="AK31" s="258"/>
      <c r="AL31" s="258"/>
      <c r="AM31" s="258"/>
    </row>
    <row r="32" spans="2:68" ht="15" customHeight="1" thickBot="1" x14ac:dyDescent="0.3">
      <c r="B32" s="615"/>
      <c r="C32" s="246"/>
      <c r="D32" s="609" t="s">
        <v>256</v>
      </c>
      <c r="E32" s="47" t="s">
        <v>255</v>
      </c>
      <c r="F32" s="46" t="s">
        <v>254</v>
      </c>
      <c r="G32" s="46" t="s">
        <v>253</v>
      </c>
      <c r="H32" s="46" t="s">
        <v>252</v>
      </c>
      <c r="I32" s="45" t="s">
        <v>251</v>
      </c>
      <c r="J32" s="258"/>
      <c r="K32" s="258"/>
      <c r="L32" s="258"/>
      <c r="M32" s="258"/>
      <c r="N32" s="258"/>
      <c r="O32" s="258"/>
      <c r="P32" s="258"/>
      <c r="Q32" s="258"/>
      <c r="R32" s="258"/>
      <c r="S32" s="258"/>
      <c r="T32" s="258"/>
      <c r="U32" s="258"/>
      <c r="V32" s="343"/>
      <c r="W32" s="258"/>
      <c r="X32" s="258"/>
      <c r="Y32" s="258"/>
      <c r="Z32" s="258"/>
      <c r="AA32" s="258"/>
      <c r="AB32" s="258"/>
      <c r="AC32" s="258"/>
      <c r="AD32" s="258"/>
      <c r="AE32" s="258"/>
      <c r="AF32" s="258"/>
      <c r="AG32" s="258"/>
      <c r="AH32" s="258"/>
      <c r="AI32" s="258"/>
      <c r="AJ32" s="258"/>
      <c r="AK32" s="258"/>
      <c r="AL32" s="258"/>
      <c r="AM32" s="258"/>
    </row>
    <row r="33" spans="1:74" ht="15" customHeight="1" x14ac:dyDescent="0.25">
      <c r="B33" s="615"/>
      <c r="C33" s="246"/>
      <c r="D33" s="609"/>
      <c r="E33" s="393" t="s">
        <v>277</v>
      </c>
      <c r="F33" s="394" t="s">
        <v>281</v>
      </c>
      <c r="G33" s="394" t="s">
        <v>213</v>
      </c>
      <c r="H33" s="394" t="s">
        <v>202</v>
      </c>
      <c r="I33" s="346" t="s">
        <v>244</v>
      </c>
      <c r="J33" s="258"/>
      <c r="K33" s="258"/>
      <c r="L33" s="258"/>
      <c r="M33" s="258"/>
      <c r="N33" s="258"/>
      <c r="O33" s="258"/>
      <c r="P33" s="258"/>
      <c r="Q33" s="258"/>
      <c r="R33" s="258"/>
      <c r="S33" s="258"/>
      <c r="T33" s="258"/>
      <c r="U33" s="258"/>
      <c r="V33" s="343"/>
      <c r="W33" s="258"/>
      <c r="X33" s="258"/>
      <c r="Y33" s="258"/>
      <c r="Z33" s="258"/>
      <c r="AA33" s="258"/>
      <c r="AB33" s="258"/>
      <c r="AC33" s="258"/>
      <c r="AD33" s="258"/>
      <c r="AE33" s="258"/>
      <c r="AF33" s="258"/>
      <c r="AG33" s="258"/>
      <c r="AH33" s="258"/>
      <c r="AI33" s="258"/>
      <c r="AJ33" s="258"/>
      <c r="AK33" s="258"/>
      <c r="AL33" s="258"/>
      <c r="AM33" s="258"/>
    </row>
    <row r="34" spans="1:74" ht="15" customHeight="1" x14ac:dyDescent="0.25">
      <c r="B34" s="615"/>
      <c r="C34" s="246"/>
      <c r="D34" s="609"/>
      <c r="E34" s="395" t="s">
        <v>276</v>
      </c>
      <c r="F34" s="396" t="s">
        <v>250</v>
      </c>
      <c r="G34" s="396" t="s">
        <v>213</v>
      </c>
      <c r="H34" s="396" t="s">
        <v>202</v>
      </c>
      <c r="I34" s="397" t="s">
        <v>244</v>
      </c>
      <c r="J34" s="258"/>
      <c r="K34" s="258"/>
      <c r="L34" s="258"/>
      <c r="M34" s="258"/>
      <c r="N34" s="258"/>
      <c r="O34" s="258"/>
      <c r="P34" s="258"/>
      <c r="Q34" s="258"/>
      <c r="R34" s="258"/>
      <c r="S34" s="258"/>
      <c r="T34" s="258"/>
      <c r="U34" s="258"/>
      <c r="V34" s="343"/>
      <c r="W34" s="258"/>
      <c r="X34" s="258"/>
      <c r="Y34" s="258"/>
      <c r="Z34" s="258"/>
      <c r="AA34" s="258"/>
      <c r="AB34" s="258"/>
      <c r="AC34" s="258"/>
      <c r="AD34" s="258"/>
      <c r="AE34" s="258"/>
      <c r="AF34" s="258"/>
      <c r="AG34" s="258"/>
      <c r="AH34" s="258"/>
      <c r="AI34" s="258"/>
      <c r="AJ34" s="258"/>
      <c r="AK34" s="258"/>
      <c r="AL34" s="258"/>
      <c r="AM34" s="258"/>
    </row>
    <row r="35" spans="1:74" ht="15" customHeight="1" x14ac:dyDescent="0.25">
      <c r="B35" s="615"/>
      <c r="C35" s="246"/>
      <c r="D35" s="609"/>
      <c r="E35" s="398" t="s">
        <v>146</v>
      </c>
      <c r="F35" s="399" t="s">
        <v>249</v>
      </c>
      <c r="G35" s="399" t="s">
        <v>213</v>
      </c>
      <c r="H35" s="399" t="s">
        <v>202</v>
      </c>
      <c r="I35" s="400" t="s">
        <v>244</v>
      </c>
      <c r="J35" s="258"/>
      <c r="K35" s="258"/>
      <c r="L35" s="258"/>
      <c r="M35" s="258"/>
      <c r="N35" s="258"/>
      <c r="O35" s="258"/>
      <c r="P35" s="258"/>
      <c r="Q35" s="258"/>
      <c r="R35" s="258"/>
      <c r="S35" s="258"/>
      <c r="T35" s="258"/>
      <c r="U35" s="258"/>
      <c r="V35" s="343"/>
      <c r="W35" s="258"/>
      <c r="X35" s="258"/>
      <c r="Y35" s="258"/>
      <c r="Z35" s="258"/>
      <c r="AA35" s="258"/>
      <c r="AB35" s="258"/>
      <c r="AC35" s="258"/>
      <c r="AD35" s="258"/>
      <c r="AE35" s="258"/>
      <c r="AF35" s="258"/>
      <c r="AG35" s="258"/>
      <c r="AH35" s="258"/>
      <c r="AI35" s="258"/>
      <c r="AJ35" s="258"/>
      <c r="AK35" s="258"/>
      <c r="AL35" s="258"/>
      <c r="AM35" s="258"/>
    </row>
    <row r="36" spans="1:74" ht="15" customHeight="1" x14ac:dyDescent="0.25">
      <c r="B36" s="615"/>
      <c r="C36" s="246"/>
      <c r="D36" s="609"/>
      <c r="E36" s="395" t="s">
        <v>275</v>
      </c>
      <c r="F36" s="396" t="s">
        <v>248</v>
      </c>
      <c r="G36" s="396" t="s">
        <v>213</v>
      </c>
      <c r="H36" s="396" t="s">
        <v>202</v>
      </c>
      <c r="I36" s="397" t="s">
        <v>244</v>
      </c>
      <c r="J36" s="258"/>
      <c r="K36" s="258"/>
      <c r="L36" s="258"/>
      <c r="M36" s="258"/>
      <c r="N36" s="258"/>
      <c r="O36" s="258"/>
      <c r="P36" s="258"/>
      <c r="Q36" s="258"/>
      <c r="R36" s="258"/>
      <c r="S36" s="258"/>
      <c r="T36" s="258"/>
      <c r="U36" s="258"/>
      <c r="V36" s="343"/>
      <c r="W36" s="258"/>
      <c r="X36" s="258"/>
      <c r="Y36" s="258"/>
      <c r="Z36" s="258"/>
      <c r="AA36" s="258"/>
      <c r="AB36" s="258"/>
      <c r="AC36" s="258"/>
      <c r="AD36" s="258"/>
      <c r="AE36" s="258"/>
      <c r="AF36" s="258"/>
      <c r="AG36" s="258"/>
      <c r="AH36" s="258"/>
      <c r="AI36" s="258"/>
      <c r="AJ36" s="258"/>
      <c r="AK36" s="258"/>
      <c r="AL36" s="258"/>
      <c r="AM36" s="258"/>
    </row>
    <row r="37" spans="1:74" ht="15" customHeight="1" thickBot="1" x14ac:dyDescent="0.3">
      <c r="B37" s="615"/>
      <c r="C37" s="246"/>
      <c r="D37" s="609"/>
      <c r="E37" s="401" t="s">
        <v>274</v>
      </c>
      <c r="F37" s="402" t="s">
        <v>247</v>
      </c>
      <c r="G37" s="402" t="s">
        <v>213</v>
      </c>
      <c r="H37" s="402" t="s">
        <v>202</v>
      </c>
      <c r="I37" s="403" t="s">
        <v>244</v>
      </c>
      <c r="J37" s="258"/>
      <c r="K37" s="258"/>
      <c r="L37" s="258"/>
      <c r="M37" s="258"/>
      <c r="N37" s="258"/>
      <c r="O37" s="258"/>
      <c r="P37" s="258"/>
      <c r="Q37" s="258"/>
      <c r="R37" s="258"/>
      <c r="S37" s="258"/>
      <c r="T37" s="258"/>
      <c r="U37" s="258"/>
      <c r="V37" s="343"/>
      <c r="W37" s="258"/>
      <c r="X37" s="258"/>
      <c r="Y37" s="258"/>
      <c r="Z37" s="258"/>
      <c r="AA37" s="258"/>
      <c r="AB37" s="258"/>
      <c r="AC37" s="258"/>
      <c r="AD37" s="258"/>
      <c r="AE37" s="258"/>
      <c r="AF37" s="258"/>
      <c r="AG37" s="258"/>
      <c r="AH37" s="258"/>
      <c r="AI37" s="258"/>
      <c r="AJ37" s="258"/>
      <c r="AK37" s="258"/>
      <c r="AL37" s="258"/>
      <c r="AM37" s="258"/>
    </row>
    <row r="38" spans="1:74" ht="15" customHeight="1" x14ac:dyDescent="0.25">
      <c r="C38" s="246"/>
      <c r="D38" s="246"/>
      <c r="E38" s="31"/>
      <c r="F38" s="31"/>
      <c r="G38" s="258"/>
      <c r="H38" s="258"/>
      <c r="I38" s="258"/>
      <c r="J38" s="258"/>
      <c r="K38" s="258"/>
      <c r="L38" s="258"/>
      <c r="M38" s="258"/>
      <c r="N38" s="258"/>
      <c r="O38" s="258"/>
      <c r="P38" s="258"/>
      <c r="Q38" s="258"/>
      <c r="R38" s="258"/>
      <c r="S38" s="258"/>
      <c r="T38" s="258"/>
      <c r="U38" s="258"/>
      <c r="V38" s="343"/>
      <c r="W38" s="258"/>
      <c r="X38" s="258"/>
      <c r="Y38" s="258"/>
      <c r="Z38" s="258"/>
      <c r="AA38" s="258"/>
      <c r="AB38" s="258"/>
      <c r="AC38" s="258"/>
      <c r="AD38" s="258"/>
      <c r="AE38" s="258"/>
      <c r="AF38" s="258"/>
      <c r="AG38" s="258"/>
      <c r="AH38" s="258"/>
      <c r="AI38" s="258"/>
      <c r="AJ38" s="258"/>
      <c r="AK38" s="258"/>
      <c r="AL38" s="258"/>
      <c r="AM38" s="258"/>
    </row>
    <row r="39" spans="1:74" ht="15" customHeight="1" x14ac:dyDescent="0.25">
      <c r="C39" s="246"/>
      <c r="D39" s="246"/>
      <c r="E39" s="31"/>
      <c r="F39" s="31"/>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row>
    <row r="40" spans="1:74" s="325" customFormat="1" ht="14.25" customHeight="1" x14ac:dyDescent="0.2">
      <c r="C40" s="614" t="s">
        <v>243</v>
      </c>
      <c r="D40" s="614"/>
      <c r="E40" s="614"/>
      <c r="F40" s="614"/>
      <c r="G40" s="614"/>
      <c r="H40" s="614"/>
      <c r="I40" s="614"/>
      <c r="J40" s="614"/>
      <c r="K40" s="614"/>
      <c r="L40" s="614"/>
      <c r="M40" s="614"/>
      <c r="N40" s="614"/>
      <c r="O40" s="614"/>
      <c r="P40" s="614"/>
      <c r="Q40" s="614"/>
      <c r="R40" s="335"/>
      <c r="S40" s="335"/>
      <c r="T40" s="335"/>
      <c r="U40" s="335"/>
      <c r="V40" s="335"/>
      <c r="W40" s="335"/>
      <c r="X40" s="335"/>
      <c r="Y40" s="335"/>
      <c r="Z40" s="350"/>
      <c r="AA40" s="350"/>
      <c r="AB40" s="350"/>
      <c r="AC40" s="350"/>
      <c r="AD40" s="350"/>
      <c r="AE40" s="350"/>
      <c r="AF40" s="350"/>
      <c r="AG40" s="350"/>
      <c r="AH40" s="350"/>
      <c r="AI40" s="350"/>
      <c r="AJ40" s="350"/>
      <c r="AK40" s="350"/>
      <c r="AL40" s="350"/>
      <c r="AM40" s="350"/>
      <c r="AN40" s="350"/>
      <c r="AO40" s="350"/>
      <c r="AP40" s="350"/>
      <c r="AQ40" s="350"/>
      <c r="AR40" s="350"/>
    </row>
    <row r="41" spans="1:74" s="325" customFormat="1" ht="14.25" customHeight="1" thickBot="1" x14ac:dyDescent="0.25"/>
    <row r="42" spans="1:74" ht="15.75" thickBot="1" x14ac:dyDescent="0.3">
      <c r="D42" s="338" t="s">
        <v>280</v>
      </c>
    </row>
    <row r="43" spans="1:74" x14ac:dyDescent="0.25">
      <c r="D43" s="3" t="s">
        <v>279</v>
      </c>
    </row>
    <row r="44" spans="1:74" x14ac:dyDescent="0.25">
      <c r="G44" s="31">
        <v>2021</v>
      </c>
      <c r="H44" s="31">
        <v>2022</v>
      </c>
      <c r="I44" s="31">
        <v>2023</v>
      </c>
      <c r="J44" s="31">
        <v>2024</v>
      </c>
      <c r="K44" s="31">
        <v>2025</v>
      </c>
      <c r="L44" s="31">
        <v>2026</v>
      </c>
      <c r="M44" s="31">
        <v>2027</v>
      </c>
      <c r="N44" s="31">
        <v>2028</v>
      </c>
      <c r="O44" s="31">
        <v>2029</v>
      </c>
      <c r="P44" s="31">
        <v>2030</v>
      </c>
      <c r="Q44" s="31">
        <v>2031</v>
      </c>
      <c r="R44" s="31">
        <v>2032</v>
      </c>
      <c r="S44" s="31">
        <v>2033</v>
      </c>
      <c r="T44" s="31">
        <v>2034</v>
      </c>
      <c r="U44" s="31">
        <v>2035</v>
      </c>
      <c r="V44" s="31">
        <v>2036</v>
      </c>
      <c r="W44" s="31">
        <v>2037</v>
      </c>
      <c r="X44" s="31">
        <v>2038</v>
      </c>
      <c r="Y44" s="31">
        <v>2039</v>
      </c>
      <c r="Z44" s="31">
        <v>2040</v>
      </c>
      <c r="AA44" s="31">
        <v>2041</v>
      </c>
      <c r="AB44" s="31">
        <v>2042</v>
      </c>
      <c r="AC44" s="31">
        <v>2043</v>
      </c>
      <c r="AD44" s="31">
        <v>2044</v>
      </c>
      <c r="AE44" s="31">
        <v>2045</v>
      </c>
      <c r="AF44" s="31">
        <v>2046</v>
      </c>
      <c r="AG44" s="31">
        <v>2047</v>
      </c>
      <c r="AH44" s="31">
        <v>2048</v>
      </c>
      <c r="AI44" s="31">
        <v>2049</v>
      </c>
      <c r="AJ44" s="31">
        <v>2050</v>
      </c>
    </row>
    <row r="45" spans="1:74" ht="15" customHeight="1" x14ac:dyDescent="0.25">
      <c r="A45" s="325" t="str">
        <f t="shared" ref="A45:A59" si="0">$D$45&amp;"_"&amp;E45&amp;"_"&amp;F45</f>
        <v>Overnight Capital Cost ($/kW)_Commercial Battery Storage 1Hr_Advanced</v>
      </c>
      <c r="B45" s="640" t="s">
        <v>240</v>
      </c>
      <c r="D45" s="608" t="s">
        <v>129</v>
      </c>
      <c r="E45" s="351" t="s">
        <v>277</v>
      </c>
      <c r="F45" s="352" t="s">
        <v>233</v>
      </c>
      <c r="G45" s="353">
        <v>1225.2197504472535</v>
      </c>
      <c r="H45" s="353">
        <v>1582.0524452733255</v>
      </c>
      <c r="I45" s="353">
        <v>1138.1251023117979</v>
      </c>
      <c r="J45" s="353">
        <v>1074.2366669399876</v>
      </c>
      <c r="K45" s="353">
        <v>1019.5788326142732</v>
      </c>
      <c r="L45" s="353">
        <v>982.84331783186724</v>
      </c>
      <c r="M45" s="353">
        <v>946.10780304946127</v>
      </c>
      <c r="N45" s="353">
        <v>909.37228826705484</v>
      </c>
      <c r="O45" s="353">
        <v>872.63677348464944</v>
      </c>
      <c r="P45" s="353">
        <v>835.90125870224267</v>
      </c>
      <c r="Q45" s="353">
        <v>820.18206018590547</v>
      </c>
      <c r="R45" s="353">
        <v>804.4628616695677</v>
      </c>
      <c r="S45" s="353">
        <v>788.74366315323095</v>
      </c>
      <c r="T45" s="353">
        <v>773.02446463689375</v>
      </c>
      <c r="U45" s="353">
        <v>757.30526612055621</v>
      </c>
      <c r="V45" s="353">
        <v>741.58606760421935</v>
      </c>
      <c r="W45" s="353">
        <v>725.86686908788226</v>
      </c>
      <c r="X45" s="353">
        <v>710.14767057154518</v>
      </c>
      <c r="Y45" s="353">
        <v>694.42847205520798</v>
      </c>
      <c r="Z45" s="353">
        <v>678.709273538871</v>
      </c>
      <c r="AA45" s="353">
        <v>662.99007502253369</v>
      </c>
      <c r="AB45" s="353">
        <v>647.27087650619637</v>
      </c>
      <c r="AC45" s="353">
        <v>631.55167798985917</v>
      </c>
      <c r="AD45" s="353">
        <v>615.83247947352208</v>
      </c>
      <c r="AE45" s="353">
        <v>600.11328095718466</v>
      </c>
      <c r="AF45" s="353">
        <v>584.39408244084768</v>
      </c>
      <c r="AG45" s="353">
        <v>568.67488392451037</v>
      </c>
      <c r="AH45" s="353">
        <v>552.95568540817339</v>
      </c>
      <c r="AI45" s="353">
        <v>537.23648689183631</v>
      </c>
      <c r="AJ45" s="353">
        <v>521.51728837549877</v>
      </c>
    </row>
    <row r="46" spans="1:74" x14ac:dyDescent="0.25">
      <c r="A46" s="325" t="str">
        <f t="shared" si="0"/>
        <v>Overnight Capital Cost ($/kW)_Commercial Battery Storage 1Hr_Moderate</v>
      </c>
      <c r="B46" s="640"/>
      <c r="D46" s="609"/>
      <c r="E46" s="354" t="s">
        <v>277</v>
      </c>
      <c r="F46" s="352" t="s">
        <v>232</v>
      </c>
      <c r="G46" s="353">
        <v>1225.2197504472535</v>
      </c>
      <c r="H46" s="353">
        <v>1582.0524452733255</v>
      </c>
      <c r="I46" s="353">
        <v>1472.7683746167872</v>
      </c>
      <c r="J46" s="353">
        <v>1377.1104490839571</v>
      </c>
      <c r="K46" s="353">
        <v>1319.5811131045043</v>
      </c>
      <c r="L46" s="353">
        <v>1277.137697479347</v>
      </c>
      <c r="M46" s="353">
        <v>1235.7924887884951</v>
      </c>
      <c r="N46" s="353">
        <v>1197.1562274695655</v>
      </c>
      <c r="O46" s="353">
        <v>1162.096052129315</v>
      </c>
      <c r="P46" s="353">
        <v>1128.050924380542</v>
      </c>
      <c r="Q46" s="353">
        <v>1113.9502878257854</v>
      </c>
      <c r="R46" s="353">
        <v>1099.8496512710283</v>
      </c>
      <c r="S46" s="353">
        <v>1085.7490147162721</v>
      </c>
      <c r="T46" s="353">
        <v>1071.6483781615157</v>
      </c>
      <c r="U46" s="353">
        <v>1057.5477416067581</v>
      </c>
      <c r="V46" s="353">
        <v>1043.4471050520017</v>
      </c>
      <c r="W46" s="353">
        <v>1029.3464684972453</v>
      </c>
      <c r="X46" s="353">
        <v>1015.2458319424881</v>
      </c>
      <c r="Y46" s="353">
        <v>1001.1451953877319</v>
      </c>
      <c r="Z46" s="353">
        <v>987.04455883297521</v>
      </c>
      <c r="AA46" s="353">
        <v>972.94392227821788</v>
      </c>
      <c r="AB46" s="353">
        <v>958.84328572346135</v>
      </c>
      <c r="AC46" s="353">
        <v>944.7426491687047</v>
      </c>
      <c r="AD46" s="353">
        <v>930.64201261394817</v>
      </c>
      <c r="AE46" s="353">
        <v>916.54137605919175</v>
      </c>
      <c r="AF46" s="353">
        <v>902.44073950443499</v>
      </c>
      <c r="AG46" s="353">
        <v>888.340102949678</v>
      </c>
      <c r="AH46" s="353">
        <v>874.23946639492124</v>
      </c>
      <c r="AI46" s="353">
        <v>860.13882984016379</v>
      </c>
      <c r="AJ46" s="353">
        <v>846.03819328540669</v>
      </c>
    </row>
    <row r="47" spans="1:74" x14ac:dyDescent="0.25">
      <c r="A47" s="325" t="str">
        <f t="shared" si="0"/>
        <v>Overnight Capital Cost ($/kW)_Commercial Battery Storage 1Hr_Conservative</v>
      </c>
      <c r="B47" s="640"/>
      <c r="D47" s="609"/>
      <c r="E47" s="404" t="s">
        <v>277</v>
      </c>
      <c r="F47" s="352" t="s">
        <v>194</v>
      </c>
      <c r="G47" s="353">
        <v>1225.2197504472535</v>
      </c>
      <c r="H47" s="353">
        <v>1582.0524452733255</v>
      </c>
      <c r="I47" s="353">
        <v>1640.6469802834481</v>
      </c>
      <c r="J47" s="353">
        <v>1652.3658872854728</v>
      </c>
      <c r="K47" s="353">
        <v>1628.9280732814232</v>
      </c>
      <c r="L47" s="353">
        <v>1567.9897568708961</v>
      </c>
      <c r="M47" s="353">
        <v>1507.0514404603673</v>
      </c>
      <c r="N47" s="353">
        <v>1446.1131240498389</v>
      </c>
      <c r="O47" s="353">
        <v>1385.1748076393117</v>
      </c>
      <c r="P47" s="353">
        <v>1324.2364912287837</v>
      </c>
      <c r="Q47" s="353">
        <v>1320.4550018551097</v>
      </c>
      <c r="R47" s="353">
        <v>1316.6735124814372</v>
      </c>
      <c r="S47" s="353">
        <v>1312.8920231077641</v>
      </c>
      <c r="T47" s="353">
        <v>1309.1105337340905</v>
      </c>
      <c r="U47" s="353">
        <v>1305.3290443604176</v>
      </c>
      <c r="V47" s="353">
        <v>1301.5475549867444</v>
      </c>
      <c r="W47" s="353">
        <v>1297.7660656130704</v>
      </c>
      <c r="X47" s="353">
        <v>1293.9845762393968</v>
      </c>
      <c r="Y47" s="353">
        <v>1290.2030868657246</v>
      </c>
      <c r="Z47" s="353">
        <v>1286.421597492051</v>
      </c>
      <c r="AA47" s="353">
        <v>1282.6401081183776</v>
      </c>
      <c r="AB47" s="353">
        <v>1278.8586187447045</v>
      </c>
      <c r="AC47" s="353">
        <v>1275.0771293710318</v>
      </c>
      <c r="AD47" s="353">
        <v>1271.2956399973582</v>
      </c>
      <c r="AE47" s="353">
        <v>1267.5141506236853</v>
      </c>
      <c r="AF47" s="353">
        <v>1263.7326612500121</v>
      </c>
      <c r="AG47" s="353">
        <v>1259.9511718763381</v>
      </c>
      <c r="AH47" s="353">
        <v>1256.1696825026654</v>
      </c>
      <c r="AI47" s="353">
        <v>1252.3881931289923</v>
      </c>
      <c r="AJ47" s="353">
        <v>1248.6067037553175</v>
      </c>
    </row>
    <row r="48" spans="1:74" x14ac:dyDescent="0.25">
      <c r="A48" s="325" t="str">
        <f t="shared" si="0"/>
        <v>Overnight Capital Cost ($/kW)_Commercial Battery Storage 2Hr_Advanced</v>
      </c>
      <c r="B48" s="640"/>
      <c r="D48" s="610"/>
      <c r="E48" s="351" t="s">
        <v>276</v>
      </c>
      <c r="F48" s="352" t="s">
        <v>233</v>
      </c>
      <c r="G48" s="353">
        <v>1459.8426881475086</v>
      </c>
      <c r="H48" s="353">
        <v>1846.3760784578446</v>
      </c>
      <c r="I48" s="353">
        <v>1328.2789514843412</v>
      </c>
      <c r="J48" s="353">
        <v>1253.7162660859876</v>
      </c>
      <c r="K48" s="353">
        <v>1189.9263973614554</v>
      </c>
      <c r="L48" s="353">
        <v>1147.0532448773413</v>
      </c>
      <c r="M48" s="353">
        <v>1104.1800923932269</v>
      </c>
      <c r="N48" s="353">
        <v>1061.3069399091123</v>
      </c>
      <c r="O48" s="353">
        <v>1018.4337874249986</v>
      </c>
      <c r="P48" s="353">
        <v>975.56063494088357</v>
      </c>
      <c r="Q48" s="353">
        <v>957.21512926576656</v>
      </c>
      <c r="R48" s="353">
        <v>938.86962359064864</v>
      </c>
      <c r="S48" s="353">
        <v>920.52411791553175</v>
      </c>
      <c r="T48" s="353">
        <v>902.1786122404144</v>
      </c>
      <c r="U48" s="353">
        <v>883.83310656529682</v>
      </c>
      <c r="V48" s="353">
        <v>865.48760089017969</v>
      </c>
      <c r="W48" s="353">
        <v>847.14209521506245</v>
      </c>
      <c r="X48" s="353">
        <v>828.79658953994533</v>
      </c>
      <c r="Y48" s="353">
        <v>810.45108386482786</v>
      </c>
      <c r="Z48" s="353">
        <v>792.10557818971074</v>
      </c>
      <c r="AA48" s="353">
        <v>773.76007251459339</v>
      </c>
      <c r="AB48" s="353">
        <v>755.41456683947592</v>
      </c>
      <c r="AC48" s="353">
        <v>737.06906116435869</v>
      </c>
      <c r="AD48" s="353">
        <v>718.72355548924145</v>
      </c>
      <c r="AE48" s="353">
        <v>700.37804981412387</v>
      </c>
      <c r="AF48" s="353">
        <v>682.03254413900675</v>
      </c>
      <c r="AG48" s="353">
        <v>663.68703846388928</v>
      </c>
      <c r="AH48" s="353">
        <v>645.34153278877227</v>
      </c>
      <c r="AI48" s="353">
        <v>626.99602711365492</v>
      </c>
      <c r="AJ48" s="353">
        <v>608.65052143853723</v>
      </c>
      <c r="AP48" s="258"/>
      <c r="AQ48" s="258"/>
      <c r="AR48" s="258"/>
      <c r="AS48" s="258"/>
      <c r="AT48" s="258"/>
      <c r="AU48" s="258"/>
      <c r="AV48" s="258"/>
      <c r="AW48" s="258"/>
      <c r="AX48" s="258"/>
      <c r="AY48" s="258"/>
      <c r="AZ48" s="258"/>
      <c r="BA48" s="258"/>
      <c r="BB48" s="258"/>
      <c r="BC48" s="258"/>
      <c r="BD48" s="258"/>
      <c r="BE48" s="258"/>
      <c r="BF48" s="258"/>
      <c r="BG48" s="258"/>
      <c r="BH48" s="258"/>
      <c r="BI48" s="258"/>
      <c r="BJ48" s="258"/>
      <c r="BK48" s="258"/>
      <c r="BL48" s="258"/>
      <c r="BM48" s="258"/>
      <c r="BN48" s="258"/>
      <c r="BO48" s="258"/>
      <c r="BP48" s="258"/>
      <c r="BQ48" s="258"/>
      <c r="BR48" s="258"/>
      <c r="BS48" s="258"/>
      <c r="BT48" s="258"/>
      <c r="BU48" s="258"/>
      <c r="BV48" s="258"/>
    </row>
    <row r="49" spans="1:74" x14ac:dyDescent="0.25">
      <c r="A49" s="325" t="str">
        <f t="shared" si="0"/>
        <v>Overnight Capital Cost ($/kW)_Commercial Battery Storage 2Hr_Moderate</v>
      </c>
      <c r="B49" s="640"/>
      <c r="D49" s="610"/>
      <c r="E49" s="351" t="s">
        <v>276</v>
      </c>
      <c r="F49" s="352" t="s">
        <v>232</v>
      </c>
      <c r="G49" s="353">
        <v>1459.8426881475086</v>
      </c>
      <c r="H49" s="353">
        <v>1846.3760784578446</v>
      </c>
      <c r="I49" s="353">
        <v>1714.0300160132515</v>
      </c>
      <c r="J49" s="353">
        <v>1596.2739271433695</v>
      </c>
      <c r="K49" s="353">
        <v>1528.2985654197282</v>
      </c>
      <c r="L49" s="353">
        <v>1474.4194344332097</v>
      </c>
      <c r="M49" s="353">
        <v>1422.6422205434442</v>
      </c>
      <c r="N49" s="353">
        <v>1374.4123623492553</v>
      </c>
      <c r="O49" s="353">
        <v>1330.683648153542</v>
      </c>
      <c r="P49" s="353">
        <v>1288.6727691344745</v>
      </c>
      <c r="Q49" s="353">
        <v>1272.5643595202937</v>
      </c>
      <c r="R49" s="353">
        <v>1256.4559499061127</v>
      </c>
      <c r="S49" s="353">
        <v>1240.3475402919319</v>
      </c>
      <c r="T49" s="353">
        <v>1224.2391306777513</v>
      </c>
      <c r="U49" s="353">
        <v>1208.1307210635696</v>
      </c>
      <c r="V49" s="353">
        <v>1192.022311449389</v>
      </c>
      <c r="W49" s="353">
        <v>1175.9139018352084</v>
      </c>
      <c r="X49" s="353">
        <v>1159.805492221027</v>
      </c>
      <c r="Y49" s="353">
        <v>1143.6970826068466</v>
      </c>
      <c r="Z49" s="353">
        <v>1127.5886729926663</v>
      </c>
      <c r="AA49" s="353">
        <v>1111.4802633784846</v>
      </c>
      <c r="AB49" s="353">
        <v>1095.371853764304</v>
      </c>
      <c r="AC49" s="353">
        <v>1079.2634441501232</v>
      </c>
      <c r="AD49" s="353">
        <v>1063.1550345359424</v>
      </c>
      <c r="AE49" s="353">
        <v>1047.0466249217618</v>
      </c>
      <c r="AF49" s="353">
        <v>1030.938215307581</v>
      </c>
      <c r="AG49" s="353">
        <v>1014.8298056933997</v>
      </c>
      <c r="AH49" s="353">
        <v>998.72139607921906</v>
      </c>
      <c r="AI49" s="353">
        <v>982.61298646503747</v>
      </c>
      <c r="AJ49" s="353">
        <v>966.50457685085598</v>
      </c>
      <c r="AP49" s="258"/>
      <c r="AQ49" s="258"/>
      <c r="AR49" s="258"/>
      <c r="AS49" s="258"/>
      <c r="AT49" s="258"/>
      <c r="AU49" s="258"/>
      <c r="AV49" s="258"/>
      <c r="AW49" s="258"/>
      <c r="AX49" s="258"/>
      <c r="AY49" s="258"/>
      <c r="AZ49" s="258"/>
      <c r="BA49" s="258"/>
      <c r="BB49" s="258"/>
      <c r="BC49" s="258"/>
      <c r="BD49" s="258"/>
      <c r="BE49" s="258"/>
      <c r="BF49" s="258"/>
      <c r="BG49" s="258"/>
      <c r="BH49" s="258"/>
      <c r="BI49" s="258"/>
      <c r="BJ49" s="258"/>
      <c r="BK49" s="258"/>
      <c r="BL49" s="258"/>
      <c r="BM49" s="258"/>
      <c r="BN49" s="258"/>
      <c r="BO49" s="258"/>
      <c r="BP49" s="258"/>
      <c r="BQ49" s="258"/>
      <c r="BR49" s="258"/>
      <c r="BS49" s="258"/>
      <c r="BT49" s="258"/>
      <c r="BU49" s="258"/>
      <c r="BV49" s="258"/>
    </row>
    <row r="50" spans="1:74" x14ac:dyDescent="0.25">
      <c r="A50" s="325" t="str">
        <f t="shared" si="0"/>
        <v>Overnight Capital Cost ($/kW)_Commercial Battery Storage 2Hr_Conservative</v>
      </c>
      <c r="B50" s="640"/>
      <c r="D50" s="610"/>
      <c r="E50" s="351" t="s">
        <v>276</v>
      </c>
      <c r="F50" s="352" t="s">
        <v>194</v>
      </c>
      <c r="G50" s="353">
        <v>1459.8426881475086</v>
      </c>
      <c r="H50" s="353">
        <v>1846.3760784578446</v>
      </c>
      <c r="I50" s="353">
        <v>1914.7603776599867</v>
      </c>
      <c r="J50" s="353">
        <v>1928.4372375004148</v>
      </c>
      <c r="K50" s="353">
        <v>1901.0835178195578</v>
      </c>
      <c r="L50" s="353">
        <v>1829.9638466493304</v>
      </c>
      <c r="M50" s="353">
        <v>1758.844175479102</v>
      </c>
      <c r="N50" s="353">
        <v>1687.7245043088735</v>
      </c>
      <c r="O50" s="353">
        <v>1616.6048331386464</v>
      </c>
      <c r="P50" s="353">
        <v>1545.4851619684184</v>
      </c>
      <c r="Q50" s="353">
        <v>1541.0718749491707</v>
      </c>
      <c r="R50" s="353">
        <v>1536.6585879299244</v>
      </c>
      <c r="S50" s="353">
        <v>1532.2453009106773</v>
      </c>
      <c r="T50" s="353">
        <v>1527.8320138914301</v>
      </c>
      <c r="U50" s="353">
        <v>1523.4187268721832</v>
      </c>
      <c r="V50" s="353">
        <v>1519.0054398529364</v>
      </c>
      <c r="W50" s="353">
        <v>1514.5921528336885</v>
      </c>
      <c r="X50" s="353">
        <v>1510.1788658144415</v>
      </c>
      <c r="Y50" s="353">
        <v>1505.7655787951951</v>
      </c>
      <c r="Z50" s="353">
        <v>1501.3522917759476</v>
      </c>
      <c r="AA50" s="353">
        <v>1496.9390047567006</v>
      </c>
      <c r="AB50" s="353">
        <v>1492.5257177374538</v>
      </c>
      <c r="AC50" s="353">
        <v>1488.112430718207</v>
      </c>
      <c r="AD50" s="353">
        <v>1483.6991436989597</v>
      </c>
      <c r="AE50" s="353">
        <v>1479.2858566797131</v>
      </c>
      <c r="AF50" s="353">
        <v>1474.8725696604661</v>
      </c>
      <c r="AG50" s="353">
        <v>1470.4592826412184</v>
      </c>
      <c r="AH50" s="353">
        <v>1466.0459956219718</v>
      </c>
      <c r="AI50" s="353">
        <v>1461.6327086027247</v>
      </c>
      <c r="AJ50" s="353">
        <v>1457.2194215834761</v>
      </c>
      <c r="AP50" s="258"/>
      <c r="AQ50" s="258"/>
      <c r="AR50" s="258"/>
      <c r="AS50" s="258"/>
      <c r="AT50" s="258"/>
      <c r="AU50" s="258"/>
      <c r="AV50" s="258"/>
      <c r="AW50" s="258"/>
      <c r="AX50" s="258"/>
      <c r="AY50" s="258"/>
      <c r="AZ50" s="258"/>
      <c r="BA50" s="258"/>
      <c r="BB50" s="258"/>
      <c r="BC50" s="258"/>
      <c r="BD50" s="258"/>
      <c r="BE50" s="258"/>
      <c r="BF50" s="258"/>
      <c r="BG50" s="258"/>
      <c r="BH50" s="258"/>
      <c r="BI50" s="258"/>
      <c r="BJ50" s="258"/>
      <c r="BK50" s="258"/>
      <c r="BL50" s="258"/>
      <c r="BM50" s="258"/>
      <c r="BN50" s="258"/>
      <c r="BO50" s="258"/>
      <c r="BP50" s="258"/>
      <c r="BQ50" s="258"/>
      <c r="BR50" s="258"/>
      <c r="BS50" s="258"/>
      <c r="BT50" s="258"/>
      <c r="BU50" s="258"/>
      <c r="BV50" s="258"/>
    </row>
    <row r="51" spans="1:74" x14ac:dyDescent="0.25">
      <c r="A51" s="325" t="str">
        <f t="shared" si="0"/>
        <v>Overnight Capital Cost ($/kW)_Commercial Battery Storage 4Hr_Advanced</v>
      </c>
      <c r="B51" s="640"/>
      <c r="D51" s="610"/>
      <c r="E51" s="351" t="s">
        <v>146</v>
      </c>
      <c r="F51" s="352" t="s">
        <v>233</v>
      </c>
      <c r="G51" s="353">
        <v>1929.0885635480195</v>
      </c>
      <c r="H51" s="353">
        <v>2375.0233448268832</v>
      </c>
      <c r="I51" s="353">
        <v>1708.5866498294279</v>
      </c>
      <c r="J51" s="353">
        <v>1612.675464377988</v>
      </c>
      <c r="K51" s="353">
        <v>1530.6215268558199</v>
      </c>
      <c r="L51" s="353">
        <v>1475.4730989682892</v>
      </c>
      <c r="M51" s="353">
        <v>1420.3246710807584</v>
      </c>
      <c r="N51" s="353">
        <v>1365.1762431932275</v>
      </c>
      <c r="O51" s="353">
        <v>1310.0278153056972</v>
      </c>
      <c r="P51" s="353">
        <v>1254.8793874181661</v>
      </c>
      <c r="Q51" s="353">
        <v>1231.2812674254885</v>
      </c>
      <c r="R51" s="353">
        <v>1207.6831474328103</v>
      </c>
      <c r="S51" s="353">
        <v>1184.085027440133</v>
      </c>
      <c r="T51" s="353">
        <v>1160.4869074474555</v>
      </c>
      <c r="U51" s="353">
        <v>1136.8887874547779</v>
      </c>
      <c r="V51" s="353">
        <v>1113.2906674621004</v>
      </c>
      <c r="W51" s="353">
        <v>1089.6925474694228</v>
      </c>
      <c r="X51" s="353">
        <v>1066.0944274767453</v>
      </c>
      <c r="Y51" s="353">
        <v>1042.496307484068</v>
      </c>
      <c r="Z51" s="353">
        <v>1018.8981874913902</v>
      </c>
      <c r="AA51" s="353">
        <v>995.30006749871279</v>
      </c>
      <c r="AB51" s="353">
        <v>971.70194750603525</v>
      </c>
      <c r="AC51" s="353">
        <v>948.1038275133576</v>
      </c>
      <c r="AD51" s="353">
        <v>924.50570752067995</v>
      </c>
      <c r="AE51" s="353">
        <v>900.90758752800218</v>
      </c>
      <c r="AF51" s="353">
        <v>877.30946753532476</v>
      </c>
      <c r="AG51" s="353">
        <v>853.71134754264722</v>
      </c>
      <c r="AH51" s="353">
        <v>830.11322754996979</v>
      </c>
      <c r="AI51" s="353">
        <v>806.51510755729225</v>
      </c>
      <c r="AJ51" s="353">
        <v>782.91698756461415</v>
      </c>
      <c r="AP51" s="258"/>
      <c r="AQ51" s="258"/>
      <c r="AR51" s="258"/>
      <c r="AS51" s="258"/>
      <c r="AT51" s="258"/>
      <c r="AU51" s="258"/>
      <c r="AV51" s="258"/>
      <c r="AW51" s="258"/>
      <c r="AX51" s="258"/>
      <c r="AY51" s="258"/>
      <c r="AZ51" s="258"/>
      <c r="BA51" s="258"/>
      <c r="BB51" s="258"/>
      <c r="BC51" s="258"/>
      <c r="BD51" s="258"/>
      <c r="BE51" s="258"/>
      <c r="BF51" s="258"/>
      <c r="BG51" s="258"/>
      <c r="BH51" s="258"/>
      <c r="BI51" s="258"/>
      <c r="BJ51" s="258"/>
      <c r="BK51" s="258"/>
      <c r="BL51" s="258"/>
      <c r="BM51" s="258"/>
      <c r="BN51" s="258"/>
      <c r="BO51" s="258"/>
      <c r="BP51" s="258"/>
      <c r="BQ51" s="258"/>
      <c r="BR51" s="258"/>
      <c r="BS51" s="258"/>
      <c r="BT51" s="258"/>
      <c r="BU51" s="258"/>
      <c r="BV51" s="258"/>
    </row>
    <row r="52" spans="1:74" x14ac:dyDescent="0.25">
      <c r="A52" s="325" t="str">
        <f t="shared" si="0"/>
        <v>Overnight Capital Cost ($/kW)_Commercial Battery Storage 4Hr_Moderate</v>
      </c>
      <c r="B52" s="640"/>
      <c r="D52" s="610"/>
      <c r="E52" s="351" t="s">
        <v>146</v>
      </c>
      <c r="F52" s="352" t="s">
        <v>232</v>
      </c>
      <c r="G52" s="353">
        <v>1929.0885635480195</v>
      </c>
      <c r="H52" s="353">
        <v>2375.0233448268832</v>
      </c>
      <c r="I52" s="353">
        <v>2196.5532988061805</v>
      </c>
      <c r="J52" s="353">
        <v>2034.6008832621947</v>
      </c>
      <c r="K52" s="353">
        <v>1945.7334700501756</v>
      </c>
      <c r="L52" s="353">
        <v>1868.9829083409359</v>
      </c>
      <c r="M52" s="353">
        <v>1796.3416840533423</v>
      </c>
      <c r="N52" s="353">
        <v>1728.9246321086348</v>
      </c>
      <c r="O52" s="353">
        <v>1667.8588402019957</v>
      </c>
      <c r="P52" s="353">
        <v>1609.9164586423392</v>
      </c>
      <c r="Q52" s="353">
        <v>1589.7925029093103</v>
      </c>
      <c r="R52" s="353">
        <v>1569.6685471762805</v>
      </c>
      <c r="S52" s="353">
        <v>1549.5445914432519</v>
      </c>
      <c r="T52" s="353">
        <v>1529.420635710223</v>
      </c>
      <c r="U52" s="353">
        <v>1509.296679977193</v>
      </c>
      <c r="V52" s="353">
        <v>1489.1727242441643</v>
      </c>
      <c r="W52" s="353">
        <v>1469.0487685111354</v>
      </c>
      <c r="X52" s="353">
        <v>1448.9248127781057</v>
      </c>
      <c r="Y52" s="353">
        <v>1428.800857045077</v>
      </c>
      <c r="Z52" s="353">
        <v>1408.6769013120479</v>
      </c>
      <c r="AA52" s="353">
        <v>1388.5529455790181</v>
      </c>
      <c r="AB52" s="353">
        <v>1368.4289898459888</v>
      </c>
      <c r="AC52" s="353">
        <v>1348.3050341129601</v>
      </c>
      <c r="AD52" s="353">
        <v>1328.181078379931</v>
      </c>
      <c r="AE52" s="353">
        <v>1308.0571226469024</v>
      </c>
      <c r="AF52" s="353">
        <v>1287.9331669138728</v>
      </c>
      <c r="AG52" s="353">
        <v>1267.8092111808435</v>
      </c>
      <c r="AH52" s="353">
        <v>1247.6852554478144</v>
      </c>
      <c r="AI52" s="353">
        <v>1227.5612997147844</v>
      </c>
      <c r="AJ52" s="353">
        <v>1207.4373439817546</v>
      </c>
      <c r="AP52" s="258"/>
      <c r="AQ52" s="258"/>
      <c r="AR52" s="258"/>
      <c r="AS52" s="258"/>
      <c r="AT52" s="258"/>
      <c r="AU52" s="258"/>
      <c r="AV52" s="258"/>
      <c r="AW52" s="258"/>
      <c r="AX52" s="258"/>
      <c r="AY52" s="258"/>
      <c r="AZ52" s="258"/>
      <c r="BA52" s="258"/>
      <c r="BB52" s="258"/>
      <c r="BC52" s="258"/>
      <c r="BD52" s="258"/>
      <c r="BE52" s="258"/>
      <c r="BF52" s="258"/>
      <c r="BG52" s="258"/>
      <c r="BH52" s="258"/>
      <c r="BI52" s="258"/>
      <c r="BJ52" s="258"/>
      <c r="BK52" s="258"/>
      <c r="BL52" s="258"/>
      <c r="BM52" s="258"/>
      <c r="BN52" s="258"/>
      <c r="BO52" s="258"/>
      <c r="BP52" s="258"/>
      <c r="BQ52" s="258"/>
      <c r="BR52" s="258"/>
      <c r="BS52" s="258"/>
      <c r="BT52" s="258"/>
      <c r="BU52" s="258"/>
      <c r="BV52" s="258"/>
    </row>
    <row r="53" spans="1:74" x14ac:dyDescent="0.25">
      <c r="A53" s="325" t="str">
        <f t="shared" si="0"/>
        <v>Overnight Capital Cost ($/kW)_Commercial Battery Storage 4Hr_Conservative</v>
      </c>
      <c r="B53" s="640"/>
      <c r="D53" s="610"/>
      <c r="E53" s="351" t="s">
        <v>146</v>
      </c>
      <c r="F53" s="352" t="s">
        <v>194</v>
      </c>
      <c r="G53" s="353">
        <v>1929.0885635480195</v>
      </c>
      <c r="H53" s="353">
        <v>2375.0233448268832</v>
      </c>
      <c r="I53" s="353">
        <v>2462.9871724130635</v>
      </c>
      <c r="J53" s="353">
        <v>2480.5799379302994</v>
      </c>
      <c r="K53" s="353">
        <v>2445.3944068958267</v>
      </c>
      <c r="L53" s="353">
        <v>2353.9120262061997</v>
      </c>
      <c r="M53" s="353">
        <v>2262.4296455165718</v>
      </c>
      <c r="N53" s="353">
        <v>2170.9472648269434</v>
      </c>
      <c r="O53" s="353">
        <v>2079.4648841373155</v>
      </c>
      <c r="P53" s="353">
        <v>1987.9825034476878</v>
      </c>
      <c r="Q53" s="353">
        <v>1982.3056211372923</v>
      </c>
      <c r="R53" s="353">
        <v>1976.6287388268981</v>
      </c>
      <c r="S53" s="353">
        <v>1970.9518565165038</v>
      </c>
      <c r="T53" s="353">
        <v>1965.2749742061089</v>
      </c>
      <c r="U53" s="353">
        <v>1959.5980918957146</v>
      </c>
      <c r="V53" s="353">
        <v>1953.9212095853202</v>
      </c>
      <c r="W53" s="353">
        <v>1948.2443272749249</v>
      </c>
      <c r="X53" s="353">
        <v>1942.5674449645301</v>
      </c>
      <c r="Y53" s="353">
        <v>1936.8905626541361</v>
      </c>
      <c r="Z53" s="353">
        <v>1931.2136803437413</v>
      </c>
      <c r="AA53" s="353">
        <v>1925.5367980333465</v>
      </c>
      <c r="AB53" s="353">
        <v>1919.8599157229517</v>
      </c>
      <c r="AC53" s="353">
        <v>1914.1830334125575</v>
      </c>
      <c r="AD53" s="353">
        <v>1908.5061511021627</v>
      </c>
      <c r="AE53" s="353">
        <v>1902.8292687917688</v>
      </c>
      <c r="AF53" s="353">
        <v>1897.1523864813739</v>
      </c>
      <c r="AG53" s="353">
        <v>1891.4755041709786</v>
      </c>
      <c r="AH53" s="353">
        <v>1885.7986218605843</v>
      </c>
      <c r="AI53" s="353">
        <v>1880.1217395501899</v>
      </c>
      <c r="AJ53" s="353">
        <v>1874.444857239793</v>
      </c>
      <c r="AP53" s="258"/>
      <c r="AQ53" s="258"/>
      <c r="AR53" s="258"/>
      <c r="AS53" s="258"/>
      <c r="AT53" s="258"/>
      <c r="AU53" s="258"/>
      <c r="AV53" s="258"/>
      <c r="AW53" s="258"/>
      <c r="AX53" s="258"/>
      <c r="AY53" s="258"/>
      <c r="AZ53" s="258"/>
      <c r="BA53" s="258"/>
      <c r="BB53" s="258"/>
      <c r="BC53" s="258"/>
      <c r="BD53" s="258"/>
      <c r="BE53" s="258"/>
      <c r="BF53" s="258"/>
      <c r="BG53" s="258"/>
      <c r="BH53" s="258"/>
      <c r="BI53" s="258"/>
      <c r="BJ53" s="258"/>
      <c r="BK53" s="258"/>
      <c r="BL53" s="258"/>
      <c r="BM53" s="258"/>
      <c r="BN53" s="258"/>
      <c r="BO53" s="258"/>
      <c r="BP53" s="258"/>
      <c r="BQ53" s="258"/>
      <c r="BR53" s="258"/>
      <c r="BS53" s="258"/>
      <c r="BT53" s="258"/>
      <c r="BU53" s="258"/>
      <c r="BV53" s="258"/>
    </row>
    <row r="54" spans="1:74" x14ac:dyDescent="0.25">
      <c r="A54" s="325" t="str">
        <f t="shared" si="0"/>
        <v>Overnight Capital Cost ($/kW)_Commercial Battery Storage 6Hr_Advanced</v>
      </c>
      <c r="B54" s="640"/>
      <c r="D54" s="610"/>
      <c r="E54" s="351" t="s">
        <v>275</v>
      </c>
      <c r="F54" s="352" t="s">
        <v>233</v>
      </c>
      <c r="G54" s="353">
        <v>2398.3344389485301</v>
      </c>
      <c r="H54" s="353">
        <v>2903.670611195922</v>
      </c>
      <c r="I54" s="353">
        <v>2088.8943481745146</v>
      </c>
      <c r="J54" s="353">
        <v>1971.6346626699883</v>
      </c>
      <c r="K54" s="353">
        <v>1871.3166563501838</v>
      </c>
      <c r="L54" s="353">
        <v>1803.8929530592372</v>
      </c>
      <c r="M54" s="353">
        <v>1736.46924976829</v>
      </c>
      <c r="N54" s="353">
        <v>1669.0455464773427</v>
      </c>
      <c r="O54" s="353">
        <v>1601.6218431863956</v>
      </c>
      <c r="P54" s="353">
        <v>1534.1981398954483</v>
      </c>
      <c r="Q54" s="353">
        <v>1505.3474055852105</v>
      </c>
      <c r="R54" s="353">
        <v>1476.4966712749717</v>
      </c>
      <c r="S54" s="353">
        <v>1447.6459369647343</v>
      </c>
      <c r="T54" s="353">
        <v>1418.7952026544965</v>
      </c>
      <c r="U54" s="353">
        <v>1389.9444683442587</v>
      </c>
      <c r="V54" s="353">
        <v>1361.0937340340211</v>
      </c>
      <c r="W54" s="353">
        <v>1332.242999723783</v>
      </c>
      <c r="X54" s="353">
        <v>1303.3922654135456</v>
      </c>
      <c r="Y54" s="353">
        <v>1274.5415311033078</v>
      </c>
      <c r="Z54" s="353">
        <v>1245.6907967930699</v>
      </c>
      <c r="AA54" s="353">
        <v>1216.8400624828321</v>
      </c>
      <c r="AB54" s="353">
        <v>1187.9893281725942</v>
      </c>
      <c r="AC54" s="353">
        <v>1159.1385938623564</v>
      </c>
      <c r="AD54" s="353">
        <v>1130.2878595521186</v>
      </c>
      <c r="AE54" s="353">
        <v>1101.4371252418807</v>
      </c>
      <c r="AF54" s="353">
        <v>1072.5863909316429</v>
      </c>
      <c r="AG54" s="353">
        <v>1043.7356566214048</v>
      </c>
      <c r="AH54" s="353">
        <v>1014.8849223111673</v>
      </c>
      <c r="AI54" s="353">
        <v>986.03418800092959</v>
      </c>
      <c r="AJ54" s="353">
        <v>957.18345369069095</v>
      </c>
      <c r="AP54" s="258"/>
      <c r="AQ54" s="258"/>
      <c r="AR54" s="258"/>
      <c r="AS54" s="258"/>
      <c r="AT54" s="258"/>
      <c r="AU54" s="258"/>
      <c r="AV54" s="258"/>
      <c r="AW54" s="258"/>
      <c r="AX54" s="258"/>
      <c r="AY54" s="258"/>
      <c r="AZ54" s="258"/>
      <c r="BA54" s="258"/>
      <c r="BB54" s="258"/>
      <c r="BC54" s="258"/>
      <c r="BD54" s="258"/>
      <c r="BE54" s="258"/>
      <c r="BF54" s="258"/>
      <c r="BG54" s="258"/>
      <c r="BH54" s="258"/>
      <c r="BI54" s="258"/>
      <c r="BJ54" s="258"/>
      <c r="BK54" s="258"/>
      <c r="BL54" s="258"/>
      <c r="BM54" s="258"/>
      <c r="BN54" s="258"/>
      <c r="BO54" s="258"/>
      <c r="BP54" s="258"/>
      <c r="BQ54" s="258"/>
      <c r="BR54" s="258"/>
      <c r="BS54" s="258"/>
      <c r="BT54" s="258"/>
      <c r="BU54" s="258"/>
      <c r="BV54" s="258"/>
    </row>
    <row r="55" spans="1:74" x14ac:dyDescent="0.25">
      <c r="A55" s="325" t="str">
        <f t="shared" si="0"/>
        <v>Overnight Capital Cost ($/kW)_Commercial Battery Storage 6Hr_Moderate</v>
      </c>
      <c r="B55" s="640"/>
      <c r="D55" s="610"/>
      <c r="E55" s="351" t="s">
        <v>275</v>
      </c>
      <c r="F55" s="352" t="s">
        <v>232</v>
      </c>
      <c r="G55" s="353">
        <v>2398.3344389485301</v>
      </c>
      <c r="H55" s="353">
        <v>2903.670611195922</v>
      </c>
      <c r="I55" s="353">
        <v>2679.0765815991099</v>
      </c>
      <c r="J55" s="353">
        <v>2472.9278393810196</v>
      </c>
      <c r="K55" s="353">
        <v>2363.1683746806234</v>
      </c>
      <c r="L55" s="353">
        <v>2263.5463822486618</v>
      </c>
      <c r="M55" s="353">
        <v>2170.0411475632409</v>
      </c>
      <c r="N55" s="353">
        <v>2083.4369018680145</v>
      </c>
      <c r="O55" s="353">
        <v>2005.0340322504496</v>
      </c>
      <c r="P55" s="353">
        <v>1931.1601481502037</v>
      </c>
      <c r="Q55" s="353">
        <v>1907.0206462983267</v>
      </c>
      <c r="R55" s="353">
        <v>1882.8811444464488</v>
      </c>
      <c r="S55" s="353">
        <v>1858.7416425945714</v>
      </c>
      <c r="T55" s="353">
        <v>1834.6021407426947</v>
      </c>
      <c r="U55" s="353">
        <v>1810.4626388908162</v>
      </c>
      <c r="V55" s="353">
        <v>1786.3231370389392</v>
      </c>
      <c r="W55" s="353">
        <v>1762.1836351870622</v>
      </c>
      <c r="X55" s="353">
        <v>1738.0441333351844</v>
      </c>
      <c r="Y55" s="353">
        <v>1713.904631483307</v>
      </c>
      <c r="Z55" s="353">
        <v>1689.7651296314298</v>
      </c>
      <c r="AA55" s="353">
        <v>1665.6256277795519</v>
      </c>
      <c r="AB55" s="353">
        <v>1641.4861259276743</v>
      </c>
      <c r="AC55" s="353">
        <v>1617.3466240757969</v>
      </c>
      <c r="AD55" s="353">
        <v>1593.2071222239197</v>
      </c>
      <c r="AE55" s="353">
        <v>1569.0676203720423</v>
      </c>
      <c r="AF55" s="353">
        <v>1544.9281185201646</v>
      </c>
      <c r="AG55" s="353">
        <v>1520.788616668287</v>
      </c>
      <c r="AH55" s="353">
        <v>1496.64911481641</v>
      </c>
      <c r="AI55" s="353">
        <v>1472.5096129645317</v>
      </c>
      <c r="AJ55" s="353">
        <v>1448.3701111126531</v>
      </c>
      <c r="AP55" s="258"/>
      <c r="AQ55" s="258"/>
      <c r="AR55" s="258"/>
      <c r="AS55" s="258"/>
      <c r="AT55" s="258"/>
      <c r="AU55" s="258"/>
      <c r="AV55" s="258"/>
      <c r="AW55" s="258"/>
      <c r="AX55" s="258"/>
      <c r="AY55" s="258"/>
      <c r="AZ55" s="258"/>
      <c r="BA55" s="258"/>
      <c r="BB55" s="258"/>
      <c r="BC55" s="258"/>
      <c r="BD55" s="258"/>
      <c r="BE55" s="258"/>
      <c r="BF55" s="258"/>
      <c r="BG55" s="258"/>
      <c r="BH55" s="258"/>
      <c r="BI55" s="258"/>
      <c r="BJ55" s="258"/>
      <c r="BK55" s="258"/>
      <c r="BL55" s="258"/>
      <c r="BM55" s="258"/>
      <c r="BN55" s="258"/>
      <c r="BO55" s="258"/>
      <c r="BP55" s="258"/>
      <c r="BQ55" s="258"/>
      <c r="BR55" s="258"/>
      <c r="BS55" s="258"/>
      <c r="BT55" s="258"/>
      <c r="BU55" s="258"/>
      <c r="BV55" s="258"/>
    </row>
    <row r="56" spans="1:74" x14ac:dyDescent="0.25">
      <c r="A56" s="325" t="str">
        <f t="shared" si="0"/>
        <v>Overnight Capital Cost ($/kW)_Commercial Battery Storage 6Hr_Conservative</v>
      </c>
      <c r="B56" s="640"/>
      <c r="D56" s="610"/>
      <c r="E56" s="351" t="s">
        <v>275</v>
      </c>
      <c r="F56" s="352" t="s">
        <v>194</v>
      </c>
      <c r="G56" s="353">
        <v>2398.3344389485301</v>
      </c>
      <c r="H56" s="353">
        <v>2903.670611195922</v>
      </c>
      <c r="I56" s="353">
        <v>3011.2139671661407</v>
      </c>
      <c r="J56" s="353">
        <v>3032.7226383601837</v>
      </c>
      <c r="K56" s="353">
        <v>2989.7052959720968</v>
      </c>
      <c r="L56" s="353">
        <v>2877.8602057630687</v>
      </c>
      <c r="M56" s="353">
        <v>2766.0151155540411</v>
      </c>
      <c r="N56" s="353">
        <v>2654.1700253450126</v>
      </c>
      <c r="O56" s="353">
        <v>2542.324935135985</v>
      </c>
      <c r="P56" s="353">
        <v>2430.4798449269574</v>
      </c>
      <c r="Q56" s="353">
        <v>2423.5393673254143</v>
      </c>
      <c r="R56" s="353">
        <v>2416.5988897238726</v>
      </c>
      <c r="S56" s="353">
        <v>2409.6584121223304</v>
      </c>
      <c r="T56" s="353">
        <v>2402.7179345207878</v>
      </c>
      <c r="U56" s="353">
        <v>2395.7774569192461</v>
      </c>
      <c r="V56" s="353">
        <v>2388.8369793177039</v>
      </c>
      <c r="W56" s="353">
        <v>2381.8965017161609</v>
      </c>
      <c r="X56" s="353">
        <v>2374.9560241146187</v>
      </c>
      <c r="Y56" s="353">
        <v>2368.015546513077</v>
      </c>
      <c r="Z56" s="353">
        <v>2361.0750689115343</v>
      </c>
      <c r="AA56" s="353">
        <v>2354.1345913099926</v>
      </c>
      <c r="AB56" s="353">
        <v>2347.1941137084505</v>
      </c>
      <c r="AC56" s="353">
        <v>2340.2536361069078</v>
      </c>
      <c r="AD56" s="353">
        <v>2333.3131585053661</v>
      </c>
      <c r="AE56" s="353">
        <v>2326.3726809038239</v>
      </c>
      <c r="AF56" s="353">
        <v>2319.4322033022822</v>
      </c>
      <c r="AG56" s="353">
        <v>2312.4917257007392</v>
      </c>
      <c r="AH56" s="353">
        <v>2305.551248099197</v>
      </c>
      <c r="AI56" s="353">
        <v>2298.6107704976548</v>
      </c>
      <c r="AJ56" s="353">
        <v>2291.6702928961108</v>
      </c>
      <c r="AP56" s="258"/>
      <c r="AQ56" s="258"/>
      <c r="AR56" s="258"/>
      <c r="AS56" s="258"/>
      <c r="AT56" s="258"/>
      <c r="AU56" s="258"/>
      <c r="AV56" s="258"/>
      <c r="AW56" s="258"/>
      <c r="AX56" s="258"/>
      <c r="AY56" s="258"/>
      <c r="AZ56" s="258"/>
      <c r="BA56" s="258"/>
      <c r="BB56" s="258"/>
      <c r="BC56" s="258"/>
      <c r="BD56" s="258"/>
      <c r="BE56" s="258"/>
      <c r="BF56" s="258"/>
      <c r="BG56" s="258"/>
      <c r="BH56" s="258"/>
      <c r="BI56" s="258"/>
      <c r="BJ56" s="258"/>
      <c r="BK56" s="258"/>
      <c r="BL56" s="258"/>
      <c r="BM56" s="258"/>
      <c r="BN56" s="258"/>
      <c r="BO56" s="258"/>
      <c r="BP56" s="258"/>
      <c r="BQ56" s="258"/>
      <c r="BR56" s="258"/>
      <c r="BS56" s="258"/>
      <c r="BT56" s="258"/>
      <c r="BU56" s="258"/>
      <c r="BV56" s="258"/>
    </row>
    <row r="57" spans="1:74" x14ac:dyDescent="0.25">
      <c r="A57" s="325" t="str">
        <f t="shared" si="0"/>
        <v>Overnight Capital Cost ($/kW)_Commercial Battery Storage 8Hr_Advanced</v>
      </c>
      <c r="B57" s="640"/>
      <c r="D57" s="610"/>
      <c r="E57" s="351" t="s">
        <v>274</v>
      </c>
      <c r="F57" s="352" t="s">
        <v>233</v>
      </c>
      <c r="G57" s="353">
        <v>2867.5803143490407</v>
      </c>
      <c r="H57" s="353">
        <v>3432.3178775649603</v>
      </c>
      <c r="I57" s="353">
        <v>2469.202046519601</v>
      </c>
      <c r="J57" s="353">
        <v>2330.5938609619889</v>
      </c>
      <c r="K57" s="353">
        <v>2212.0117858445483</v>
      </c>
      <c r="L57" s="353">
        <v>2132.3128071501851</v>
      </c>
      <c r="M57" s="353">
        <v>2052.6138284558215</v>
      </c>
      <c r="N57" s="353">
        <v>1972.9148497614574</v>
      </c>
      <c r="O57" s="353">
        <v>1893.2158710670944</v>
      </c>
      <c r="P57" s="353">
        <v>1813.5168923727306</v>
      </c>
      <c r="Q57" s="353">
        <v>1779.4135437449329</v>
      </c>
      <c r="R57" s="353">
        <v>1745.3101951171338</v>
      </c>
      <c r="S57" s="353">
        <v>1711.2068464893359</v>
      </c>
      <c r="T57" s="353">
        <v>1677.1034978615378</v>
      </c>
      <c r="U57" s="353">
        <v>1643.0001492337396</v>
      </c>
      <c r="V57" s="353">
        <v>1608.8968006059417</v>
      </c>
      <c r="W57" s="353">
        <v>1574.7934519781436</v>
      </c>
      <c r="X57" s="353">
        <v>1540.6901033503455</v>
      </c>
      <c r="Y57" s="353">
        <v>1506.5867547225475</v>
      </c>
      <c r="Z57" s="353">
        <v>1472.4834060947494</v>
      </c>
      <c r="AA57" s="353">
        <v>1438.3800574669515</v>
      </c>
      <c r="AB57" s="353">
        <v>1404.2767088391533</v>
      </c>
      <c r="AC57" s="353">
        <v>1370.1733602113554</v>
      </c>
      <c r="AD57" s="353">
        <v>1336.0700115835573</v>
      </c>
      <c r="AE57" s="353">
        <v>1301.9666629557591</v>
      </c>
      <c r="AF57" s="353">
        <v>1267.8633143279608</v>
      </c>
      <c r="AG57" s="353">
        <v>1233.7599657001629</v>
      </c>
      <c r="AH57" s="353">
        <v>1199.656617072365</v>
      </c>
      <c r="AI57" s="353">
        <v>1165.5532684445668</v>
      </c>
      <c r="AJ57" s="353">
        <v>1131.449919816768</v>
      </c>
      <c r="AP57" s="258"/>
      <c r="AQ57" s="258"/>
      <c r="AR57" s="258"/>
      <c r="AS57" s="258"/>
      <c r="AT57" s="258"/>
      <c r="AU57" s="258"/>
      <c r="AV57" s="258"/>
      <c r="AW57" s="258"/>
      <c r="AX57" s="258"/>
      <c r="AY57" s="258"/>
      <c r="AZ57" s="258"/>
      <c r="BA57" s="258"/>
      <c r="BB57" s="258"/>
      <c r="BC57" s="258"/>
      <c r="BD57" s="258"/>
      <c r="BE57" s="258"/>
      <c r="BF57" s="258"/>
      <c r="BG57" s="258"/>
      <c r="BH57" s="258"/>
      <c r="BI57" s="258"/>
      <c r="BJ57" s="258"/>
      <c r="BK57" s="258"/>
      <c r="BL57" s="258"/>
      <c r="BM57" s="258"/>
      <c r="BN57" s="258"/>
      <c r="BO57" s="258"/>
      <c r="BP57" s="258"/>
      <c r="BQ57" s="258"/>
      <c r="BR57" s="258"/>
      <c r="BS57" s="258"/>
      <c r="BT57" s="258"/>
      <c r="BU57" s="258"/>
      <c r="BV57" s="258"/>
    </row>
    <row r="58" spans="1:74" x14ac:dyDescent="0.25">
      <c r="A58" s="325" t="str">
        <f t="shared" si="0"/>
        <v>Overnight Capital Cost ($/kW)_Commercial Battery Storage 8Hr_Moderate</v>
      </c>
      <c r="B58" s="640"/>
      <c r="D58" s="610"/>
      <c r="E58" s="351" t="s">
        <v>274</v>
      </c>
      <c r="F58" s="352" t="s">
        <v>232</v>
      </c>
      <c r="G58" s="353">
        <v>2867.5803143490407</v>
      </c>
      <c r="H58" s="353">
        <v>3432.3178775649603</v>
      </c>
      <c r="I58" s="353">
        <v>3161.5998643920389</v>
      </c>
      <c r="J58" s="353">
        <v>2911.2547954998445</v>
      </c>
      <c r="K58" s="353">
        <v>2780.6032793110708</v>
      </c>
      <c r="L58" s="353">
        <v>2658.1098561563877</v>
      </c>
      <c r="M58" s="353">
        <v>2543.740611073139</v>
      </c>
      <c r="N58" s="353">
        <v>2437.9491716273942</v>
      </c>
      <c r="O58" s="353">
        <v>2342.2092242989029</v>
      </c>
      <c r="P58" s="353">
        <v>2252.4038376580693</v>
      </c>
      <c r="Q58" s="353">
        <v>2224.2487896873431</v>
      </c>
      <c r="R58" s="353">
        <v>2196.0937417166174</v>
      </c>
      <c r="S58" s="353">
        <v>2167.9386937458912</v>
      </c>
      <c r="T58" s="353">
        <v>2139.783645775166</v>
      </c>
      <c r="U58" s="353">
        <v>2111.6285978044393</v>
      </c>
      <c r="V58" s="353">
        <v>2083.4735498337141</v>
      </c>
      <c r="W58" s="353">
        <v>2055.3185018629893</v>
      </c>
      <c r="X58" s="353">
        <v>2027.1634538922629</v>
      </c>
      <c r="Y58" s="353">
        <v>1999.0084059215371</v>
      </c>
      <c r="Z58" s="353">
        <v>1970.8533579508114</v>
      </c>
      <c r="AA58" s="353">
        <v>1942.6983099800852</v>
      </c>
      <c r="AB58" s="353">
        <v>1914.5432620093595</v>
      </c>
      <c r="AC58" s="353">
        <v>1886.388214038634</v>
      </c>
      <c r="AD58" s="353">
        <v>1858.2331660679083</v>
      </c>
      <c r="AE58" s="353">
        <v>1830.0781180971831</v>
      </c>
      <c r="AF58" s="353">
        <v>1801.9230701264569</v>
      </c>
      <c r="AG58" s="353">
        <v>1773.7680221557307</v>
      </c>
      <c r="AH58" s="353">
        <v>1745.6129741850052</v>
      </c>
      <c r="AI58" s="353">
        <v>1717.4579262142788</v>
      </c>
      <c r="AJ58" s="353">
        <v>1689.3028782435522</v>
      </c>
      <c r="AP58" s="258"/>
      <c r="AQ58" s="258"/>
      <c r="AR58" s="258"/>
      <c r="AS58" s="258"/>
      <c r="AT58" s="258"/>
      <c r="AU58" s="258"/>
      <c r="AV58" s="258"/>
      <c r="AW58" s="258"/>
      <c r="AX58" s="258"/>
      <c r="AY58" s="258"/>
      <c r="AZ58" s="258"/>
      <c r="BA58" s="258"/>
      <c r="BB58" s="258"/>
      <c r="BC58" s="258"/>
      <c r="BD58" s="258"/>
      <c r="BE58" s="258"/>
      <c r="BF58" s="258"/>
      <c r="BG58" s="258"/>
      <c r="BH58" s="258"/>
      <c r="BI58" s="258"/>
      <c r="BJ58" s="258"/>
      <c r="BK58" s="258"/>
      <c r="BL58" s="258"/>
      <c r="BM58" s="258"/>
      <c r="BN58" s="258"/>
      <c r="BO58" s="258"/>
      <c r="BP58" s="258"/>
      <c r="BQ58" s="258"/>
      <c r="BR58" s="258"/>
      <c r="BS58" s="258"/>
      <c r="BT58" s="258"/>
      <c r="BU58" s="258"/>
      <c r="BV58" s="258"/>
    </row>
    <row r="59" spans="1:74" x14ac:dyDescent="0.25">
      <c r="A59" s="325" t="str">
        <f t="shared" si="0"/>
        <v>Overnight Capital Cost ($/kW)_Commercial Battery Storage 8Hr_Conservative</v>
      </c>
      <c r="B59" s="640"/>
      <c r="D59" s="610"/>
      <c r="E59" s="351" t="s">
        <v>274</v>
      </c>
      <c r="F59" s="352" t="s">
        <v>194</v>
      </c>
      <c r="G59" s="353">
        <v>2867.5803143490407</v>
      </c>
      <c r="H59" s="353">
        <v>3432.3178775649603</v>
      </c>
      <c r="I59" s="353">
        <v>3559.440761919217</v>
      </c>
      <c r="J59" s="353">
        <v>3584.8653387900681</v>
      </c>
      <c r="K59" s="353">
        <v>3534.016185048366</v>
      </c>
      <c r="L59" s="353">
        <v>3401.8083853199382</v>
      </c>
      <c r="M59" s="353">
        <v>3269.6005855915105</v>
      </c>
      <c r="N59" s="353">
        <v>3137.3927858630823</v>
      </c>
      <c r="O59" s="353">
        <v>3005.1849861346541</v>
      </c>
      <c r="P59" s="353">
        <v>2872.9771864062268</v>
      </c>
      <c r="Q59" s="353">
        <v>2864.7731135135359</v>
      </c>
      <c r="R59" s="353">
        <v>2856.5690406208469</v>
      </c>
      <c r="S59" s="353">
        <v>2848.3649677281569</v>
      </c>
      <c r="T59" s="353">
        <v>2840.1608948354669</v>
      </c>
      <c r="U59" s="353">
        <v>2831.9568219427774</v>
      </c>
      <c r="V59" s="353">
        <v>2823.7527490500879</v>
      </c>
      <c r="W59" s="353">
        <v>2815.548676157397</v>
      </c>
      <c r="X59" s="353">
        <v>2807.3446032647075</v>
      </c>
      <c r="Y59" s="353">
        <v>2799.1405303720185</v>
      </c>
      <c r="Z59" s="353">
        <v>2790.9364574793276</v>
      </c>
      <c r="AA59" s="353">
        <v>2782.7323845866385</v>
      </c>
      <c r="AB59" s="353">
        <v>2774.5283116939486</v>
      </c>
      <c r="AC59" s="353">
        <v>2766.3242388012586</v>
      </c>
      <c r="AD59" s="353">
        <v>2758.1201659085691</v>
      </c>
      <c r="AE59" s="353">
        <v>2749.9160930158796</v>
      </c>
      <c r="AF59" s="353">
        <v>2741.7120201231901</v>
      </c>
      <c r="AG59" s="353">
        <v>2733.5079472304992</v>
      </c>
      <c r="AH59" s="353">
        <v>2725.3038743378097</v>
      </c>
      <c r="AI59" s="353">
        <v>2717.0998014451197</v>
      </c>
      <c r="AJ59" s="353">
        <v>2708.8957285524275</v>
      </c>
      <c r="AP59" s="258"/>
      <c r="AQ59" s="258"/>
      <c r="AR59" s="258"/>
      <c r="AS59" s="258"/>
      <c r="AT59" s="258"/>
      <c r="AU59" s="258"/>
      <c r="AV59" s="258"/>
      <c r="AW59" s="258"/>
      <c r="AX59" s="258"/>
      <c r="AY59" s="258"/>
      <c r="AZ59" s="258"/>
      <c r="BA59" s="258"/>
      <c r="BB59" s="258"/>
      <c r="BC59" s="258"/>
      <c r="BD59" s="258"/>
      <c r="BE59" s="258"/>
      <c r="BF59" s="258"/>
      <c r="BG59" s="258"/>
      <c r="BH59" s="258"/>
      <c r="BI59" s="258"/>
      <c r="BJ59" s="258"/>
      <c r="BK59" s="258"/>
      <c r="BL59" s="258"/>
      <c r="BM59" s="258"/>
      <c r="BN59" s="258"/>
      <c r="BO59" s="258"/>
      <c r="BP59" s="258"/>
      <c r="BQ59" s="258"/>
      <c r="BR59" s="258"/>
      <c r="BS59" s="258"/>
      <c r="BT59" s="258"/>
      <c r="BU59" s="258"/>
      <c r="BV59" s="258"/>
    </row>
    <row r="60" spans="1:74" x14ac:dyDescent="0.25">
      <c r="B60" s="640"/>
      <c r="D60" s="246"/>
      <c r="E60" s="354"/>
      <c r="F60" s="354"/>
      <c r="G60" s="258"/>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c r="AI60" s="258"/>
      <c r="AJ60" s="258"/>
      <c r="AP60" s="258"/>
      <c r="AQ60" s="258"/>
      <c r="AR60" s="258"/>
      <c r="AS60" s="258"/>
      <c r="AT60" s="258"/>
      <c r="AU60" s="258"/>
      <c r="AV60" s="258"/>
      <c r="AW60" s="258"/>
      <c r="AX60" s="258"/>
      <c r="AY60" s="258"/>
      <c r="AZ60" s="258"/>
      <c r="BA60" s="258"/>
      <c r="BB60" s="258"/>
      <c r="BC60" s="258"/>
      <c r="BD60" s="258"/>
      <c r="BE60" s="258"/>
      <c r="BF60" s="258"/>
      <c r="BG60" s="258"/>
      <c r="BH60" s="258"/>
      <c r="BI60" s="258"/>
      <c r="BJ60" s="258"/>
      <c r="BK60" s="258"/>
      <c r="BL60" s="258"/>
      <c r="BM60" s="258"/>
      <c r="BN60" s="258"/>
      <c r="BO60" s="258"/>
      <c r="BP60" s="258"/>
      <c r="BQ60" s="258"/>
      <c r="BR60" s="258"/>
      <c r="BS60" s="258"/>
      <c r="BT60" s="258"/>
      <c r="BU60" s="258"/>
      <c r="BV60" s="258"/>
    </row>
    <row r="61" spans="1:74" x14ac:dyDescent="0.25">
      <c r="B61" s="640"/>
      <c r="D61" s="246"/>
      <c r="E61" s="354"/>
      <c r="F61" s="354"/>
      <c r="G61" s="31">
        <v>2021</v>
      </c>
      <c r="H61" s="31">
        <v>2022</v>
      </c>
      <c r="I61" s="31">
        <v>2023</v>
      </c>
      <c r="J61" s="31">
        <v>2024</v>
      </c>
      <c r="K61" s="31">
        <v>2025</v>
      </c>
      <c r="L61" s="31">
        <v>2026</v>
      </c>
      <c r="M61" s="31">
        <v>2027</v>
      </c>
      <c r="N61" s="31">
        <v>2028</v>
      </c>
      <c r="O61" s="31">
        <v>2029</v>
      </c>
      <c r="P61" s="31">
        <v>2030</v>
      </c>
      <c r="Q61" s="31">
        <v>2031</v>
      </c>
      <c r="R61" s="31">
        <v>2032</v>
      </c>
      <c r="S61" s="31">
        <v>2033</v>
      </c>
      <c r="T61" s="31">
        <v>2034</v>
      </c>
      <c r="U61" s="31">
        <v>2035</v>
      </c>
      <c r="V61" s="31">
        <v>2036</v>
      </c>
      <c r="W61" s="31">
        <v>2037</v>
      </c>
      <c r="X61" s="31">
        <v>2038</v>
      </c>
      <c r="Y61" s="31">
        <v>2039</v>
      </c>
      <c r="Z61" s="31">
        <v>2040</v>
      </c>
      <c r="AA61" s="31">
        <v>2041</v>
      </c>
      <c r="AB61" s="31">
        <v>2042</v>
      </c>
      <c r="AC61" s="31">
        <v>2043</v>
      </c>
      <c r="AD61" s="31">
        <v>2044</v>
      </c>
      <c r="AE61" s="31">
        <v>2045</v>
      </c>
      <c r="AF61" s="31">
        <v>2046</v>
      </c>
      <c r="AG61" s="31">
        <v>2047</v>
      </c>
      <c r="AH61" s="31">
        <v>2048</v>
      </c>
      <c r="AI61" s="31">
        <v>2049</v>
      </c>
      <c r="AJ61" s="31">
        <v>2050</v>
      </c>
      <c r="AP61" s="258"/>
      <c r="AQ61" s="258"/>
      <c r="AR61" s="258"/>
      <c r="AS61" s="258"/>
      <c r="AT61" s="258"/>
      <c r="AU61" s="258"/>
      <c r="AV61" s="258"/>
      <c r="AW61" s="258"/>
      <c r="AX61" s="258"/>
      <c r="AY61" s="258"/>
      <c r="AZ61" s="258"/>
      <c r="BA61" s="258"/>
      <c r="BB61" s="258"/>
      <c r="BC61" s="258"/>
      <c r="BD61" s="258"/>
      <c r="BE61" s="258"/>
      <c r="BF61" s="258"/>
      <c r="BG61" s="258"/>
      <c r="BH61" s="258"/>
      <c r="BI61" s="258"/>
      <c r="BJ61" s="258"/>
      <c r="BK61" s="258"/>
      <c r="BL61" s="258"/>
      <c r="BM61" s="258"/>
      <c r="BN61" s="258"/>
      <c r="BO61" s="258"/>
      <c r="BP61" s="258"/>
      <c r="BQ61" s="258"/>
      <c r="BR61" s="258"/>
      <c r="BS61" s="258"/>
      <c r="BT61" s="258"/>
      <c r="BU61" s="258"/>
      <c r="BV61" s="258"/>
    </row>
    <row r="62" spans="1:74" ht="15" customHeight="1" x14ac:dyDescent="0.25">
      <c r="B62" s="640"/>
      <c r="D62" s="608" t="s">
        <v>278</v>
      </c>
      <c r="E62" s="351" t="s">
        <v>277</v>
      </c>
      <c r="F62" s="352" t="s">
        <v>233</v>
      </c>
      <c r="G62" s="353">
        <v>735131.85026835208</v>
      </c>
      <c r="H62" s="353">
        <v>949231.46716399526</v>
      </c>
      <c r="I62" s="353">
        <v>682875.06138707872</v>
      </c>
      <c r="J62" s="353">
        <v>644542.00016399252</v>
      </c>
      <c r="K62" s="353">
        <v>611747.29956856393</v>
      </c>
      <c r="L62" s="353">
        <v>589705.99069912033</v>
      </c>
      <c r="M62" s="353">
        <v>567664.68182967673</v>
      </c>
      <c r="N62" s="353">
        <v>545623.3729602329</v>
      </c>
      <c r="O62" s="353">
        <v>523582.06409078964</v>
      </c>
      <c r="P62" s="353">
        <v>501540.75522134558</v>
      </c>
      <c r="Q62" s="353">
        <v>492109.23611154332</v>
      </c>
      <c r="R62" s="353">
        <v>482677.71700174065</v>
      </c>
      <c r="S62" s="353">
        <v>473246.19789193856</v>
      </c>
      <c r="T62" s="353">
        <v>463814.67878213624</v>
      </c>
      <c r="U62" s="353">
        <v>454383.15967233374</v>
      </c>
      <c r="V62" s="353">
        <v>444951.6405625316</v>
      </c>
      <c r="W62" s="353">
        <v>435520.12145272933</v>
      </c>
      <c r="X62" s="353">
        <v>426088.60234292713</v>
      </c>
      <c r="Y62" s="353">
        <v>416657.08323312481</v>
      </c>
      <c r="Z62" s="353">
        <v>407225.56412332261</v>
      </c>
      <c r="AA62" s="353">
        <v>397794.04501352023</v>
      </c>
      <c r="AB62" s="353">
        <v>388362.52590371785</v>
      </c>
      <c r="AC62" s="353">
        <v>378931.00679391553</v>
      </c>
      <c r="AD62" s="353">
        <v>369499.48768411326</v>
      </c>
      <c r="AE62" s="353">
        <v>360067.96857431083</v>
      </c>
      <c r="AF62" s="353">
        <v>350636.44946450862</v>
      </c>
      <c r="AG62" s="353">
        <v>341204.93035470624</v>
      </c>
      <c r="AH62" s="353">
        <v>331773.41124490404</v>
      </c>
      <c r="AI62" s="353">
        <v>322341.89213510178</v>
      </c>
      <c r="AJ62" s="353">
        <v>312910.37302529928</v>
      </c>
    </row>
    <row r="63" spans="1:74" x14ac:dyDescent="0.25">
      <c r="B63" s="640"/>
      <c r="D63" s="609"/>
      <c r="E63" s="354" t="s">
        <v>277</v>
      </c>
      <c r="F63" s="352" t="s">
        <v>232</v>
      </c>
      <c r="G63" s="353">
        <v>735131.85026835208</v>
      </c>
      <c r="H63" s="353">
        <v>949231.46716399526</v>
      </c>
      <c r="I63" s="353">
        <v>883661.02477007231</v>
      </c>
      <c r="J63" s="353">
        <v>826266.2694503743</v>
      </c>
      <c r="K63" s="353">
        <v>791748.66786270263</v>
      </c>
      <c r="L63" s="353">
        <v>766282.61848760815</v>
      </c>
      <c r="M63" s="353">
        <v>741475.49327309709</v>
      </c>
      <c r="N63" s="353">
        <v>718293.73648173932</v>
      </c>
      <c r="O63" s="353">
        <v>697257.63127758901</v>
      </c>
      <c r="P63" s="353">
        <v>676830.55462832516</v>
      </c>
      <c r="Q63" s="353">
        <v>668370.17269547121</v>
      </c>
      <c r="R63" s="353">
        <v>659909.79076261702</v>
      </c>
      <c r="S63" s="353">
        <v>651449.4088297633</v>
      </c>
      <c r="T63" s="353">
        <v>642989.02689690934</v>
      </c>
      <c r="U63" s="353">
        <v>634528.64496405493</v>
      </c>
      <c r="V63" s="353">
        <v>626068.26303120097</v>
      </c>
      <c r="W63" s="353">
        <v>617607.88109834713</v>
      </c>
      <c r="X63" s="353">
        <v>609147.49916549283</v>
      </c>
      <c r="Y63" s="353">
        <v>600687.11723263911</v>
      </c>
      <c r="Z63" s="353">
        <v>592226.73529978516</v>
      </c>
      <c r="AA63" s="353">
        <v>583766.35336693074</v>
      </c>
      <c r="AB63" s="353">
        <v>575305.97143407678</v>
      </c>
      <c r="AC63" s="353">
        <v>566845.58950122283</v>
      </c>
      <c r="AD63" s="353">
        <v>558385.20756836887</v>
      </c>
      <c r="AE63" s="353">
        <v>549924.82563551504</v>
      </c>
      <c r="AF63" s="353">
        <v>541464.44370266097</v>
      </c>
      <c r="AG63" s="353">
        <v>533004.06176980678</v>
      </c>
      <c r="AH63" s="353">
        <v>524543.67983695271</v>
      </c>
      <c r="AI63" s="353">
        <v>516083.29790409829</v>
      </c>
      <c r="AJ63" s="353">
        <v>507622.91597124399</v>
      </c>
    </row>
    <row r="64" spans="1:74" x14ac:dyDescent="0.25">
      <c r="B64" s="640"/>
      <c r="D64" s="609"/>
      <c r="E64" s="404" t="s">
        <v>277</v>
      </c>
      <c r="F64" s="352" t="s">
        <v>194</v>
      </c>
      <c r="G64" s="353">
        <v>735131.85026835208</v>
      </c>
      <c r="H64" s="353">
        <v>949231.46716399526</v>
      </c>
      <c r="I64" s="353">
        <v>984388.1881700689</v>
      </c>
      <c r="J64" s="353">
        <v>991419.53237128363</v>
      </c>
      <c r="K64" s="353">
        <v>977356.84396885394</v>
      </c>
      <c r="L64" s="353">
        <v>940793.85412253765</v>
      </c>
      <c r="M64" s="353">
        <v>904230.86427622044</v>
      </c>
      <c r="N64" s="353">
        <v>867667.87442990334</v>
      </c>
      <c r="O64" s="353">
        <v>831104.88458358706</v>
      </c>
      <c r="P64" s="353">
        <v>794541.8947372702</v>
      </c>
      <c r="Q64" s="353">
        <v>792273.00111306587</v>
      </c>
      <c r="R64" s="353">
        <v>790004.10748886236</v>
      </c>
      <c r="S64" s="353">
        <v>787735.21386465849</v>
      </c>
      <c r="T64" s="353">
        <v>785466.32024045428</v>
      </c>
      <c r="U64" s="353">
        <v>783197.42661625054</v>
      </c>
      <c r="V64" s="353">
        <v>780928.53299204668</v>
      </c>
      <c r="W64" s="353">
        <v>778659.63936784223</v>
      </c>
      <c r="X64" s="353">
        <v>776390.74574363814</v>
      </c>
      <c r="Y64" s="353">
        <v>774121.85211943474</v>
      </c>
      <c r="Z64" s="353">
        <v>771852.95849523065</v>
      </c>
      <c r="AA64" s="353">
        <v>769584.06487102655</v>
      </c>
      <c r="AB64" s="353">
        <v>767315.17124682269</v>
      </c>
      <c r="AC64" s="353">
        <v>765046.27762261906</v>
      </c>
      <c r="AD64" s="353">
        <v>762777.38399841497</v>
      </c>
      <c r="AE64" s="353">
        <v>760508.49037421111</v>
      </c>
      <c r="AF64" s="353">
        <v>758239.59675000724</v>
      </c>
      <c r="AG64" s="353">
        <v>755970.70312580292</v>
      </c>
      <c r="AH64" s="353">
        <v>753701.80950159929</v>
      </c>
      <c r="AI64" s="353">
        <v>751432.91587739531</v>
      </c>
      <c r="AJ64" s="353">
        <v>749164.02225319052</v>
      </c>
    </row>
    <row r="65" spans="1:74" x14ac:dyDescent="0.25">
      <c r="B65" s="640"/>
      <c r="D65" s="610"/>
      <c r="E65" s="351" t="s">
        <v>276</v>
      </c>
      <c r="F65" s="352" t="s">
        <v>233</v>
      </c>
      <c r="G65" s="353">
        <v>875905.61288850522</v>
      </c>
      <c r="H65" s="353">
        <v>1107825.6470747069</v>
      </c>
      <c r="I65" s="353">
        <v>796967.37089060468</v>
      </c>
      <c r="J65" s="353">
        <v>752229.75965159258</v>
      </c>
      <c r="K65" s="353">
        <v>713955.83841687324</v>
      </c>
      <c r="L65" s="353">
        <v>688231.94692640472</v>
      </c>
      <c r="M65" s="353">
        <v>662508.0554359362</v>
      </c>
      <c r="N65" s="353">
        <v>636784.16394546744</v>
      </c>
      <c r="O65" s="353">
        <v>611060.27245499915</v>
      </c>
      <c r="P65" s="353">
        <v>585336.38096453017</v>
      </c>
      <c r="Q65" s="353">
        <v>574329.07755945995</v>
      </c>
      <c r="R65" s="353">
        <v>563321.77415438916</v>
      </c>
      <c r="S65" s="353">
        <v>552314.47074931907</v>
      </c>
      <c r="T65" s="353">
        <v>541307.16734424862</v>
      </c>
      <c r="U65" s="353">
        <v>530299.86393917806</v>
      </c>
      <c r="V65" s="353">
        <v>519292.56053410779</v>
      </c>
      <c r="W65" s="353">
        <v>508285.25712903746</v>
      </c>
      <c r="X65" s="353">
        <v>497277.95372396719</v>
      </c>
      <c r="Y65" s="353">
        <v>486270.65031889675</v>
      </c>
      <c r="Z65" s="353">
        <v>475263.34691382648</v>
      </c>
      <c r="AA65" s="353">
        <v>464256.04350875603</v>
      </c>
      <c r="AB65" s="353">
        <v>453248.74010368559</v>
      </c>
      <c r="AC65" s="353">
        <v>442241.4366986152</v>
      </c>
      <c r="AD65" s="353">
        <v>431234.13329354487</v>
      </c>
      <c r="AE65" s="353">
        <v>420226.82988847431</v>
      </c>
      <c r="AF65" s="353">
        <v>409219.52648340404</v>
      </c>
      <c r="AG65" s="353">
        <v>398212.2230783336</v>
      </c>
      <c r="AH65" s="353">
        <v>387204.91967326333</v>
      </c>
      <c r="AI65" s="353">
        <v>376197.61626819294</v>
      </c>
      <c r="AJ65" s="353">
        <v>365190.31286312232</v>
      </c>
      <c r="AP65" s="258"/>
      <c r="AQ65" s="258"/>
      <c r="AR65" s="258"/>
      <c r="AS65" s="258"/>
      <c r="AT65" s="258"/>
      <c r="AU65" s="258"/>
      <c r="AV65" s="258"/>
      <c r="AW65" s="258"/>
      <c r="AX65" s="258"/>
      <c r="AY65" s="258"/>
      <c r="AZ65" s="258"/>
      <c r="BA65" s="258"/>
      <c r="BB65" s="258"/>
      <c r="BC65" s="258"/>
      <c r="BD65" s="258"/>
      <c r="BE65" s="258"/>
      <c r="BF65" s="258"/>
      <c r="BG65" s="258"/>
      <c r="BH65" s="258"/>
      <c r="BI65" s="258"/>
      <c r="BJ65" s="258"/>
      <c r="BK65" s="258"/>
      <c r="BL65" s="258"/>
      <c r="BM65" s="258"/>
      <c r="BN65" s="258"/>
      <c r="BO65" s="258"/>
      <c r="BP65" s="258"/>
      <c r="BQ65" s="258"/>
      <c r="BR65" s="258"/>
      <c r="BS65" s="258"/>
      <c r="BT65" s="258"/>
      <c r="BU65" s="258"/>
      <c r="BV65" s="258"/>
    </row>
    <row r="66" spans="1:74" x14ac:dyDescent="0.25">
      <c r="B66" s="640"/>
      <c r="D66" s="610"/>
      <c r="E66" s="351" t="s">
        <v>276</v>
      </c>
      <c r="F66" s="352" t="s">
        <v>232</v>
      </c>
      <c r="G66" s="353">
        <v>875905.61288850522</v>
      </c>
      <c r="H66" s="353">
        <v>1107825.6470747069</v>
      </c>
      <c r="I66" s="353">
        <v>1028418.0096079509</v>
      </c>
      <c r="J66" s="353">
        <v>957764.35628602176</v>
      </c>
      <c r="K66" s="353">
        <v>916979.13925183692</v>
      </c>
      <c r="L66" s="353">
        <v>884651.6606599259</v>
      </c>
      <c r="M66" s="353">
        <v>853585.33232606656</v>
      </c>
      <c r="N66" s="353">
        <v>824647.41740955319</v>
      </c>
      <c r="O66" s="353">
        <v>798410.18889212515</v>
      </c>
      <c r="P66" s="353">
        <v>773203.66148068465</v>
      </c>
      <c r="Q66" s="353">
        <v>763538.61571217619</v>
      </c>
      <c r="R66" s="353">
        <v>753873.56994366762</v>
      </c>
      <c r="S66" s="353">
        <v>744208.52417515917</v>
      </c>
      <c r="T66" s="353">
        <v>734543.47840665083</v>
      </c>
      <c r="U66" s="353">
        <v>724878.43263814179</v>
      </c>
      <c r="V66" s="353">
        <v>715213.38686963334</v>
      </c>
      <c r="W66" s="353">
        <v>705548.34110112512</v>
      </c>
      <c r="X66" s="353">
        <v>695883.2953326162</v>
      </c>
      <c r="Y66" s="353">
        <v>686218.24956410797</v>
      </c>
      <c r="Z66" s="353">
        <v>676553.20379559975</v>
      </c>
      <c r="AA66" s="353">
        <v>666888.15802709071</v>
      </c>
      <c r="AB66" s="353">
        <v>657223.11225858238</v>
      </c>
      <c r="AC66" s="353">
        <v>647558.06649007392</v>
      </c>
      <c r="AD66" s="353">
        <v>637893.02072156547</v>
      </c>
      <c r="AE66" s="353">
        <v>628227.97495305713</v>
      </c>
      <c r="AF66" s="353">
        <v>618562.92918454856</v>
      </c>
      <c r="AG66" s="353">
        <v>608897.88341603987</v>
      </c>
      <c r="AH66" s="353">
        <v>599232.83764753141</v>
      </c>
      <c r="AI66" s="353">
        <v>589567.79187902249</v>
      </c>
      <c r="AJ66" s="353">
        <v>579902.74611051357</v>
      </c>
      <c r="AP66" s="258"/>
      <c r="AQ66" s="258"/>
      <c r="AR66" s="258"/>
      <c r="AS66" s="258"/>
      <c r="AT66" s="258"/>
      <c r="AU66" s="258"/>
      <c r="AV66" s="258"/>
      <c r="AW66" s="258"/>
      <c r="AX66" s="258"/>
      <c r="AY66" s="258"/>
      <c r="AZ66" s="258"/>
      <c r="BA66" s="258"/>
      <c r="BB66" s="258"/>
      <c r="BC66" s="258"/>
      <c r="BD66" s="258"/>
      <c r="BE66" s="258"/>
      <c r="BF66" s="258"/>
      <c r="BG66" s="258"/>
      <c r="BH66" s="258"/>
      <c r="BI66" s="258"/>
      <c r="BJ66" s="258"/>
      <c r="BK66" s="258"/>
      <c r="BL66" s="258"/>
      <c r="BM66" s="258"/>
      <c r="BN66" s="258"/>
      <c r="BO66" s="258"/>
      <c r="BP66" s="258"/>
      <c r="BQ66" s="258"/>
      <c r="BR66" s="258"/>
      <c r="BS66" s="258"/>
      <c r="BT66" s="258"/>
      <c r="BU66" s="258"/>
      <c r="BV66" s="258"/>
    </row>
    <row r="67" spans="1:74" x14ac:dyDescent="0.25">
      <c r="B67" s="640"/>
      <c r="D67" s="610"/>
      <c r="E67" s="351" t="s">
        <v>276</v>
      </c>
      <c r="F67" s="352" t="s">
        <v>194</v>
      </c>
      <c r="G67" s="353">
        <v>875905.61288850522</v>
      </c>
      <c r="H67" s="353">
        <v>1107825.6470747069</v>
      </c>
      <c r="I67" s="353">
        <v>1148856.226595992</v>
      </c>
      <c r="J67" s="353">
        <v>1157062.3425002489</v>
      </c>
      <c r="K67" s="353">
        <v>1140650.1106917346</v>
      </c>
      <c r="L67" s="353">
        <v>1097978.3079895983</v>
      </c>
      <c r="M67" s="353">
        <v>1055306.5052874612</v>
      </c>
      <c r="N67" s="353">
        <v>1012634.7025853242</v>
      </c>
      <c r="O67" s="353">
        <v>969962.89988318784</v>
      </c>
      <c r="P67" s="353">
        <v>927291.09718105104</v>
      </c>
      <c r="Q67" s="353">
        <v>924643.12496950245</v>
      </c>
      <c r="R67" s="353">
        <v>921995.15275795467</v>
      </c>
      <c r="S67" s="353">
        <v>919347.18054640642</v>
      </c>
      <c r="T67" s="353">
        <v>916699.20833485806</v>
      </c>
      <c r="U67" s="353">
        <v>914051.23612330994</v>
      </c>
      <c r="V67" s="353">
        <v>911403.26391176181</v>
      </c>
      <c r="W67" s="353">
        <v>908755.2917002131</v>
      </c>
      <c r="X67" s="353">
        <v>906107.31948866486</v>
      </c>
      <c r="Y67" s="353">
        <v>903459.34727711708</v>
      </c>
      <c r="Z67" s="353">
        <v>900811.3750655686</v>
      </c>
      <c r="AA67" s="353">
        <v>898163.40285402036</v>
      </c>
      <c r="AB67" s="353">
        <v>895515.43064247223</v>
      </c>
      <c r="AC67" s="353">
        <v>892867.45843092422</v>
      </c>
      <c r="AD67" s="353">
        <v>890219.48621937586</v>
      </c>
      <c r="AE67" s="353">
        <v>887571.51400782785</v>
      </c>
      <c r="AF67" s="353">
        <v>884923.54179627961</v>
      </c>
      <c r="AG67" s="353">
        <v>882275.56958473101</v>
      </c>
      <c r="AH67" s="353">
        <v>879627.597373183</v>
      </c>
      <c r="AI67" s="353">
        <v>876979.62516163487</v>
      </c>
      <c r="AJ67" s="353">
        <v>874331.6529500857</v>
      </c>
      <c r="AP67" s="258"/>
      <c r="AQ67" s="258"/>
      <c r="AR67" s="258"/>
      <c r="AS67" s="258"/>
      <c r="AT67" s="258"/>
      <c r="AU67" s="258"/>
      <c r="AV67" s="258"/>
      <c r="AW67" s="258"/>
      <c r="AX67" s="258"/>
      <c r="AY67" s="258"/>
      <c r="AZ67" s="258"/>
      <c r="BA67" s="258"/>
      <c r="BB67" s="258"/>
      <c r="BC67" s="258"/>
      <c r="BD67" s="258"/>
      <c r="BE67" s="258"/>
      <c r="BF67" s="258"/>
      <c r="BG67" s="258"/>
      <c r="BH67" s="258"/>
      <c r="BI67" s="258"/>
      <c r="BJ67" s="258"/>
      <c r="BK67" s="258"/>
      <c r="BL67" s="258"/>
      <c r="BM67" s="258"/>
      <c r="BN67" s="258"/>
      <c r="BO67" s="258"/>
      <c r="BP67" s="258"/>
      <c r="BQ67" s="258"/>
      <c r="BR67" s="258"/>
      <c r="BS67" s="258"/>
      <c r="BT67" s="258"/>
      <c r="BU67" s="258"/>
      <c r="BV67" s="258"/>
    </row>
    <row r="68" spans="1:74" x14ac:dyDescent="0.25">
      <c r="B68" s="640"/>
      <c r="D68" s="610"/>
      <c r="E68" s="351" t="s">
        <v>146</v>
      </c>
      <c r="F68" s="352" t="s">
        <v>233</v>
      </c>
      <c r="G68" s="353">
        <v>1157453.1381288117</v>
      </c>
      <c r="H68" s="353">
        <v>1425014.0068961298</v>
      </c>
      <c r="I68" s="353">
        <v>1025151.9898976567</v>
      </c>
      <c r="J68" s="353">
        <v>967605.27862679271</v>
      </c>
      <c r="K68" s="353">
        <v>918372.91611349187</v>
      </c>
      <c r="L68" s="353">
        <v>885283.8593809735</v>
      </c>
      <c r="M68" s="353">
        <v>852194.80264845502</v>
      </c>
      <c r="N68" s="353">
        <v>819105.74591593654</v>
      </c>
      <c r="O68" s="353">
        <v>786016.68918341841</v>
      </c>
      <c r="P68" s="353">
        <v>752927.63245089957</v>
      </c>
      <c r="Q68" s="353">
        <v>738768.76045529312</v>
      </c>
      <c r="R68" s="353">
        <v>724609.88845968619</v>
      </c>
      <c r="S68" s="353">
        <v>710451.01646407973</v>
      </c>
      <c r="T68" s="353">
        <v>696292.14446847327</v>
      </c>
      <c r="U68" s="353">
        <v>682133.27247286669</v>
      </c>
      <c r="V68" s="353">
        <v>667974.40047726023</v>
      </c>
      <c r="W68" s="353">
        <v>653815.52848165366</v>
      </c>
      <c r="X68" s="353">
        <v>639656.6564860472</v>
      </c>
      <c r="Y68" s="353">
        <v>625497.78449044074</v>
      </c>
      <c r="Z68" s="353">
        <v>611338.91249483416</v>
      </c>
      <c r="AA68" s="353">
        <v>597180.0404992277</v>
      </c>
      <c r="AB68" s="353">
        <v>583021.16850362113</v>
      </c>
      <c r="AC68" s="353">
        <v>568862.29650801455</v>
      </c>
      <c r="AD68" s="353">
        <v>554703.42451240798</v>
      </c>
      <c r="AE68" s="353">
        <v>540544.55251680128</v>
      </c>
      <c r="AF68" s="353">
        <v>526385.68052119482</v>
      </c>
      <c r="AG68" s="353">
        <v>512226.80852558831</v>
      </c>
      <c r="AH68" s="353">
        <v>498067.93652998185</v>
      </c>
      <c r="AI68" s="353">
        <v>483909.06453437539</v>
      </c>
      <c r="AJ68" s="353">
        <v>469750.19253876852</v>
      </c>
      <c r="AP68" s="258"/>
      <c r="AQ68" s="258"/>
      <c r="AR68" s="258"/>
      <c r="AS68" s="258"/>
      <c r="AT68" s="258"/>
      <c r="AU68" s="258"/>
      <c r="AV68" s="258"/>
      <c r="AW68" s="258"/>
      <c r="AX68" s="258"/>
      <c r="AY68" s="258"/>
      <c r="AZ68" s="258"/>
      <c r="BA68" s="258"/>
      <c r="BB68" s="258"/>
      <c r="BC68" s="258"/>
      <c r="BD68" s="258"/>
      <c r="BE68" s="258"/>
      <c r="BF68" s="258"/>
      <c r="BG68" s="258"/>
      <c r="BH68" s="258"/>
      <c r="BI68" s="258"/>
      <c r="BJ68" s="258"/>
      <c r="BK68" s="258"/>
      <c r="BL68" s="258"/>
      <c r="BM68" s="258"/>
      <c r="BN68" s="258"/>
      <c r="BO68" s="258"/>
      <c r="BP68" s="258"/>
      <c r="BQ68" s="258"/>
      <c r="BR68" s="258"/>
      <c r="BS68" s="258"/>
      <c r="BT68" s="258"/>
      <c r="BU68" s="258"/>
      <c r="BV68" s="258"/>
    </row>
    <row r="69" spans="1:74" x14ac:dyDescent="0.25">
      <c r="B69" s="640"/>
      <c r="D69" s="610"/>
      <c r="E69" s="351" t="s">
        <v>146</v>
      </c>
      <c r="F69" s="352" t="s">
        <v>232</v>
      </c>
      <c r="G69" s="353">
        <v>1157453.1381288117</v>
      </c>
      <c r="H69" s="353">
        <v>1425014.0068961298</v>
      </c>
      <c r="I69" s="353">
        <v>1317931.9792837084</v>
      </c>
      <c r="J69" s="353">
        <v>1220760.5299573168</v>
      </c>
      <c r="K69" s="353">
        <v>1167440.0820301054</v>
      </c>
      <c r="L69" s="353">
        <v>1121389.7450045615</v>
      </c>
      <c r="M69" s="353">
        <v>1077805.0104320054</v>
      </c>
      <c r="N69" s="353">
        <v>1037354.7792651809</v>
      </c>
      <c r="O69" s="353">
        <v>1000715.3041211974</v>
      </c>
      <c r="P69" s="353">
        <v>965949.87518540351</v>
      </c>
      <c r="Q69" s="353">
        <v>953875.50174558617</v>
      </c>
      <c r="R69" s="353">
        <v>941801.12830576836</v>
      </c>
      <c r="S69" s="353">
        <v>929726.75486595114</v>
      </c>
      <c r="T69" s="353">
        <v>917652.3814261338</v>
      </c>
      <c r="U69" s="353">
        <v>905578.00798631576</v>
      </c>
      <c r="V69" s="353">
        <v>893503.63454649854</v>
      </c>
      <c r="W69" s="353">
        <v>881429.26110668131</v>
      </c>
      <c r="X69" s="353">
        <v>869354.88766686339</v>
      </c>
      <c r="Y69" s="353">
        <v>857280.51422704617</v>
      </c>
      <c r="Z69" s="353">
        <v>845206.14078722871</v>
      </c>
      <c r="AA69" s="353">
        <v>833131.7673474109</v>
      </c>
      <c r="AB69" s="353">
        <v>821057.39390759333</v>
      </c>
      <c r="AC69" s="353">
        <v>808983.02046777611</v>
      </c>
      <c r="AD69" s="353">
        <v>796908.64702795865</v>
      </c>
      <c r="AE69" s="353">
        <v>784834.27358814143</v>
      </c>
      <c r="AF69" s="353">
        <v>772759.90014832362</v>
      </c>
      <c r="AG69" s="353">
        <v>760685.52670850605</v>
      </c>
      <c r="AH69" s="353">
        <v>748611.15326868859</v>
      </c>
      <c r="AI69" s="353">
        <v>736536.77982887067</v>
      </c>
      <c r="AJ69" s="353">
        <v>724462.40638905275</v>
      </c>
      <c r="AP69" s="258"/>
      <c r="AQ69" s="258"/>
      <c r="AR69" s="258"/>
      <c r="AS69" s="258"/>
      <c r="AT69" s="258"/>
      <c r="AU69" s="258"/>
      <c r="AV69" s="258"/>
      <c r="AW69" s="258"/>
      <c r="AX69" s="258"/>
      <c r="AY69" s="258"/>
      <c r="AZ69" s="258"/>
      <c r="BA69" s="258"/>
      <c r="BB69" s="258"/>
      <c r="BC69" s="258"/>
      <c r="BD69" s="258"/>
      <c r="BE69" s="258"/>
      <c r="BF69" s="258"/>
      <c r="BG69" s="258"/>
      <c r="BH69" s="258"/>
      <c r="BI69" s="258"/>
      <c r="BJ69" s="258"/>
      <c r="BK69" s="258"/>
      <c r="BL69" s="258"/>
      <c r="BM69" s="258"/>
      <c r="BN69" s="258"/>
      <c r="BO69" s="258"/>
      <c r="BP69" s="258"/>
      <c r="BQ69" s="258"/>
      <c r="BR69" s="258"/>
      <c r="BS69" s="258"/>
      <c r="BT69" s="258"/>
      <c r="BU69" s="258"/>
      <c r="BV69" s="258"/>
    </row>
    <row r="70" spans="1:74" x14ac:dyDescent="0.25">
      <c r="B70" s="640"/>
      <c r="D70" s="610"/>
      <c r="E70" s="351" t="s">
        <v>146</v>
      </c>
      <c r="F70" s="352" t="s">
        <v>194</v>
      </c>
      <c r="G70" s="353">
        <v>1157453.1381288117</v>
      </c>
      <c r="H70" s="353">
        <v>1425014.0068961298</v>
      </c>
      <c r="I70" s="353">
        <v>1477792.3034478382</v>
      </c>
      <c r="J70" s="353">
        <v>1488347.9627581798</v>
      </c>
      <c r="K70" s="353">
        <v>1467236.6441374961</v>
      </c>
      <c r="L70" s="353">
        <v>1412347.2157237199</v>
      </c>
      <c r="M70" s="353">
        <v>1357457.787309943</v>
      </c>
      <c r="N70" s="353">
        <v>1302568.3588961661</v>
      </c>
      <c r="O70" s="353">
        <v>1247678.9304823894</v>
      </c>
      <c r="P70" s="353">
        <v>1192789.5020686127</v>
      </c>
      <c r="Q70" s="353">
        <v>1189383.3726823754</v>
      </c>
      <c r="R70" s="353">
        <v>1185977.2432961389</v>
      </c>
      <c r="S70" s="353">
        <v>1182571.1139099023</v>
      </c>
      <c r="T70" s="353">
        <v>1179164.9845236654</v>
      </c>
      <c r="U70" s="353">
        <v>1175758.8551374287</v>
      </c>
      <c r="V70" s="353">
        <v>1172352.7257511921</v>
      </c>
      <c r="W70" s="353">
        <v>1168946.596364955</v>
      </c>
      <c r="X70" s="353">
        <v>1165540.4669787181</v>
      </c>
      <c r="Y70" s="353">
        <v>1162134.3375924816</v>
      </c>
      <c r="Z70" s="353">
        <v>1158728.2082062447</v>
      </c>
      <c r="AA70" s="353">
        <v>1155322.0788200079</v>
      </c>
      <c r="AB70" s="353">
        <v>1151915.949433771</v>
      </c>
      <c r="AC70" s="353">
        <v>1148509.8200475345</v>
      </c>
      <c r="AD70" s="353">
        <v>1145103.6906612976</v>
      </c>
      <c r="AE70" s="353">
        <v>1141697.5612750612</v>
      </c>
      <c r="AF70" s="353">
        <v>1138291.4318888243</v>
      </c>
      <c r="AG70" s="353">
        <v>1134885.3025025872</v>
      </c>
      <c r="AH70" s="353">
        <v>1131479.1731163505</v>
      </c>
      <c r="AI70" s="353">
        <v>1128073.0437301139</v>
      </c>
      <c r="AJ70" s="353">
        <v>1124666.9143438758</v>
      </c>
      <c r="AP70" s="258"/>
      <c r="AQ70" s="258"/>
      <c r="AR70" s="258"/>
      <c r="AS70" s="258"/>
      <c r="AT70" s="258"/>
      <c r="AU70" s="258"/>
      <c r="AV70" s="258"/>
      <c r="AW70" s="258"/>
      <c r="AX70" s="258"/>
      <c r="AY70" s="258"/>
      <c r="AZ70" s="258"/>
      <c r="BA70" s="258"/>
      <c r="BB70" s="258"/>
      <c r="BC70" s="258"/>
      <c r="BD70" s="258"/>
      <c r="BE70" s="258"/>
      <c r="BF70" s="258"/>
      <c r="BG70" s="258"/>
      <c r="BH70" s="258"/>
      <c r="BI70" s="258"/>
      <c r="BJ70" s="258"/>
      <c r="BK70" s="258"/>
      <c r="BL70" s="258"/>
      <c r="BM70" s="258"/>
      <c r="BN70" s="258"/>
      <c r="BO70" s="258"/>
      <c r="BP70" s="258"/>
      <c r="BQ70" s="258"/>
      <c r="BR70" s="258"/>
      <c r="BS70" s="258"/>
      <c r="BT70" s="258"/>
      <c r="BU70" s="258"/>
      <c r="BV70" s="258"/>
    </row>
    <row r="71" spans="1:74" x14ac:dyDescent="0.25">
      <c r="B71" s="640"/>
      <c r="D71" s="610"/>
      <c r="E71" s="351" t="s">
        <v>275</v>
      </c>
      <c r="F71" s="352" t="s">
        <v>233</v>
      </c>
      <c r="G71" s="353">
        <v>1439000.663369118</v>
      </c>
      <c r="H71" s="353">
        <v>1742202.3667175532</v>
      </c>
      <c r="I71" s="353">
        <v>1253336.6089047086</v>
      </c>
      <c r="J71" s="353">
        <v>1182980.797601993</v>
      </c>
      <c r="K71" s="353">
        <v>1122789.9938101103</v>
      </c>
      <c r="L71" s="353">
        <v>1082335.7718355423</v>
      </c>
      <c r="M71" s="353">
        <v>1041881.549860974</v>
      </c>
      <c r="N71" s="353">
        <v>1001427.3278864056</v>
      </c>
      <c r="O71" s="353">
        <v>960973.10591183743</v>
      </c>
      <c r="P71" s="353">
        <v>920518.88393726898</v>
      </c>
      <c r="Q71" s="353">
        <v>903208.44335112628</v>
      </c>
      <c r="R71" s="353">
        <v>885898.0027649831</v>
      </c>
      <c r="S71" s="353">
        <v>868587.56217884063</v>
      </c>
      <c r="T71" s="353">
        <v>851277.12159269792</v>
      </c>
      <c r="U71" s="353">
        <v>833966.68100655521</v>
      </c>
      <c r="V71" s="353">
        <v>816656.24042041262</v>
      </c>
      <c r="W71" s="353">
        <v>799345.7998342698</v>
      </c>
      <c r="X71" s="353">
        <v>782035.35924812732</v>
      </c>
      <c r="Y71" s="353">
        <v>764724.91866198462</v>
      </c>
      <c r="Z71" s="353">
        <v>747414.47807584191</v>
      </c>
      <c r="AA71" s="353">
        <v>730104.03748969932</v>
      </c>
      <c r="AB71" s="353">
        <v>712793.59690355649</v>
      </c>
      <c r="AC71" s="353">
        <v>695483.1563174139</v>
      </c>
      <c r="AD71" s="353">
        <v>678172.71573127108</v>
      </c>
      <c r="AE71" s="353">
        <v>660862.27514512837</v>
      </c>
      <c r="AF71" s="353">
        <v>643551.83455898566</v>
      </c>
      <c r="AG71" s="353">
        <v>626241.39397284295</v>
      </c>
      <c r="AH71" s="353">
        <v>608930.95338670036</v>
      </c>
      <c r="AI71" s="353">
        <v>591620.51280055777</v>
      </c>
      <c r="AJ71" s="353">
        <v>574310.0722144146</v>
      </c>
      <c r="AP71" s="258"/>
      <c r="AQ71" s="258"/>
      <c r="AR71" s="258"/>
      <c r="AS71" s="258"/>
      <c r="AT71" s="258"/>
      <c r="AU71" s="258"/>
      <c r="AV71" s="258"/>
      <c r="AW71" s="258"/>
      <c r="AX71" s="258"/>
      <c r="AY71" s="258"/>
      <c r="AZ71" s="258"/>
      <c r="BA71" s="258"/>
      <c r="BB71" s="258"/>
      <c r="BC71" s="258"/>
      <c r="BD71" s="258"/>
      <c r="BE71" s="258"/>
      <c r="BF71" s="258"/>
      <c r="BG71" s="258"/>
      <c r="BH71" s="258"/>
      <c r="BI71" s="258"/>
      <c r="BJ71" s="258"/>
      <c r="BK71" s="258"/>
      <c r="BL71" s="258"/>
      <c r="BM71" s="258"/>
      <c r="BN71" s="258"/>
      <c r="BO71" s="258"/>
      <c r="BP71" s="258"/>
      <c r="BQ71" s="258"/>
      <c r="BR71" s="258"/>
      <c r="BS71" s="258"/>
      <c r="BT71" s="258"/>
      <c r="BU71" s="258"/>
      <c r="BV71" s="258"/>
    </row>
    <row r="72" spans="1:74" x14ac:dyDescent="0.25">
      <c r="B72" s="640"/>
      <c r="D72" s="610"/>
      <c r="E72" s="351" t="s">
        <v>275</v>
      </c>
      <c r="F72" s="352" t="s">
        <v>232</v>
      </c>
      <c r="G72" s="353">
        <v>1439000.663369118</v>
      </c>
      <c r="H72" s="353">
        <v>1742202.3667175532</v>
      </c>
      <c r="I72" s="353">
        <v>1607445.9489594658</v>
      </c>
      <c r="J72" s="353">
        <v>1483756.7036286118</v>
      </c>
      <c r="K72" s="353">
        <v>1417901.024808374</v>
      </c>
      <c r="L72" s="353">
        <v>1358127.829349197</v>
      </c>
      <c r="M72" s="353">
        <v>1302024.6885379446</v>
      </c>
      <c r="N72" s="353">
        <v>1250062.1411208087</v>
      </c>
      <c r="O72" s="353">
        <v>1203020.4193502697</v>
      </c>
      <c r="P72" s="353">
        <v>1158696.0888901222</v>
      </c>
      <c r="Q72" s="353">
        <v>1144212.387778996</v>
      </c>
      <c r="R72" s="353">
        <v>1129728.6866678693</v>
      </c>
      <c r="S72" s="353">
        <v>1115244.9855567429</v>
      </c>
      <c r="T72" s="353">
        <v>1100761.2844456169</v>
      </c>
      <c r="U72" s="353">
        <v>1086277.5833344897</v>
      </c>
      <c r="V72" s="353">
        <v>1071793.8822233635</v>
      </c>
      <c r="W72" s="353">
        <v>1057310.1811122373</v>
      </c>
      <c r="X72" s="353">
        <v>1042826.4800011106</v>
      </c>
      <c r="Y72" s="353">
        <v>1028342.7788899841</v>
      </c>
      <c r="Z72" s="353">
        <v>1013859.0777788579</v>
      </c>
      <c r="AA72" s="353">
        <v>999375.37666773109</v>
      </c>
      <c r="AB72" s="353">
        <v>984891.67555660452</v>
      </c>
      <c r="AC72" s="353">
        <v>970407.97444547806</v>
      </c>
      <c r="AD72" s="353">
        <v>955924.27333435183</v>
      </c>
      <c r="AE72" s="353">
        <v>941440.57222322538</v>
      </c>
      <c r="AF72" s="353">
        <v>926956.8711120988</v>
      </c>
      <c r="AG72" s="353">
        <v>912473.17000097223</v>
      </c>
      <c r="AH72" s="353">
        <v>897989.468889846</v>
      </c>
      <c r="AI72" s="353">
        <v>883505.76777871908</v>
      </c>
      <c r="AJ72" s="353">
        <v>869022.06666759192</v>
      </c>
      <c r="AP72" s="258"/>
      <c r="AQ72" s="258"/>
      <c r="AR72" s="258"/>
      <c r="AS72" s="258"/>
      <c r="AT72" s="258"/>
      <c r="AU72" s="258"/>
      <c r="AV72" s="258"/>
      <c r="AW72" s="258"/>
      <c r="AX72" s="258"/>
      <c r="AY72" s="258"/>
      <c r="AZ72" s="258"/>
      <c r="BA72" s="258"/>
      <c r="BB72" s="258"/>
      <c r="BC72" s="258"/>
      <c r="BD72" s="258"/>
      <c r="BE72" s="258"/>
      <c r="BF72" s="258"/>
      <c r="BG72" s="258"/>
      <c r="BH72" s="258"/>
      <c r="BI72" s="258"/>
      <c r="BJ72" s="258"/>
      <c r="BK72" s="258"/>
      <c r="BL72" s="258"/>
      <c r="BM72" s="258"/>
      <c r="BN72" s="258"/>
      <c r="BO72" s="258"/>
      <c r="BP72" s="258"/>
      <c r="BQ72" s="258"/>
      <c r="BR72" s="258"/>
      <c r="BS72" s="258"/>
      <c r="BT72" s="258"/>
      <c r="BU72" s="258"/>
      <c r="BV72" s="258"/>
    </row>
    <row r="73" spans="1:74" x14ac:dyDescent="0.25">
      <c r="B73" s="640"/>
      <c r="D73" s="610"/>
      <c r="E73" s="351" t="s">
        <v>275</v>
      </c>
      <c r="F73" s="352" t="s">
        <v>194</v>
      </c>
      <c r="G73" s="353">
        <v>1439000.663369118</v>
      </c>
      <c r="H73" s="353">
        <v>1742202.3667175532</v>
      </c>
      <c r="I73" s="353">
        <v>1806728.3802996844</v>
      </c>
      <c r="J73" s="353">
        <v>1819633.5830161101</v>
      </c>
      <c r="K73" s="353">
        <v>1793823.1775832581</v>
      </c>
      <c r="L73" s="353">
        <v>1726716.1234578413</v>
      </c>
      <c r="M73" s="353">
        <v>1659609.0693324246</v>
      </c>
      <c r="N73" s="353">
        <v>1592502.0152070075</v>
      </c>
      <c r="O73" s="353">
        <v>1525394.961081591</v>
      </c>
      <c r="P73" s="353">
        <v>1458287.9069561744</v>
      </c>
      <c r="Q73" s="353">
        <v>1454123.6203952485</v>
      </c>
      <c r="R73" s="353">
        <v>1449959.3338343236</v>
      </c>
      <c r="S73" s="353">
        <v>1445795.0472733981</v>
      </c>
      <c r="T73" s="353">
        <v>1441630.7607124727</v>
      </c>
      <c r="U73" s="353">
        <v>1437466.4741515475</v>
      </c>
      <c r="V73" s="353">
        <v>1433302.1875906223</v>
      </c>
      <c r="W73" s="353">
        <v>1429137.9010296965</v>
      </c>
      <c r="X73" s="353">
        <v>1424973.6144687713</v>
      </c>
      <c r="Y73" s="353">
        <v>1420809.3279078463</v>
      </c>
      <c r="Z73" s="353">
        <v>1416645.0413469207</v>
      </c>
      <c r="AA73" s="353">
        <v>1412480.7547859955</v>
      </c>
      <c r="AB73" s="353">
        <v>1408316.4682250703</v>
      </c>
      <c r="AC73" s="353">
        <v>1404152.1816641446</v>
      </c>
      <c r="AD73" s="353">
        <v>1399987.8951032197</v>
      </c>
      <c r="AE73" s="353">
        <v>1395823.6085422942</v>
      </c>
      <c r="AF73" s="353">
        <v>1391659.3219813693</v>
      </c>
      <c r="AG73" s="353">
        <v>1387495.0354204434</v>
      </c>
      <c r="AH73" s="353">
        <v>1383330.7488595182</v>
      </c>
      <c r="AI73" s="353">
        <v>1379166.4622985928</v>
      </c>
      <c r="AJ73" s="353">
        <v>1375002.1757376664</v>
      </c>
      <c r="AP73" s="258"/>
      <c r="AQ73" s="258"/>
      <c r="AR73" s="258"/>
      <c r="AS73" s="258"/>
      <c r="AT73" s="258"/>
      <c r="AU73" s="258"/>
      <c r="AV73" s="258"/>
      <c r="AW73" s="258"/>
      <c r="AX73" s="258"/>
      <c r="AY73" s="258"/>
      <c r="AZ73" s="258"/>
      <c r="BA73" s="258"/>
      <c r="BB73" s="258"/>
      <c r="BC73" s="258"/>
      <c r="BD73" s="258"/>
      <c r="BE73" s="258"/>
      <c r="BF73" s="258"/>
      <c r="BG73" s="258"/>
      <c r="BH73" s="258"/>
      <c r="BI73" s="258"/>
      <c r="BJ73" s="258"/>
      <c r="BK73" s="258"/>
      <c r="BL73" s="258"/>
      <c r="BM73" s="258"/>
      <c r="BN73" s="258"/>
      <c r="BO73" s="258"/>
      <c r="BP73" s="258"/>
      <c r="BQ73" s="258"/>
      <c r="BR73" s="258"/>
      <c r="BS73" s="258"/>
      <c r="BT73" s="258"/>
      <c r="BU73" s="258"/>
      <c r="BV73" s="258"/>
    </row>
    <row r="74" spans="1:74" x14ac:dyDescent="0.25">
      <c r="B74" s="640"/>
      <c r="D74" s="610"/>
      <c r="E74" s="351" t="s">
        <v>274</v>
      </c>
      <c r="F74" s="352" t="s">
        <v>233</v>
      </c>
      <c r="G74" s="353">
        <v>1720548.1886094243</v>
      </c>
      <c r="H74" s="353">
        <v>2059390.7265389762</v>
      </c>
      <c r="I74" s="353">
        <v>1481521.2279117606</v>
      </c>
      <c r="J74" s="353">
        <v>1398356.3165771933</v>
      </c>
      <c r="K74" s="353">
        <v>1327207.0715067289</v>
      </c>
      <c r="L74" s="353">
        <v>1279387.6842901111</v>
      </c>
      <c r="M74" s="353">
        <v>1231568.2970734928</v>
      </c>
      <c r="N74" s="353">
        <v>1183748.9098568745</v>
      </c>
      <c r="O74" s="353">
        <v>1135929.5226402567</v>
      </c>
      <c r="P74" s="353">
        <v>1088110.1354236384</v>
      </c>
      <c r="Q74" s="353">
        <v>1067648.1262469597</v>
      </c>
      <c r="R74" s="353">
        <v>1047186.1170702802</v>
      </c>
      <c r="S74" s="353">
        <v>1026724.1078936015</v>
      </c>
      <c r="T74" s="353">
        <v>1006262.0987169227</v>
      </c>
      <c r="U74" s="353">
        <v>985800.08954024373</v>
      </c>
      <c r="V74" s="353">
        <v>965338.08036356501</v>
      </c>
      <c r="W74" s="353">
        <v>944876.07118688617</v>
      </c>
      <c r="X74" s="353">
        <v>924414.06201020721</v>
      </c>
      <c r="Y74" s="353">
        <v>903952.05283352849</v>
      </c>
      <c r="Z74" s="353">
        <v>883490.04365684965</v>
      </c>
      <c r="AA74" s="353">
        <v>863028.03448017093</v>
      </c>
      <c r="AB74" s="353">
        <v>842566.02530349197</v>
      </c>
      <c r="AC74" s="353">
        <v>822104.01612681325</v>
      </c>
      <c r="AD74" s="353">
        <v>801642.00695013441</v>
      </c>
      <c r="AE74" s="353">
        <v>781179.99777345546</v>
      </c>
      <c r="AF74" s="353">
        <v>760717.9885967765</v>
      </c>
      <c r="AG74" s="353">
        <v>740255.97942009778</v>
      </c>
      <c r="AH74" s="353">
        <v>719793.97024341894</v>
      </c>
      <c r="AI74" s="353">
        <v>699331.9610667401</v>
      </c>
      <c r="AJ74" s="353">
        <v>678869.95189006079</v>
      </c>
      <c r="AP74" s="258"/>
      <c r="AQ74" s="258"/>
      <c r="AR74" s="258"/>
      <c r="AS74" s="258"/>
      <c r="AT74" s="258"/>
      <c r="AU74" s="258"/>
      <c r="AV74" s="258"/>
      <c r="AW74" s="258"/>
      <c r="AX74" s="258"/>
      <c r="AY74" s="258"/>
      <c r="AZ74" s="258"/>
      <c r="BA74" s="258"/>
      <c r="BB74" s="258"/>
      <c r="BC74" s="258"/>
      <c r="BD74" s="258"/>
      <c r="BE74" s="258"/>
      <c r="BF74" s="258"/>
      <c r="BG74" s="258"/>
      <c r="BH74" s="258"/>
      <c r="BI74" s="258"/>
      <c r="BJ74" s="258"/>
      <c r="BK74" s="258"/>
      <c r="BL74" s="258"/>
      <c r="BM74" s="258"/>
      <c r="BN74" s="258"/>
      <c r="BO74" s="258"/>
      <c r="BP74" s="258"/>
      <c r="BQ74" s="258"/>
      <c r="BR74" s="258"/>
      <c r="BS74" s="258"/>
      <c r="BT74" s="258"/>
      <c r="BU74" s="258"/>
      <c r="BV74" s="258"/>
    </row>
    <row r="75" spans="1:74" x14ac:dyDescent="0.25">
      <c r="B75" s="640"/>
      <c r="D75" s="610"/>
      <c r="E75" s="351" t="s">
        <v>274</v>
      </c>
      <c r="F75" s="352" t="s">
        <v>232</v>
      </c>
      <c r="G75" s="353">
        <v>1720548.1886094243</v>
      </c>
      <c r="H75" s="353">
        <v>2059390.7265389762</v>
      </c>
      <c r="I75" s="353">
        <v>1896959.9186352233</v>
      </c>
      <c r="J75" s="353">
        <v>1746752.8772999067</v>
      </c>
      <c r="K75" s="353">
        <v>1668361.9675866424</v>
      </c>
      <c r="L75" s="353">
        <v>1594865.9136938325</v>
      </c>
      <c r="M75" s="353">
        <v>1526244.3666438833</v>
      </c>
      <c r="N75" s="353">
        <v>1462769.5029764364</v>
      </c>
      <c r="O75" s="353">
        <v>1405325.5345793418</v>
      </c>
      <c r="P75" s="353">
        <v>1351442.3025948415</v>
      </c>
      <c r="Q75" s="353">
        <v>1334549.273812406</v>
      </c>
      <c r="R75" s="353">
        <v>1317656.2450299703</v>
      </c>
      <c r="S75" s="353">
        <v>1300763.2162475348</v>
      </c>
      <c r="T75" s="353">
        <v>1283870.1874650996</v>
      </c>
      <c r="U75" s="353">
        <v>1266977.1586826637</v>
      </c>
      <c r="V75" s="353">
        <v>1250084.1299002285</v>
      </c>
      <c r="W75" s="353">
        <v>1233191.1011177935</v>
      </c>
      <c r="X75" s="353">
        <v>1216298.0723353578</v>
      </c>
      <c r="Y75" s="353">
        <v>1199405.0435529223</v>
      </c>
      <c r="Z75" s="353">
        <v>1182512.0147704869</v>
      </c>
      <c r="AA75" s="353">
        <v>1165618.9859880512</v>
      </c>
      <c r="AB75" s="353">
        <v>1148725.9572056157</v>
      </c>
      <c r="AC75" s="353">
        <v>1131832.9284231805</v>
      </c>
      <c r="AD75" s="353">
        <v>1114939.899640745</v>
      </c>
      <c r="AE75" s="353">
        <v>1098046.8708583098</v>
      </c>
      <c r="AF75" s="353">
        <v>1081153.8420758741</v>
      </c>
      <c r="AG75" s="353">
        <v>1064260.8132934384</v>
      </c>
      <c r="AH75" s="353">
        <v>1047367.7845110032</v>
      </c>
      <c r="AI75" s="353">
        <v>1030474.7557285673</v>
      </c>
      <c r="AJ75" s="353">
        <v>1013581.7269461313</v>
      </c>
      <c r="AP75" s="258"/>
      <c r="AQ75" s="258"/>
      <c r="AR75" s="258"/>
      <c r="AS75" s="258"/>
      <c r="AT75" s="258"/>
      <c r="AU75" s="258"/>
      <c r="AV75" s="258"/>
      <c r="AW75" s="258"/>
      <c r="AX75" s="258"/>
      <c r="AY75" s="258"/>
      <c r="AZ75" s="258"/>
      <c r="BA75" s="258"/>
      <c r="BB75" s="258"/>
      <c r="BC75" s="258"/>
      <c r="BD75" s="258"/>
      <c r="BE75" s="258"/>
      <c r="BF75" s="258"/>
      <c r="BG75" s="258"/>
      <c r="BH75" s="258"/>
      <c r="BI75" s="258"/>
      <c r="BJ75" s="258"/>
      <c r="BK75" s="258"/>
      <c r="BL75" s="258"/>
      <c r="BM75" s="258"/>
      <c r="BN75" s="258"/>
      <c r="BO75" s="258"/>
      <c r="BP75" s="258"/>
      <c r="BQ75" s="258"/>
      <c r="BR75" s="258"/>
      <c r="BS75" s="258"/>
      <c r="BT75" s="258"/>
      <c r="BU75" s="258"/>
      <c r="BV75" s="258"/>
    </row>
    <row r="76" spans="1:74" x14ac:dyDescent="0.25">
      <c r="B76" s="640"/>
      <c r="D76" s="610"/>
      <c r="E76" s="351" t="s">
        <v>274</v>
      </c>
      <c r="F76" s="352" t="s">
        <v>194</v>
      </c>
      <c r="G76" s="353">
        <v>1720548.1886094243</v>
      </c>
      <c r="H76" s="353">
        <v>2059390.7265389762</v>
      </c>
      <c r="I76" s="353">
        <v>2135664.4571515303</v>
      </c>
      <c r="J76" s="353">
        <v>2150919.2032740409</v>
      </c>
      <c r="K76" s="353">
        <v>2120409.7110290197</v>
      </c>
      <c r="L76" s="353">
        <v>2041085.031191963</v>
      </c>
      <c r="M76" s="353">
        <v>1961760.3513549063</v>
      </c>
      <c r="N76" s="353">
        <v>1882435.6715178494</v>
      </c>
      <c r="O76" s="353">
        <v>1803110.9916807925</v>
      </c>
      <c r="P76" s="353">
        <v>1723786.3118437361</v>
      </c>
      <c r="Q76" s="353">
        <v>1718863.8681081217</v>
      </c>
      <c r="R76" s="353">
        <v>1713941.4243725082</v>
      </c>
      <c r="S76" s="353">
        <v>1709018.980636894</v>
      </c>
      <c r="T76" s="353">
        <v>1704096.5369012803</v>
      </c>
      <c r="U76" s="353">
        <v>1699174.0931656663</v>
      </c>
      <c r="V76" s="353">
        <v>1694251.6494300528</v>
      </c>
      <c r="W76" s="353">
        <v>1689329.2056944382</v>
      </c>
      <c r="X76" s="353">
        <v>1684406.7619588245</v>
      </c>
      <c r="Y76" s="353">
        <v>1679484.318223211</v>
      </c>
      <c r="Z76" s="353">
        <v>1674561.8744875966</v>
      </c>
      <c r="AA76" s="353">
        <v>1669639.4307519831</v>
      </c>
      <c r="AB76" s="353">
        <v>1664716.9870163691</v>
      </c>
      <c r="AC76" s="353">
        <v>1659794.5432807552</v>
      </c>
      <c r="AD76" s="353">
        <v>1654872.0995451414</v>
      </c>
      <c r="AE76" s="353">
        <v>1649949.6558095277</v>
      </c>
      <c r="AF76" s="353">
        <v>1645027.212073914</v>
      </c>
      <c r="AG76" s="353">
        <v>1640104.7683382996</v>
      </c>
      <c r="AH76" s="353">
        <v>1635182.3246026859</v>
      </c>
      <c r="AI76" s="353">
        <v>1630259.8808670719</v>
      </c>
      <c r="AJ76" s="353">
        <v>1625337.4371314566</v>
      </c>
      <c r="AP76" s="258"/>
      <c r="AQ76" s="258"/>
      <c r="AR76" s="258"/>
      <c r="AS76" s="258"/>
      <c r="AT76" s="258"/>
      <c r="AU76" s="258"/>
      <c r="AV76" s="258"/>
      <c r="AW76" s="258"/>
      <c r="AX76" s="258"/>
      <c r="AY76" s="258"/>
      <c r="AZ76" s="258"/>
      <c r="BA76" s="258"/>
      <c r="BB76" s="258"/>
      <c r="BC76" s="258"/>
      <c r="BD76" s="258"/>
      <c r="BE76" s="258"/>
      <c r="BF76" s="258"/>
      <c r="BG76" s="258"/>
      <c r="BH76" s="258"/>
      <c r="BI76" s="258"/>
      <c r="BJ76" s="258"/>
      <c r="BK76" s="258"/>
      <c r="BL76" s="258"/>
      <c r="BM76" s="258"/>
      <c r="BN76" s="258"/>
      <c r="BO76" s="258"/>
      <c r="BP76" s="258"/>
      <c r="BQ76" s="258"/>
      <c r="BR76" s="258"/>
      <c r="BS76" s="258"/>
      <c r="BT76" s="258"/>
      <c r="BU76" s="258"/>
      <c r="BV76" s="258"/>
    </row>
    <row r="77" spans="1:74" x14ac:dyDescent="0.25">
      <c r="B77" s="640"/>
      <c r="D77" s="246"/>
      <c r="E77" s="354"/>
      <c r="F77" s="354"/>
      <c r="G77" s="258"/>
      <c r="H77" s="258"/>
      <c r="I77" s="258"/>
      <c r="J77" s="258"/>
      <c r="K77" s="258"/>
      <c r="L77" s="258"/>
      <c r="M77" s="258"/>
      <c r="N77" s="258"/>
      <c r="O77" s="258"/>
      <c r="P77" s="258"/>
      <c r="Q77" s="258"/>
      <c r="R77" s="258"/>
      <c r="S77" s="258"/>
      <c r="T77" s="258"/>
      <c r="U77" s="258"/>
      <c r="V77" s="258"/>
      <c r="W77" s="258"/>
      <c r="X77" s="258"/>
      <c r="Y77" s="258"/>
      <c r="Z77" s="258"/>
      <c r="AA77" s="258"/>
      <c r="AB77" s="258"/>
      <c r="AC77" s="258"/>
      <c r="AD77" s="258"/>
      <c r="AE77" s="258"/>
      <c r="AF77" s="258"/>
      <c r="AG77" s="258"/>
      <c r="AH77" s="258"/>
      <c r="AI77" s="258"/>
      <c r="AJ77" s="258"/>
      <c r="AP77" s="258"/>
      <c r="AQ77" s="258"/>
      <c r="AR77" s="258"/>
      <c r="AS77" s="258"/>
      <c r="AT77" s="258"/>
      <c r="AU77" s="258"/>
      <c r="AV77" s="258"/>
      <c r="AW77" s="258"/>
      <c r="AX77" s="258"/>
      <c r="AY77" s="258"/>
      <c r="AZ77" s="258"/>
      <c r="BA77" s="258"/>
      <c r="BB77" s="258"/>
      <c r="BC77" s="258"/>
      <c r="BD77" s="258"/>
      <c r="BE77" s="258"/>
      <c r="BF77" s="258"/>
      <c r="BG77" s="258"/>
      <c r="BH77" s="258"/>
      <c r="BI77" s="258"/>
      <c r="BJ77" s="258"/>
      <c r="BK77" s="258"/>
      <c r="BL77" s="258"/>
      <c r="BM77" s="258"/>
      <c r="BN77" s="258"/>
      <c r="BO77" s="258"/>
      <c r="BP77" s="258"/>
      <c r="BQ77" s="258"/>
      <c r="BR77" s="258"/>
      <c r="BS77" s="258"/>
      <c r="BT77" s="258"/>
      <c r="BU77" s="258"/>
      <c r="BV77" s="258"/>
    </row>
    <row r="78" spans="1:74" x14ac:dyDescent="0.25">
      <c r="B78" s="640"/>
      <c r="D78" s="355"/>
      <c r="E78" s="354"/>
      <c r="F78" s="354"/>
      <c r="G78" s="31">
        <v>2021</v>
      </c>
      <c r="H78" s="31">
        <v>2022</v>
      </c>
      <c r="I78" s="31">
        <v>2023</v>
      </c>
      <c r="J78" s="31">
        <v>2024</v>
      </c>
      <c r="K78" s="31">
        <v>2025</v>
      </c>
      <c r="L78" s="31">
        <v>2026</v>
      </c>
      <c r="M78" s="31">
        <v>2027</v>
      </c>
      <c r="N78" s="31">
        <v>2028</v>
      </c>
      <c r="O78" s="31">
        <v>2029</v>
      </c>
      <c r="P78" s="31">
        <v>2030</v>
      </c>
      <c r="Q78" s="31">
        <v>2031</v>
      </c>
      <c r="R78" s="31">
        <v>2032</v>
      </c>
      <c r="S78" s="31">
        <v>2033</v>
      </c>
      <c r="T78" s="31">
        <v>2034</v>
      </c>
      <c r="U78" s="31">
        <v>2035</v>
      </c>
      <c r="V78" s="31">
        <v>2036</v>
      </c>
      <c r="W78" s="31">
        <v>2037</v>
      </c>
      <c r="X78" s="31">
        <v>2038</v>
      </c>
      <c r="Y78" s="31">
        <v>2039</v>
      </c>
      <c r="Z78" s="31">
        <v>2040</v>
      </c>
      <c r="AA78" s="31">
        <v>2041</v>
      </c>
      <c r="AB78" s="31">
        <v>2042</v>
      </c>
      <c r="AC78" s="31">
        <v>2043</v>
      </c>
      <c r="AD78" s="31">
        <v>2044</v>
      </c>
      <c r="AE78" s="31">
        <v>2045</v>
      </c>
      <c r="AF78" s="31">
        <v>2046</v>
      </c>
      <c r="AG78" s="31">
        <v>2047</v>
      </c>
      <c r="AH78" s="31">
        <v>2048</v>
      </c>
      <c r="AI78" s="31">
        <v>2049</v>
      </c>
      <c r="AJ78" s="31">
        <v>2050</v>
      </c>
    </row>
    <row r="79" spans="1:74" x14ac:dyDescent="0.25">
      <c r="A79" s="325" t="str">
        <f t="shared" ref="A79:A93" si="1">$D$79&amp;"_"&amp;E79&amp;"_"&amp;F79</f>
        <v>Fixed Operation and Maintenance Expenses ($/kW-yr)_Commercial Battery Storage 1Hr_Advanced</v>
      </c>
      <c r="B79" s="640"/>
      <c r="D79" s="608" t="s">
        <v>136</v>
      </c>
      <c r="E79" s="351" t="s">
        <v>277</v>
      </c>
      <c r="F79" s="352" t="s">
        <v>233</v>
      </c>
      <c r="G79" s="353">
        <v>30.630493761181341</v>
      </c>
      <c r="H79" s="353">
        <v>39.551311131833138</v>
      </c>
      <c r="I79" s="353">
        <v>28.45312755779495</v>
      </c>
      <c r="J79" s="353">
        <v>26.855916673499692</v>
      </c>
      <c r="K79" s="353">
        <v>25.489470815356832</v>
      </c>
      <c r="L79" s="353">
        <v>24.571082945796682</v>
      </c>
      <c r="M79" s="353">
        <v>23.652695076236533</v>
      </c>
      <c r="N79" s="353">
        <v>22.734307206676373</v>
      </c>
      <c r="O79" s="353">
        <v>21.815919337116238</v>
      </c>
      <c r="P79" s="353">
        <v>20.897531467556067</v>
      </c>
      <c r="Q79" s="353">
        <v>20.504551504647637</v>
      </c>
      <c r="R79" s="353">
        <v>20.111571541739195</v>
      </c>
      <c r="S79" s="353">
        <v>19.718591578830775</v>
      </c>
      <c r="T79" s="353">
        <v>19.325611615922345</v>
      </c>
      <c r="U79" s="353">
        <v>18.932631653013907</v>
      </c>
      <c r="V79" s="353">
        <v>18.539651690105483</v>
      </c>
      <c r="W79" s="353">
        <v>18.146671727197056</v>
      </c>
      <c r="X79" s="353">
        <v>17.753691764288629</v>
      </c>
      <c r="Y79" s="353">
        <v>17.360711801380202</v>
      </c>
      <c r="Z79" s="353">
        <v>16.967731838471774</v>
      </c>
      <c r="AA79" s="353">
        <v>16.574751875563344</v>
      </c>
      <c r="AB79" s="353">
        <v>16.181771912654909</v>
      </c>
      <c r="AC79" s="353">
        <v>15.78879194974648</v>
      </c>
      <c r="AD79" s="353">
        <v>15.395811986838053</v>
      </c>
      <c r="AE79" s="353">
        <v>15.002832023929617</v>
      </c>
      <c r="AF79" s="353">
        <v>14.609852061021193</v>
      </c>
      <c r="AG79" s="353">
        <v>14.216872098112759</v>
      </c>
      <c r="AH79" s="353">
        <v>13.823892135204336</v>
      </c>
      <c r="AI79" s="353">
        <v>13.430912172295908</v>
      </c>
      <c r="AJ79" s="353">
        <v>13.037932209387471</v>
      </c>
    </row>
    <row r="80" spans="1:74" x14ac:dyDescent="0.25">
      <c r="A80" s="325" t="str">
        <f t="shared" si="1"/>
        <v>Fixed Operation and Maintenance Expenses ($/kW-yr)_Commercial Battery Storage 1Hr_Moderate</v>
      </c>
      <c r="B80" s="640"/>
      <c r="D80" s="609"/>
      <c r="E80" s="354" t="s">
        <v>277</v>
      </c>
      <c r="F80" s="352" t="s">
        <v>232</v>
      </c>
      <c r="G80" s="353">
        <v>30.630493761181341</v>
      </c>
      <c r="H80" s="353">
        <v>39.551311131833138</v>
      </c>
      <c r="I80" s="353">
        <v>36.819209365419681</v>
      </c>
      <c r="J80" s="353">
        <v>34.427761227098927</v>
      </c>
      <c r="K80" s="353">
        <v>32.989527827612612</v>
      </c>
      <c r="L80" s="353">
        <v>31.928442436983676</v>
      </c>
      <c r="M80" s="353">
        <v>30.894812219712378</v>
      </c>
      <c r="N80" s="353">
        <v>29.928905686739139</v>
      </c>
      <c r="O80" s="353">
        <v>29.052401303232877</v>
      </c>
      <c r="P80" s="353">
        <v>28.201273109513551</v>
      </c>
      <c r="Q80" s="353">
        <v>27.848757195644637</v>
      </c>
      <c r="R80" s="353">
        <v>27.49624128177571</v>
      </c>
      <c r="S80" s="353">
        <v>27.143725367906804</v>
      </c>
      <c r="T80" s="353">
        <v>26.791209454037894</v>
      </c>
      <c r="U80" s="353">
        <v>26.438693540168956</v>
      </c>
      <c r="V80" s="353">
        <v>26.086177626300042</v>
      </c>
      <c r="W80" s="353">
        <v>25.733661712431132</v>
      </c>
      <c r="X80" s="353">
        <v>25.381145798562201</v>
      </c>
      <c r="Y80" s="353">
        <v>25.028629884693299</v>
      </c>
      <c r="Z80" s="353">
        <v>24.676113970824382</v>
      </c>
      <c r="AA80" s="353">
        <v>24.323598056955447</v>
      </c>
      <c r="AB80" s="353">
        <v>23.971082143086534</v>
      </c>
      <c r="AC80" s="353">
        <v>23.61856622921762</v>
      </c>
      <c r="AD80" s="353">
        <v>23.266050315348707</v>
      </c>
      <c r="AE80" s="353">
        <v>22.913534401479794</v>
      </c>
      <c r="AF80" s="353">
        <v>22.561018487610877</v>
      </c>
      <c r="AG80" s="353">
        <v>22.208502573741953</v>
      </c>
      <c r="AH80" s="353">
        <v>21.855986659873032</v>
      </c>
      <c r="AI80" s="353">
        <v>21.503470746004098</v>
      </c>
      <c r="AJ80" s="353">
        <v>21.15095483213517</v>
      </c>
    </row>
    <row r="81" spans="1:74" x14ac:dyDescent="0.25">
      <c r="A81" s="325" t="str">
        <f t="shared" si="1"/>
        <v>Fixed Operation and Maintenance Expenses ($/kW-yr)_Commercial Battery Storage 1Hr_Conservative</v>
      </c>
      <c r="B81" s="640"/>
      <c r="D81" s="609"/>
      <c r="E81" s="404" t="s">
        <v>277</v>
      </c>
      <c r="F81" s="352" t="s">
        <v>194</v>
      </c>
      <c r="G81" s="353">
        <v>30.630493761181341</v>
      </c>
      <c r="H81" s="353">
        <v>39.551311131833138</v>
      </c>
      <c r="I81" s="353">
        <v>41.016174507086205</v>
      </c>
      <c r="J81" s="353">
        <v>41.309147182136826</v>
      </c>
      <c r="K81" s="353">
        <v>40.723201832035585</v>
      </c>
      <c r="L81" s="353">
        <v>39.199743921772409</v>
      </c>
      <c r="M81" s="353">
        <v>37.676286011509184</v>
      </c>
      <c r="N81" s="353">
        <v>36.152828101245973</v>
      </c>
      <c r="O81" s="353">
        <v>34.62937019098279</v>
      </c>
      <c r="P81" s="353">
        <v>33.105912280719593</v>
      </c>
      <c r="Q81" s="353">
        <v>33.011375046377744</v>
      </c>
      <c r="R81" s="353">
        <v>32.916837812035929</v>
      </c>
      <c r="S81" s="353">
        <v>32.822300577694101</v>
      </c>
      <c r="T81" s="353">
        <v>32.727763343352265</v>
      </c>
      <c r="U81" s="353">
        <v>32.633226109010444</v>
      </c>
      <c r="V81" s="353">
        <v>32.538688874668615</v>
      </c>
      <c r="W81" s="353">
        <v>32.444151640326758</v>
      </c>
      <c r="X81" s="353">
        <v>32.349614405984923</v>
      </c>
      <c r="Y81" s="353">
        <v>32.255077171643116</v>
      </c>
      <c r="Z81" s="353">
        <v>32.160539937301273</v>
      </c>
      <c r="AA81" s="353">
        <v>32.066002702959445</v>
      </c>
      <c r="AB81" s="353">
        <v>31.971465468617613</v>
      </c>
      <c r="AC81" s="353">
        <v>31.876928234275795</v>
      </c>
      <c r="AD81" s="353">
        <v>31.782390999933956</v>
      </c>
      <c r="AE81" s="353">
        <v>31.687853765592134</v>
      </c>
      <c r="AF81" s="353">
        <v>31.593316531250306</v>
      </c>
      <c r="AG81" s="353">
        <v>31.498779296908452</v>
      </c>
      <c r="AH81" s="353">
        <v>31.404242062566638</v>
      </c>
      <c r="AI81" s="353">
        <v>31.30970482822481</v>
      </c>
      <c r="AJ81" s="353">
        <v>31.215167593882938</v>
      </c>
    </row>
    <row r="82" spans="1:74" x14ac:dyDescent="0.25">
      <c r="A82" s="325" t="str">
        <f t="shared" si="1"/>
        <v>Fixed Operation and Maintenance Expenses ($/kW-yr)_Commercial Battery Storage 2Hr_Advanced</v>
      </c>
      <c r="B82" s="640"/>
      <c r="D82" s="610"/>
      <c r="E82" s="351" t="s">
        <v>276</v>
      </c>
      <c r="F82" s="352" t="s">
        <v>233</v>
      </c>
      <c r="G82" s="353">
        <v>36.496067203687716</v>
      </c>
      <c r="H82" s="353">
        <v>46.159401961446122</v>
      </c>
      <c r="I82" s="353">
        <v>33.206973787108531</v>
      </c>
      <c r="J82" s="353">
        <v>31.342906652149694</v>
      </c>
      <c r="K82" s="353">
        <v>29.748159934036387</v>
      </c>
      <c r="L82" s="353">
        <v>28.676331121933533</v>
      </c>
      <c r="M82" s="353">
        <v>27.604502309830675</v>
      </c>
      <c r="N82" s="353">
        <v>26.53267349772781</v>
      </c>
      <c r="O82" s="353">
        <v>25.460844685624966</v>
      </c>
      <c r="P82" s="353">
        <v>24.389015873522091</v>
      </c>
      <c r="Q82" s="353">
        <v>23.930378231644166</v>
      </c>
      <c r="R82" s="353">
        <v>23.471740589766217</v>
      </c>
      <c r="S82" s="353">
        <v>23.013102947888296</v>
      </c>
      <c r="T82" s="353">
        <v>22.554465306010361</v>
      </c>
      <c r="U82" s="353">
        <v>22.095827664132422</v>
      </c>
      <c r="V82" s="353">
        <v>21.637190022254494</v>
      </c>
      <c r="W82" s="353">
        <v>21.178552380376562</v>
      </c>
      <c r="X82" s="353">
        <v>20.719914738498634</v>
      </c>
      <c r="Y82" s="353">
        <v>20.261277096620699</v>
      </c>
      <c r="Z82" s="353">
        <v>19.802639454742771</v>
      </c>
      <c r="AA82" s="353">
        <v>19.344001812864835</v>
      </c>
      <c r="AB82" s="353">
        <v>18.8853641709869</v>
      </c>
      <c r="AC82" s="353">
        <v>18.426726529108969</v>
      </c>
      <c r="AD82" s="353">
        <v>17.968088887231037</v>
      </c>
      <c r="AE82" s="353">
        <v>17.509451245353098</v>
      </c>
      <c r="AF82" s="353">
        <v>17.05081360347517</v>
      </c>
      <c r="AG82" s="353">
        <v>16.592175961597231</v>
      </c>
      <c r="AH82" s="353">
        <v>16.133538319719307</v>
      </c>
      <c r="AI82" s="353">
        <v>15.674900677841373</v>
      </c>
      <c r="AJ82" s="353">
        <v>15.216263035963431</v>
      </c>
    </row>
    <row r="83" spans="1:74" x14ac:dyDescent="0.25">
      <c r="A83" s="325" t="str">
        <f t="shared" si="1"/>
        <v>Fixed Operation and Maintenance Expenses ($/kW-yr)_Commercial Battery Storage 2Hr_Moderate</v>
      </c>
      <c r="B83" s="640"/>
      <c r="D83" s="610"/>
      <c r="E83" s="351" t="s">
        <v>276</v>
      </c>
      <c r="F83" s="352" t="s">
        <v>232</v>
      </c>
      <c r="G83" s="353">
        <v>36.496067203687716</v>
      </c>
      <c r="H83" s="353">
        <v>46.159401961446122</v>
      </c>
      <c r="I83" s="353">
        <v>42.850750400331293</v>
      </c>
      <c r="J83" s="353">
        <v>39.906848178584241</v>
      </c>
      <c r="K83" s="353">
        <v>38.207464135493204</v>
      </c>
      <c r="L83" s="353">
        <v>36.860485860830245</v>
      </c>
      <c r="M83" s="353">
        <v>35.566055513586107</v>
      </c>
      <c r="N83" s="353">
        <v>34.360309058731382</v>
      </c>
      <c r="O83" s="353">
        <v>33.267091203838554</v>
      </c>
      <c r="P83" s="353">
        <v>32.216819228361864</v>
      </c>
      <c r="Q83" s="353">
        <v>31.814108988007344</v>
      </c>
      <c r="R83" s="353">
        <v>31.411398747652818</v>
      </c>
      <c r="S83" s="353">
        <v>31.008688507298299</v>
      </c>
      <c r="T83" s="353">
        <v>30.605978266943783</v>
      </c>
      <c r="U83" s="353">
        <v>30.203268026589242</v>
      </c>
      <c r="V83" s="353">
        <v>29.800557786234727</v>
      </c>
      <c r="W83" s="353">
        <v>29.397847545880211</v>
      </c>
      <c r="X83" s="353">
        <v>28.995137305525674</v>
      </c>
      <c r="Y83" s="353">
        <v>28.592427065171165</v>
      </c>
      <c r="Z83" s="353">
        <v>28.189716824816657</v>
      </c>
      <c r="AA83" s="353">
        <v>27.787006584462116</v>
      </c>
      <c r="AB83" s="353">
        <v>27.3842963441076</v>
      </c>
      <c r="AC83" s="353">
        <v>26.981586103753081</v>
      </c>
      <c r="AD83" s="353">
        <v>26.578875863398562</v>
      </c>
      <c r="AE83" s="353">
        <v>26.176165623044046</v>
      </c>
      <c r="AF83" s="353">
        <v>25.773455382689527</v>
      </c>
      <c r="AG83" s="353">
        <v>25.370745142334997</v>
      </c>
      <c r="AH83" s="353">
        <v>24.968034901980477</v>
      </c>
      <c r="AI83" s="353">
        <v>24.565324661625937</v>
      </c>
      <c r="AJ83" s="353">
        <v>24.1626144212714</v>
      </c>
    </row>
    <row r="84" spans="1:74" x14ac:dyDescent="0.25">
      <c r="A84" s="325" t="str">
        <f t="shared" si="1"/>
        <v>Fixed Operation and Maintenance Expenses ($/kW-yr)_Commercial Battery Storage 2Hr_Conservative</v>
      </c>
      <c r="B84" s="640"/>
      <c r="D84" s="610"/>
      <c r="E84" s="351" t="s">
        <v>276</v>
      </c>
      <c r="F84" s="352" t="s">
        <v>194</v>
      </c>
      <c r="G84" s="353">
        <v>36.496067203687716</v>
      </c>
      <c r="H84" s="353">
        <v>46.159401961446122</v>
      </c>
      <c r="I84" s="353">
        <v>47.869009441499671</v>
      </c>
      <c r="J84" s="353">
        <v>48.210930937510369</v>
      </c>
      <c r="K84" s="353">
        <v>47.527087945488944</v>
      </c>
      <c r="L84" s="353">
        <v>45.749096166233265</v>
      </c>
      <c r="M84" s="353">
        <v>43.971104386977551</v>
      </c>
      <c r="N84" s="353">
        <v>42.193112607721844</v>
      </c>
      <c r="O84" s="353">
        <v>40.415120828466165</v>
      </c>
      <c r="P84" s="353">
        <v>38.637129049210465</v>
      </c>
      <c r="Q84" s="353">
        <v>38.526796873729268</v>
      </c>
      <c r="R84" s="353">
        <v>38.416464698248113</v>
      </c>
      <c r="S84" s="353">
        <v>38.306132522766937</v>
      </c>
      <c r="T84" s="353">
        <v>38.195800347285754</v>
      </c>
      <c r="U84" s="353">
        <v>38.085468171804585</v>
      </c>
      <c r="V84" s="353">
        <v>37.975135996323409</v>
      </c>
      <c r="W84" s="353">
        <v>37.864803820842212</v>
      </c>
      <c r="X84" s="353">
        <v>37.754471645361036</v>
      </c>
      <c r="Y84" s="353">
        <v>37.644139469879882</v>
      </c>
      <c r="Z84" s="353">
        <v>37.533807294398692</v>
      </c>
      <c r="AA84" s="353">
        <v>37.423475118917516</v>
      </c>
      <c r="AB84" s="353">
        <v>37.313142943436347</v>
      </c>
      <c r="AC84" s="353">
        <v>37.202810767955178</v>
      </c>
      <c r="AD84" s="353">
        <v>37.092478592473995</v>
      </c>
      <c r="AE84" s="353">
        <v>36.982146416992826</v>
      </c>
      <c r="AF84" s="353">
        <v>36.87181424151165</v>
      </c>
      <c r="AG84" s="353">
        <v>36.76148206603046</v>
      </c>
      <c r="AH84" s="353">
        <v>36.651149890549299</v>
      </c>
      <c r="AI84" s="353">
        <v>36.540817715068123</v>
      </c>
      <c r="AJ84" s="353">
        <v>36.430485539586904</v>
      </c>
    </row>
    <row r="85" spans="1:74" x14ac:dyDescent="0.25">
      <c r="A85" s="325" t="str">
        <f t="shared" si="1"/>
        <v>Fixed Operation and Maintenance Expenses ($/kW-yr)_Commercial Battery Storage 4Hr_Advanced</v>
      </c>
      <c r="B85" s="640"/>
      <c r="D85" s="610"/>
      <c r="E85" s="351" t="s">
        <v>146</v>
      </c>
      <c r="F85" s="352" t="s">
        <v>233</v>
      </c>
      <c r="G85" s="353">
        <v>48.227214088700492</v>
      </c>
      <c r="H85" s="353">
        <v>59.375583620672082</v>
      </c>
      <c r="I85" s="353">
        <v>42.7146662457357</v>
      </c>
      <c r="J85" s="353">
        <v>40.316886609449703</v>
      </c>
      <c r="K85" s="353">
        <v>38.265538171395498</v>
      </c>
      <c r="L85" s="353">
        <v>36.88682747420723</v>
      </c>
      <c r="M85" s="353">
        <v>35.508116777018962</v>
      </c>
      <c r="N85" s="353">
        <v>34.129406079830687</v>
      </c>
      <c r="O85" s="353">
        <v>32.750695382642434</v>
      </c>
      <c r="P85" s="353">
        <v>31.371984685454152</v>
      </c>
      <c r="Q85" s="353">
        <v>30.782031685637214</v>
      </c>
      <c r="R85" s="353">
        <v>30.19207868582026</v>
      </c>
      <c r="S85" s="353">
        <v>29.602125686003326</v>
      </c>
      <c r="T85" s="353">
        <v>29.012172686186389</v>
      </c>
      <c r="U85" s="353">
        <v>28.422219686369449</v>
      </c>
      <c r="V85" s="353">
        <v>27.832266686552511</v>
      </c>
      <c r="W85" s="353">
        <v>27.242313686735571</v>
      </c>
      <c r="X85" s="353">
        <v>26.652360686918634</v>
      </c>
      <c r="Y85" s="353">
        <v>26.0624076871017</v>
      </c>
      <c r="Z85" s="353">
        <v>25.472454687284756</v>
      </c>
      <c r="AA85" s="353">
        <v>24.882501687467823</v>
      </c>
      <c r="AB85" s="353">
        <v>24.292548687650882</v>
      </c>
      <c r="AC85" s="353">
        <v>23.702595687833941</v>
      </c>
      <c r="AD85" s="353">
        <v>23.112642688017001</v>
      </c>
      <c r="AE85" s="353">
        <v>22.522689688200057</v>
      </c>
      <c r="AF85" s="353">
        <v>21.93273668838312</v>
      </c>
      <c r="AG85" s="353">
        <v>21.342783688566183</v>
      </c>
      <c r="AH85" s="353">
        <v>20.752830688749246</v>
      </c>
      <c r="AI85" s="353">
        <v>20.162877688932308</v>
      </c>
      <c r="AJ85" s="353">
        <v>19.572924689115354</v>
      </c>
    </row>
    <row r="86" spans="1:74" x14ac:dyDescent="0.25">
      <c r="A86" s="325" t="str">
        <f t="shared" si="1"/>
        <v>Fixed Operation and Maintenance Expenses ($/kW-yr)_Commercial Battery Storage 4Hr_Moderate</v>
      </c>
      <c r="B86" s="640"/>
      <c r="D86" s="610"/>
      <c r="E86" s="351" t="s">
        <v>146</v>
      </c>
      <c r="F86" s="352" t="s">
        <v>232</v>
      </c>
      <c r="G86" s="353">
        <v>48.227214088700492</v>
      </c>
      <c r="H86" s="353">
        <v>59.375583620672082</v>
      </c>
      <c r="I86" s="353">
        <v>54.913832470154517</v>
      </c>
      <c r="J86" s="353">
        <v>50.865022081554869</v>
      </c>
      <c r="K86" s="353">
        <v>48.643336751254395</v>
      </c>
      <c r="L86" s="353">
        <v>46.724572708523397</v>
      </c>
      <c r="M86" s="353">
        <v>44.908542101333559</v>
      </c>
      <c r="N86" s="353">
        <v>43.223115802715874</v>
      </c>
      <c r="O86" s="353">
        <v>41.696471005049894</v>
      </c>
      <c r="P86" s="353">
        <v>40.247911466058483</v>
      </c>
      <c r="Q86" s="353">
        <v>39.744812572732762</v>
      </c>
      <c r="R86" s="353">
        <v>39.241713679407013</v>
      </c>
      <c r="S86" s="353">
        <v>38.7386147860813</v>
      </c>
      <c r="T86" s="353">
        <v>38.235515892755579</v>
      </c>
      <c r="U86" s="353">
        <v>37.732416999429823</v>
      </c>
      <c r="V86" s="353">
        <v>37.22931810610411</v>
      </c>
      <c r="W86" s="353">
        <v>36.726219212778389</v>
      </c>
      <c r="X86" s="353">
        <v>36.22312031945264</v>
      </c>
      <c r="Y86" s="353">
        <v>35.720021426126927</v>
      </c>
      <c r="Z86" s="353">
        <v>35.216922532801199</v>
      </c>
      <c r="AA86" s="353">
        <v>34.713823639475457</v>
      </c>
      <c r="AB86" s="353">
        <v>34.210724746149722</v>
      </c>
      <c r="AC86" s="353">
        <v>33.707625852824002</v>
      </c>
      <c r="AD86" s="353">
        <v>33.204526959498274</v>
      </c>
      <c r="AE86" s="353">
        <v>32.701428066172561</v>
      </c>
      <c r="AF86" s="353">
        <v>32.198329172846819</v>
      </c>
      <c r="AG86" s="353">
        <v>31.695230279521088</v>
      </c>
      <c r="AH86" s="353">
        <v>31.19213138619536</v>
      </c>
      <c r="AI86" s="353">
        <v>30.689032492869611</v>
      </c>
      <c r="AJ86" s="353">
        <v>30.185933599543866</v>
      </c>
    </row>
    <row r="87" spans="1:74" x14ac:dyDescent="0.25">
      <c r="A87" s="325" t="str">
        <f t="shared" si="1"/>
        <v>Fixed Operation and Maintenance Expenses ($/kW-yr)_Commercial Battery Storage 4Hr_Conservative</v>
      </c>
      <c r="B87" s="640"/>
      <c r="D87" s="610"/>
      <c r="E87" s="351" t="s">
        <v>146</v>
      </c>
      <c r="F87" s="352" t="s">
        <v>194</v>
      </c>
      <c r="G87" s="353">
        <v>48.227214088700492</v>
      </c>
      <c r="H87" s="353">
        <v>59.375583620672082</v>
      </c>
      <c r="I87" s="353">
        <v>61.574679310326587</v>
      </c>
      <c r="J87" s="353">
        <v>62.014498448257484</v>
      </c>
      <c r="K87" s="353">
        <v>61.134860172395669</v>
      </c>
      <c r="L87" s="353">
        <v>58.847800655154998</v>
      </c>
      <c r="M87" s="353">
        <v>56.560741137914299</v>
      </c>
      <c r="N87" s="353">
        <v>54.273681620673585</v>
      </c>
      <c r="O87" s="353">
        <v>51.986622103432893</v>
      </c>
      <c r="P87" s="353">
        <v>49.699562586192201</v>
      </c>
      <c r="Q87" s="353">
        <v>49.557640528432309</v>
      </c>
      <c r="R87" s="353">
        <v>49.415718470672459</v>
      </c>
      <c r="S87" s="353">
        <v>49.273796412912596</v>
      </c>
      <c r="T87" s="353">
        <v>49.131874355152725</v>
      </c>
      <c r="U87" s="353">
        <v>48.989952297392868</v>
      </c>
      <c r="V87" s="353">
        <v>48.848030239633005</v>
      </c>
      <c r="W87" s="353">
        <v>48.706108181873127</v>
      </c>
      <c r="X87" s="353">
        <v>48.564186124113256</v>
      </c>
      <c r="Y87" s="353">
        <v>48.422264066353407</v>
      </c>
      <c r="Z87" s="353">
        <v>48.280342008593536</v>
      </c>
      <c r="AA87" s="353">
        <v>48.138419950833665</v>
      </c>
      <c r="AB87" s="353">
        <v>47.996497893073794</v>
      </c>
      <c r="AC87" s="353">
        <v>47.854575835313938</v>
      </c>
      <c r="AD87" s="353">
        <v>47.712653777554067</v>
      </c>
      <c r="AE87" s="353">
        <v>47.570731719794225</v>
      </c>
      <c r="AF87" s="353">
        <v>47.428809662034354</v>
      </c>
      <c r="AG87" s="353">
        <v>47.286887604274469</v>
      </c>
      <c r="AH87" s="353">
        <v>47.144965546514612</v>
      </c>
      <c r="AI87" s="353">
        <v>47.003043488754749</v>
      </c>
      <c r="AJ87" s="353">
        <v>46.861121430994828</v>
      </c>
    </row>
    <row r="88" spans="1:74" x14ac:dyDescent="0.25">
      <c r="A88" s="325" t="str">
        <f t="shared" si="1"/>
        <v>Fixed Operation and Maintenance Expenses ($/kW-yr)_Commercial Battery Storage 6Hr_Advanced</v>
      </c>
      <c r="B88" s="640"/>
      <c r="D88" s="610"/>
      <c r="E88" s="351" t="s">
        <v>275</v>
      </c>
      <c r="F88" s="352" t="s">
        <v>233</v>
      </c>
      <c r="G88" s="353">
        <v>59.958360973713255</v>
      </c>
      <c r="H88" s="353">
        <v>72.591765279898055</v>
      </c>
      <c r="I88" s="353">
        <v>52.222358704362868</v>
      </c>
      <c r="J88" s="353">
        <v>49.290866566749713</v>
      </c>
      <c r="K88" s="353">
        <v>46.782916408754602</v>
      </c>
      <c r="L88" s="353">
        <v>45.097323826480931</v>
      </c>
      <c r="M88" s="353">
        <v>43.411731244207253</v>
      </c>
      <c r="N88" s="353">
        <v>41.726138661933568</v>
      </c>
      <c r="O88" s="353">
        <v>40.04054607965989</v>
      </c>
      <c r="P88" s="353">
        <v>38.354953497386212</v>
      </c>
      <c r="Q88" s="353">
        <v>37.633685139630266</v>
      </c>
      <c r="R88" s="353">
        <v>36.912416781874292</v>
      </c>
      <c r="S88" s="353">
        <v>36.19114842411836</v>
      </c>
      <c r="T88" s="353">
        <v>35.469880066362414</v>
      </c>
      <c r="U88" s="353">
        <v>34.748611708606468</v>
      </c>
      <c r="V88" s="353">
        <v>34.027343350850529</v>
      </c>
      <c r="W88" s="353">
        <v>33.306074993094576</v>
      </c>
      <c r="X88" s="353">
        <v>32.584806635338644</v>
      </c>
      <c r="Y88" s="353">
        <v>31.863538277582695</v>
      </c>
      <c r="Z88" s="353">
        <v>31.142269919826749</v>
      </c>
      <c r="AA88" s="353">
        <v>30.421001562070803</v>
      </c>
      <c r="AB88" s="353">
        <v>29.699733204314857</v>
      </c>
      <c r="AC88" s="353">
        <v>28.978464846558911</v>
      </c>
      <c r="AD88" s="353">
        <v>28.257196488802965</v>
      </c>
      <c r="AE88" s="353">
        <v>27.535928131047019</v>
      </c>
      <c r="AF88" s="353">
        <v>26.814659773291073</v>
      </c>
      <c r="AG88" s="353">
        <v>26.093391415535123</v>
      </c>
      <c r="AH88" s="353">
        <v>25.372123057779184</v>
      </c>
      <c r="AI88" s="353">
        <v>24.650854700023242</v>
      </c>
      <c r="AJ88" s="353">
        <v>23.929586342267275</v>
      </c>
      <c r="AP88" s="258"/>
      <c r="AQ88" s="258"/>
      <c r="AR88" s="258"/>
      <c r="AS88" s="258"/>
      <c r="AT88" s="258"/>
      <c r="AU88" s="258"/>
      <c r="AV88" s="258"/>
      <c r="AW88" s="258"/>
      <c r="AX88" s="258"/>
      <c r="AY88" s="258"/>
      <c r="AZ88" s="258"/>
      <c r="BA88" s="258"/>
      <c r="BB88" s="258"/>
      <c r="BC88" s="258"/>
      <c r="BD88" s="258"/>
      <c r="BE88" s="258"/>
      <c r="BF88" s="258"/>
      <c r="BG88" s="258"/>
      <c r="BH88" s="258"/>
      <c r="BI88" s="258"/>
      <c r="BJ88" s="258"/>
      <c r="BK88" s="258"/>
      <c r="BL88" s="258"/>
      <c r="BM88" s="258"/>
      <c r="BN88" s="258"/>
      <c r="BO88" s="258"/>
      <c r="BP88" s="258"/>
      <c r="BQ88" s="258"/>
      <c r="BR88" s="258"/>
      <c r="BS88" s="258"/>
      <c r="BT88" s="258"/>
      <c r="BU88" s="258"/>
      <c r="BV88" s="258"/>
    </row>
    <row r="89" spans="1:74" x14ac:dyDescent="0.25">
      <c r="A89" s="325" t="str">
        <f t="shared" si="1"/>
        <v>Fixed Operation and Maintenance Expenses ($/kW-yr)_Commercial Battery Storage 6Hr_Moderate</v>
      </c>
      <c r="B89" s="640"/>
      <c r="D89" s="610"/>
      <c r="E89" s="351" t="s">
        <v>275</v>
      </c>
      <c r="F89" s="352" t="s">
        <v>232</v>
      </c>
      <c r="G89" s="353">
        <v>59.958360973713255</v>
      </c>
      <c r="H89" s="353">
        <v>72.591765279898055</v>
      </c>
      <c r="I89" s="353">
        <v>66.976914539977756</v>
      </c>
      <c r="J89" s="353">
        <v>61.823195984525491</v>
      </c>
      <c r="K89" s="353">
        <v>59.079209367015586</v>
      </c>
      <c r="L89" s="353">
        <v>56.588659556216548</v>
      </c>
      <c r="M89" s="353">
        <v>54.251028689081025</v>
      </c>
      <c r="N89" s="353">
        <v>52.085922546700367</v>
      </c>
      <c r="O89" s="353">
        <v>50.125850806261241</v>
      </c>
      <c r="P89" s="353">
        <v>48.279003703755095</v>
      </c>
      <c r="Q89" s="353">
        <v>47.675516157458169</v>
      </c>
      <c r="R89" s="353">
        <v>47.072028611161222</v>
      </c>
      <c r="S89" s="353">
        <v>46.46854106486429</v>
      </c>
      <c r="T89" s="353">
        <v>45.865053518567372</v>
      </c>
      <c r="U89" s="353">
        <v>45.261565972270404</v>
      </c>
      <c r="V89" s="353">
        <v>44.658078425973486</v>
      </c>
      <c r="W89" s="353">
        <v>44.05459087967656</v>
      </c>
      <c r="X89" s="353">
        <v>43.451103333379614</v>
      </c>
      <c r="Y89" s="353">
        <v>42.847615787082674</v>
      </c>
      <c r="Z89" s="353">
        <v>42.244128240785749</v>
      </c>
      <c r="AA89" s="353">
        <v>41.640640694488802</v>
      </c>
      <c r="AB89" s="353">
        <v>41.037153148191862</v>
      </c>
      <c r="AC89" s="353">
        <v>40.433665601894923</v>
      </c>
      <c r="AD89" s="353">
        <v>39.830178055597997</v>
      </c>
      <c r="AE89" s="353">
        <v>39.226690509301058</v>
      </c>
      <c r="AF89" s="353">
        <v>38.623202963004118</v>
      </c>
      <c r="AG89" s="353">
        <v>38.019715416707179</v>
      </c>
      <c r="AH89" s="353">
        <v>37.416227870410253</v>
      </c>
      <c r="AI89" s="353">
        <v>36.812740324113292</v>
      </c>
      <c r="AJ89" s="353">
        <v>36.209252777816332</v>
      </c>
      <c r="AP89" s="258"/>
      <c r="AQ89" s="258"/>
      <c r="AR89" s="258"/>
      <c r="AS89" s="258"/>
      <c r="AT89" s="258"/>
      <c r="AU89" s="258"/>
      <c r="AV89" s="258"/>
      <c r="AW89" s="258"/>
      <c r="AX89" s="258"/>
      <c r="AY89" s="258"/>
      <c r="AZ89" s="258"/>
      <c r="BA89" s="258"/>
      <c r="BB89" s="258"/>
      <c r="BC89" s="258"/>
      <c r="BD89" s="258"/>
      <c r="BE89" s="258"/>
      <c r="BF89" s="258"/>
      <c r="BG89" s="258"/>
      <c r="BH89" s="258"/>
      <c r="BI89" s="258"/>
      <c r="BJ89" s="258"/>
      <c r="BK89" s="258"/>
      <c r="BL89" s="258"/>
      <c r="BM89" s="258"/>
      <c r="BN89" s="258"/>
      <c r="BO89" s="258"/>
      <c r="BP89" s="258"/>
      <c r="BQ89" s="258"/>
      <c r="BR89" s="258"/>
      <c r="BS89" s="258"/>
      <c r="BT89" s="258"/>
      <c r="BU89" s="258"/>
      <c r="BV89" s="258"/>
    </row>
    <row r="90" spans="1:74" x14ac:dyDescent="0.25">
      <c r="A90" s="325" t="str">
        <f t="shared" si="1"/>
        <v>Fixed Operation and Maintenance Expenses ($/kW-yr)_Commercial Battery Storage 6Hr_Conservative</v>
      </c>
      <c r="B90" s="640"/>
      <c r="D90" s="610"/>
      <c r="E90" s="351" t="s">
        <v>275</v>
      </c>
      <c r="F90" s="352" t="s">
        <v>194</v>
      </c>
      <c r="G90" s="353">
        <v>59.958360973713255</v>
      </c>
      <c r="H90" s="353">
        <v>72.591765279898055</v>
      </c>
      <c r="I90" s="353">
        <v>75.280349179153518</v>
      </c>
      <c r="J90" s="353">
        <v>75.818065959004599</v>
      </c>
      <c r="K90" s="353">
        <v>74.742632399302423</v>
      </c>
      <c r="L90" s="353">
        <v>71.946505144076724</v>
      </c>
      <c r="M90" s="353">
        <v>69.150377888851025</v>
      </c>
      <c r="N90" s="353">
        <v>66.354250633625313</v>
      </c>
      <c r="O90" s="353">
        <v>63.558123378399628</v>
      </c>
      <c r="P90" s="353">
        <v>60.761996123173937</v>
      </c>
      <c r="Q90" s="353">
        <v>60.588484183135364</v>
      </c>
      <c r="R90" s="353">
        <v>60.41497224309682</v>
      </c>
      <c r="S90" s="353">
        <v>60.241460303058261</v>
      </c>
      <c r="T90" s="353">
        <v>60.067948363019696</v>
      </c>
      <c r="U90" s="353">
        <v>59.894436422981158</v>
      </c>
      <c r="V90" s="353">
        <v>59.7209244829426</v>
      </c>
      <c r="W90" s="353">
        <v>59.547412542904027</v>
      </c>
      <c r="X90" s="353">
        <v>59.373900602865469</v>
      </c>
      <c r="Y90" s="353">
        <v>59.200388662826924</v>
      </c>
      <c r="Z90" s="353">
        <v>59.026876722788359</v>
      </c>
      <c r="AA90" s="353">
        <v>58.853364782749821</v>
      </c>
      <c r="AB90" s="353">
        <v>58.679852842711263</v>
      </c>
      <c r="AC90" s="353">
        <v>58.506340902672697</v>
      </c>
      <c r="AD90" s="353">
        <v>58.332828962634153</v>
      </c>
      <c r="AE90" s="353">
        <v>58.159317022595602</v>
      </c>
      <c r="AF90" s="353">
        <v>57.985805082557057</v>
      </c>
      <c r="AG90" s="353">
        <v>57.812293142518485</v>
      </c>
      <c r="AH90" s="353">
        <v>57.638781202479926</v>
      </c>
      <c r="AI90" s="353">
        <v>57.465269262441375</v>
      </c>
      <c r="AJ90" s="353">
        <v>57.291757322402773</v>
      </c>
      <c r="AP90" s="258"/>
      <c r="AQ90" s="258"/>
      <c r="AR90" s="258"/>
      <c r="AS90" s="258"/>
      <c r="AT90" s="258"/>
      <c r="AU90" s="258"/>
      <c r="AV90" s="258"/>
      <c r="AW90" s="258"/>
      <c r="AX90" s="258"/>
      <c r="AY90" s="258"/>
      <c r="AZ90" s="258"/>
      <c r="BA90" s="258"/>
      <c r="BB90" s="258"/>
      <c r="BC90" s="258"/>
      <c r="BD90" s="258"/>
      <c r="BE90" s="258"/>
      <c r="BF90" s="258"/>
      <c r="BG90" s="258"/>
      <c r="BH90" s="258"/>
      <c r="BI90" s="258"/>
      <c r="BJ90" s="258"/>
      <c r="BK90" s="258"/>
      <c r="BL90" s="258"/>
      <c r="BM90" s="258"/>
      <c r="BN90" s="258"/>
      <c r="BO90" s="258"/>
      <c r="BP90" s="258"/>
      <c r="BQ90" s="258"/>
      <c r="BR90" s="258"/>
      <c r="BS90" s="258"/>
      <c r="BT90" s="258"/>
      <c r="BU90" s="258"/>
      <c r="BV90" s="258"/>
    </row>
    <row r="91" spans="1:74" x14ac:dyDescent="0.25">
      <c r="A91" s="325" t="str">
        <f t="shared" si="1"/>
        <v>Fixed Operation and Maintenance Expenses ($/kW-yr)_Commercial Battery Storage 8Hr_Advanced</v>
      </c>
      <c r="B91" s="640"/>
      <c r="D91" s="610"/>
      <c r="E91" s="351" t="s">
        <v>274</v>
      </c>
      <c r="F91" s="352" t="s">
        <v>233</v>
      </c>
      <c r="G91" s="353">
        <v>71.689507858726017</v>
      </c>
      <c r="H91" s="353">
        <v>85.807946939124008</v>
      </c>
      <c r="I91" s="353">
        <v>61.73005116299003</v>
      </c>
      <c r="J91" s="353">
        <v>58.264846524049723</v>
      </c>
      <c r="K91" s="353">
        <v>55.300294646113713</v>
      </c>
      <c r="L91" s="353">
        <v>53.307820178754632</v>
      </c>
      <c r="M91" s="353">
        <v>51.315345711395537</v>
      </c>
      <c r="N91" s="353">
        <v>49.322871244036435</v>
      </c>
      <c r="O91" s="353">
        <v>47.330396776677361</v>
      </c>
      <c r="P91" s="353">
        <v>45.337922309318266</v>
      </c>
      <c r="Q91" s="353">
        <v>44.485338593623325</v>
      </c>
      <c r="R91" s="353">
        <v>43.632754877928349</v>
      </c>
      <c r="S91" s="353">
        <v>42.780171162233401</v>
      </c>
      <c r="T91" s="353">
        <v>41.927587446538446</v>
      </c>
      <c r="U91" s="353">
        <v>41.075003730843491</v>
      </c>
      <c r="V91" s="353">
        <v>40.222420015148543</v>
      </c>
      <c r="W91" s="353">
        <v>39.369836299453596</v>
      </c>
      <c r="X91" s="353">
        <v>38.517252583758641</v>
      </c>
      <c r="Y91" s="353">
        <v>37.664668868063693</v>
      </c>
      <c r="Z91" s="353">
        <v>36.812085152368738</v>
      </c>
      <c r="AA91" s="353">
        <v>35.95950143667379</v>
      </c>
      <c r="AB91" s="353">
        <v>35.106917720978835</v>
      </c>
      <c r="AC91" s="353">
        <v>34.254334005283887</v>
      </c>
      <c r="AD91" s="353">
        <v>33.401750289588932</v>
      </c>
      <c r="AE91" s="353">
        <v>32.549166573893977</v>
      </c>
      <c r="AF91" s="353">
        <v>31.696582858199022</v>
      </c>
      <c r="AG91" s="353">
        <v>30.843999142504074</v>
      </c>
      <c r="AH91" s="353">
        <v>29.991415426809127</v>
      </c>
      <c r="AI91" s="353">
        <v>29.138831711114172</v>
      </c>
      <c r="AJ91" s="353">
        <v>28.286247995419203</v>
      </c>
      <c r="AP91" s="258"/>
      <c r="AQ91" s="258"/>
      <c r="AR91" s="258"/>
      <c r="AS91" s="258"/>
      <c r="AT91" s="258"/>
      <c r="AU91" s="258"/>
      <c r="AV91" s="258"/>
      <c r="AW91" s="258"/>
      <c r="AX91" s="258"/>
      <c r="AY91" s="258"/>
      <c r="AZ91" s="258"/>
      <c r="BA91" s="258"/>
      <c r="BB91" s="258"/>
      <c r="BC91" s="258"/>
      <c r="BD91" s="258"/>
      <c r="BE91" s="258"/>
      <c r="BF91" s="258"/>
      <c r="BG91" s="258"/>
      <c r="BH91" s="258"/>
      <c r="BI91" s="258"/>
      <c r="BJ91" s="258"/>
      <c r="BK91" s="258"/>
      <c r="BL91" s="258"/>
      <c r="BM91" s="258"/>
      <c r="BN91" s="258"/>
      <c r="BO91" s="258"/>
      <c r="BP91" s="258"/>
      <c r="BQ91" s="258"/>
      <c r="BR91" s="258"/>
      <c r="BS91" s="258"/>
      <c r="BT91" s="258"/>
      <c r="BU91" s="258"/>
      <c r="BV91" s="258"/>
    </row>
    <row r="92" spans="1:74" x14ac:dyDescent="0.25">
      <c r="A92" s="325" t="str">
        <f t="shared" si="1"/>
        <v>Fixed Operation and Maintenance Expenses ($/kW-yr)_Commercial Battery Storage 8Hr_Moderate</v>
      </c>
      <c r="B92" s="640"/>
      <c r="D92" s="610"/>
      <c r="E92" s="351" t="s">
        <v>274</v>
      </c>
      <c r="F92" s="352" t="s">
        <v>232</v>
      </c>
      <c r="G92" s="353">
        <v>71.689507858726017</v>
      </c>
      <c r="H92" s="353">
        <v>85.807946939124008</v>
      </c>
      <c r="I92" s="353">
        <v>79.03999660980098</v>
      </c>
      <c r="J92" s="353">
        <v>72.781369887496112</v>
      </c>
      <c r="K92" s="353">
        <v>69.515081982776778</v>
      </c>
      <c r="L92" s="353">
        <v>66.4527464039097</v>
      </c>
      <c r="M92" s="353">
        <v>63.593515276828477</v>
      </c>
      <c r="N92" s="353">
        <v>60.948729290684859</v>
      </c>
      <c r="O92" s="353">
        <v>58.555230607472573</v>
      </c>
      <c r="P92" s="353">
        <v>56.310095941451735</v>
      </c>
      <c r="Q92" s="353">
        <v>55.606219742183583</v>
      </c>
      <c r="R92" s="353">
        <v>54.902343542915439</v>
      </c>
      <c r="S92" s="353">
        <v>54.19846734364728</v>
      </c>
      <c r="T92" s="353">
        <v>53.49459114437915</v>
      </c>
      <c r="U92" s="353">
        <v>52.790714945110985</v>
      </c>
      <c r="V92" s="353">
        <v>52.086838745842854</v>
      </c>
      <c r="W92" s="353">
        <v>51.382962546574731</v>
      </c>
      <c r="X92" s="353">
        <v>50.679086347306573</v>
      </c>
      <c r="Y92" s="353">
        <v>49.975210148038428</v>
      </c>
      <c r="Z92" s="353">
        <v>49.271333948770291</v>
      </c>
      <c r="AA92" s="353">
        <v>48.567457749502132</v>
      </c>
      <c r="AB92" s="353">
        <v>47.863581550233988</v>
      </c>
      <c r="AC92" s="353">
        <v>47.159705350965851</v>
      </c>
      <c r="AD92" s="353">
        <v>46.455829151697714</v>
      </c>
      <c r="AE92" s="353">
        <v>45.751952952429576</v>
      </c>
      <c r="AF92" s="353">
        <v>45.048076753161425</v>
      </c>
      <c r="AG92" s="353">
        <v>44.344200553893273</v>
      </c>
      <c r="AH92" s="353">
        <v>43.640324354625136</v>
      </c>
      <c r="AI92" s="353">
        <v>42.93644815535697</v>
      </c>
      <c r="AJ92" s="353">
        <v>42.232571956088805</v>
      </c>
      <c r="AP92" s="258"/>
      <c r="AQ92" s="258"/>
      <c r="AR92" s="258"/>
      <c r="AS92" s="258"/>
      <c r="AT92" s="258"/>
      <c r="AU92" s="258"/>
      <c r="AV92" s="258"/>
      <c r="AW92" s="258"/>
      <c r="AX92" s="258"/>
      <c r="AY92" s="258"/>
      <c r="AZ92" s="258"/>
      <c r="BA92" s="258"/>
      <c r="BB92" s="258"/>
      <c r="BC92" s="258"/>
      <c r="BD92" s="258"/>
      <c r="BE92" s="258"/>
      <c r="BF92" s="258"/>
      <c r="BG92" s="258"/>
      <c r="BH92" s="258"/>
      <c r="BI92" s="258"/>
      <c r="BJ92" s="258"/>
      <c r="BK92" s="258"/>
      <c r="BL92" s="258"/>
      <c r="BM92" s="258"/>
      <c r="BN92" s="258"/>
      <c r="BO92" s="258"/>
      <c r="BP92" s="258"/>
      <c r="BQ92" s="258"/>
      <c r="BR92" s="258"/>
      <c r="BS92" s="258"/>
      <c r="BT92" s="258"/>
      <c r="BU92" s="258"/>
      <c r="BV92" s="258"/>
    </row>
    <row r="93" spans="1:74" x14ac:dyDescent="0.25">
      <c r="A93" s="325" t="str">
        <f t="shared" si="1"/>
        <v>Fixed Operation and Maintenance Expenses ($/kW-yr)_Commercial Battery Storage 8Hr_Conservative</v>
      </c>
      <c r="B93" s="640"/>
      <c r="D93" s="610"/>
      <c r="E93" s="351" t="s">
        <v>274</v>
      </c>
      <c r="F93" s="352" t="s">
        <v>194</v>
      </c>
      <c r="G93" s="353">
        <v>71.689507858726017</v>
      </c>
      <c r="H93" s="353">
        <v>85.807946939124008</v>
      </c>
      <c r="I93" s="353">
        <v>88.986019047980434</v>
      </c>
      <c r="J93" s="353">
        <v>89.621633469751714</v>
      </c>
      <c r="K93" s="353">
        <v>88.350404626209155</v>
      </c>
      <c r="L93" s="353">
        <v>85.045209632998464</v>
      </c>
      <c r="M93" s="353">
        <v>81.740014639787773</v>
      </c>
      <c r="N93" s="353">
        <v>78.434819646577068</v>
      </c>
      <c r="O93" s="353">
        <v>75.129624653366349</v>
      </c>
      <c r="P93" s="353">
        <v>71.824429660155673</v>
      </c>
      <c r="Q93" s="353">
        <v>71.619327837838398</v>
      </c>
      <c r="R93" s="353">
        <v>71.41422601552118</v>
      </c>
      <c r="S93" s="353">
        <v>71.20912419320392</v>
      </c>
      <c r="T93" s="353">
        <v>71.004022370886673</v>
      </c>
      <c r="U93" s="353">
        <v>70.798920548569441</v>
      </c>
      <c r="V93" s="353">
        <v>70.593818726252195</v>
      </c>
      <c r="W93" s="353">
        <v>70.388716903934935</v>
      </c>
      <c r="X93" s="353">
        <v>70.183615081617688</v>
      </c>
      <c r="Y93" s="353">
        <v>69.97851325930047</v>
      </c>
      <c r="Z93" s="353">
        <v>69.773411436983196</v>
      </c>
      <c r="AA93" s="353">
        <v>69.568309614665964</v>
      </c>
      <c r="AB93" s="353">
        <v>69.363207792348717</v>
      </c>
      <c r="AC93" s="353">
        <v>69.158105970031471</v>
      </c>
      <c r="AD93" s="353">
        <v>68.953004147714225</v>
      </c>
      <c r="AE93" s="353">
        <v>68.747902325396993</v>
      </c>
      <c r="AF93" s="353">
        <v>68.542800503079761</v>
      </c>
      <c r="AG93" s="353">
        <v>68.337698680762486</v>
      </c>
      <c r="AH93" s="353">
        <v>68.13259685844524</v>
      </c>
      <c r="AI93" s="353">
        <v>67.927495036127993</v>
      </c>
      <c r="AJ93" s="353">
        <v>67.72239321381069</v>
      </c>
      <c r="AP93" s="258"/>
      <c r="AQ93" s="258"/>
      <c r="AR93" s="258"/>
      <c r="AS93" s="258"/>
      <c r="AT93" s="258"/>
      <c r="AU93" s="258"/>
      <c r="AV93" s="258"/>
      <c r="AW93" s="258"/>
      <c r="AX93" s="258"/>
      <c r="AY93" s="258"/>
      <c r="AZ93" s="258"/>
      <c r="BA93" s="258"/>
      <c r="BB93" s="258"/>
      <c r="BC93" s="258"/>
      <c r="BD93" s="258"/>
      <c r="BE93" s="258"/>
      <c r="BF93" s="258"/>
      <c r="BG93" s="258"/>
      <c r="BH93" s="258"/>
      <c r="BI93" s="258"/>
      <c r="BJ93" s="258"/>
      <c r="BK93" s="258"/>
      <c r="BL93" s="258"/>
      <c r="BM93" s="258"/>
      <c r="BN93" s="258"/>
      <c r="BO93" s="258"/>
      <c r="BP93" s="258"/>
      <c r="BQ93" s="258"/>
      <c r="BR93" s="258"/>
      <c r="BS93" s="258"/>
      <c r="BT93" s="258"/>
      <c r="BU93" s="258"/>
      <c r="BV93" s="258"/>
    </row>
    <row r="94" spans="1:74" x14ac:dyDescent="0.25">
      <c r="B94" s="640"/>
      <c r="D94" s="355"/>
      <c r="E94" s="354"/>
      <c r="F94" s="354"/>
    </row>
    <row r="95" spans="1:74" x14ac:dyDescent="0.25">
      <c r="B95" s="640"/>
      <c r="D95" s="325"/>
      <c r="E95" s="356"/>
      <c r="F95" s="356"/>
      <c r="G95" s="31">
        <v>2021</v>
      </c>
      <c r="H95" s="31">
        <v>2022</v>
      </c>
      <c r="I95" s="31">
        <v>2023</v>
      </c>
      <c r="J95" s="31">
        <v>2024</v>
      </c>
      <c r="K95" s="31">
        <v>2025</v>
      </c>
      <c r="L95" s="31">
        <v>2026</v>
      </c>
      <c r="M95" s="31">
        <v>2027</v>
      </c>
      <c r="N95" s="31">
        <v>2028</v>
      </c>
      <c r="O95" s="31">
        <v>2029</v>
      </c>
      <c r="P95" s="31">
        <v>2030</v>
      </c>
      <c r="Q95" s="31">
        <v>2031</v>
      </c>
      <c r="R95" s="31">
        <v>2032</v>
      </c>
      <c r="S95" s="31">
        <v>2033</v>
      </c>
      <c r="T95" s="31">
        <v>2034</v>
      </c>
      <c r="U95" s="31">
        <v>2035</v>
      </c>
      <c r="V95" s="31">
        <v>2036</v>
      </c>
      <c r="W95" s="31">
        <v>2037</v>
      </c>
      <c r="X95" s="31">
        <v>2038</v>
      </c>
      <c r="Y95" s="31">
        <v>2039</v>
      </c>
      <c r="Z95" s="31">
        <v>2040</v>
      </c>
      <c r="AA95" s="31">
        <v>2041</v>
      </c>
      <c r="AB95" s="31">
        <v>2042</v>
      </c>
      <c r="AC95" s="31">
        <v>2043</v>
      </c>
      <c r="AD95" s="31">
        <v>2044</v>
      </c>
      <c r="AE95" s="31">
        <v>2045</v>
      </c>
      <c r="AF95" s="31">
        <v>2046</v>
      </c>
      <c r="AG95" s="31">
        <v>2047</v>
      </c>
      <c r="AH95" s="31">
        <v>2048</v>
      </c>
      <c r="AI95" s="31">
        <v>2049</v>
      </c>
      <c r="AJ95" s="31">
        <v>2050</v>
      </c>
    </row>
    <row r="96" spans="1:74" x14ac:dyDescent="0.25">
      <c r="B96" s="640"/>
      <c r="D96" s="608" t="s">
        <v>239</v>
      </c>
      <c r="E96" s="351" t="s">
        <v>277</v>
      </c>
      <c r="F96" s="352" t="s">
        <v>233</v>
      </c>
      <c r="G96" s="342">
        <v>0</v>
      </c>
      <c r="H96" s="342">
        <v>0</v>
      </c>
      <c r="I96" s="342">
        <v>0</v>
      </c>
      <c r="J96" s="342">
        <v>0</v>
      </c>
      <c r="K96" s="342">
        <v>0</v>
      </c>
      <c r="L96" s="342">
        <v>0</v>
      </c>
      <c r="M96" s="342">
        <v>0</v>
      </c>
      <c r="N96" s="342">
        <v>0</v>
      </c>
      <c r="O96" s="342">
        <v>0</v>
      </c>
      <c r="P96" s="342">
        <v>0</v>
      </c>
      <c r="Q96" s="342">
        <v>0</v>
      </c>
      <c r="R96" s="342">
        <v>0</v>
      </c>
      <c r="S96" s="342">
        <v>0</v>
      </c>
      <c r="T96" s="342">
        <v>0</v>
      </c>
      <c r="U96" s="342">
        <v>0</v>
      </c>
      <c r="V96" s="342">
        <v>0</v>
      </c>
      <c r="W96" s="342">
        <v>0</v>
      </c>
      <c r="X96" s="342">
        <v>0</v>
      </c>
      <c r="Y96" s="342">
        <v>0</v>
      </c>
      <c r="Z96" s="342">
        <v>0</v>
      </c>
      <c r="AA96" s="342">
        <v>0</v>
      </c>
      <c r="AB96" s="342">
        <v>0</v>
      </c>
      <c r="AC96" s="342">
        <v>0</v>
      </c>
      <c r="AD96" s="342">
        <v>0</v>
      </c>
      <c r="AE96" s="342">
        <v>0</v>
      </c>
      <c r="AF96" s="342">
        <v>0</v>
      </c>
      <c r="AG96" s="342">
        <v>0</v>
      </c>
      <c r="AH96" s="342">
        <v>0</v>
      </c>
      <c r="AI96" s="342">
        <v>0</v>
      </c>
      <c r="AJ96" s="342">
        <v>0</v>
      </c>
      <c r="AO96" s="31"/>
    </row>
    <row r="97" spans="2:41" x14ac:dyDescent="0.25">
      <c r="B97" s="640"/>
      <c r="D97" s="609"/>
      <c r="E97" s="354" t="s">
        <v>277</v>
      </c>
      <c r="F97" s="352" t="s">
        <v>232</v>
      </c>
      <c r="G97" s="342">
        <v>0</v>
      </c>
      <c r="H97" s="342">
        <v>0</v>
      </c>
      <c r="I97" s="342">
        <v>0</v>
      </c>
      <c r="J97" s="342">
        <v>0</v>
      </c>
      <c r="K97" s="342">
        <v>0</v>
      </c>
      <c r="L97" s="342">
        <v>0</v>
      </c>
      <c r="M97" s="342">
        <v>0</v>
      </c>
      <c r="N97" s="342">
        <v>0</v>
      </c>
      <c r="O97" s="342">
        <v>0</v>
      </c>
      <c r="P97" s="342">
        <v>0</v>
      </c>
      <c r="Q97" s="342">
        <v>0</v>
      </c>
      <c r="R97" s="342">
        <v>0</v>
      </c>
      <c r="S97" s="342">
        <v>0</v>
      </c>
      <c r="T97" s="342">
        <v>0</v>
      </c>
      <c r="U97" s="342">
        <v>0</v>
      </c>
      <c r="V97" s="342">
        <v>0</v>
      </c>
      <c r="W97" s="342">
        <v>0</v>
      </c>
      <c r="X97" s="342">
        <v>0</v>
      </c>
      <c r="Y97" s="342">
        <v>0</v>
      </c>
      <c r="Z97" s="342">
        <v>0</v>
      </c>
      <c r="AA97" s="342">
        <v>0</v>
      </c>
      <c r="AB97" s="342">
        <v>0</v>
      </c>
      <c r="AC97" s="342">
        <v>0</v>
      </c>
      <c r="AD97" s="342">
        <v>0</v>
      </c>
      <c r="AE97" s="342">
        <v>0</v>
      </c>
      <c r="AF97" s="342">
        <v>0</v>
      </c>
      <c r="AG97" s="342">
        <v>0</v>
      </c>
      <c r="AH97" s="342">
        <v>0</v>
      </c>
      <c r="AI97" s="342">
        <v>0</v>
      </c>
      <c r="AJ97" s="342">
        <v>0</v>
      </c>
      <c r="AO97" s="31"/>
    </row>
    <row r="98" spans="2:41" x14ac:dyDescent="0.25">
      <c r="B98" s="640"/>
      <c r="D98" s="609"/>
      <c r="E98" s="404" t="s">
        <v>277</v>
      </c>
      <c r="F98" s="352" t="s">
        <v>194</v>
      </c>
      <c r="G98" s="342">
        <v>0</v>
      </c>
      <c r="H98" s="342">
        <v>0</v>
      </c>
      <c r="I98" s="342">
        <v>0</v>
      </c>
      <c r="J98" s="342">
        <v>0</v>
      </c>
      <c r="K98" s="342">
        <v>0</v>
      </c>
      <c r="L98" s="342">
        <v>0</v>
      </c>
      <c r="M98" s="342">
        <v>0</v>
      </c>
      <c r="N98" s="342">
        <v>0</v>
      </c>
      <c r="O98" s="342">
        <v>0</v>
      </c>
      <c r="P98" s="342">
        <v>0</v>
      </c>
      <c r="Q98" s="342">
        <v>0</v>
      </c>
      <c r="R98" s="342">
        <v>0</v>
      </c>
      <c r="S98" s="342">
        <v>0</v>
      </c>
      <c r="T98" s="342">
        <v>0</v>
      </c>
      <c r="U98" s="342">
        <v>0</v>
      </c>
      <c r="V98" s="342">
        <v>0</v>
      </c>
      <c r="W98" s="342">
        <v>0</v>
      </c>
      <c r="X98" s="342">
        <v>0</v>
      </c>
      <c r="Y98" s="342">
        <v>0</v>
      </c>
      <c r="Z98" s="342">
        <v>0</v>
      </c>
      <c r="AA98" s="342">
        <v>0</v>
      </c>
      <c r="AB98" s="342">
        <v>0</v>
      </c>
      <c r="AC98" s="342">
        <v>0</v>
      </c>
      <c r="AD98" s="342">
        <v>0</v>
      </c>
      <c r="AE98" s="342">
        <v>0</v>
      </c>
      <c r="AF98" s="342">
        <v>0</v>
      </c>
      <c r="AG98" s="342">
        <v>0</v>
      </c>
      <c r="AH98" s="342">
        <v>0</v>
      </c>
      <c r="AI98" s="342">
        <v>0</v>
      </c>
      <c r="AJ98" s="342">
        <v>0</v>
      </c>
      <c r="AO98" s="31"/>
    </row>
    <row r="99" spans="2:41" x14ac:dyDescent="0.25">
      <c r="B99" s="641"/>
      <c r="D99" s="610"/>
      <c r="E99" s="351" t="s">
        <v>276</v>
      </c>
      <c r="F99" s="352" t="s">
        <v>233</v>
      </c>
      <c r="G99" s="342">
        <v>0</v>
      </c>
      <c r="H99" s="342">
        <v>0</v>
      </c>
      <c r="I99" s="342">
        <v>0</v>
      </c>
      <c r="J99" s="342">
        <v>0</v>
      </c>
      <c r="K99" s="342">
        <v>0</v>
      </c>
      <c r="L99" s="342">
        <v>0</v>
      </c>
      <c r="M99" s="342">
        <v>0</v>
      </c>
      <c r="N99" s="342">
        <v>0</v>
      </c>
      <c r="O99" s="342">
        <v>0</v>
      </c>
      <c r="P99" s="342">
        <v>0</v>
      </c>
      <c r="Q99" s="342">
        <v>0</v>
      </c>
      <c r="R99" s="342">
        <v>0</v>
      </c>
      <c r="S99" s="342">
        <v>0</v>
      </c>
      <c r="T99" s="342">
        <v>0</v>
      </c>
      <c r="U99" s="342">
        <v>0</v>
      </c>
      <c r="V99" s="342">
        <v>0</v>
      </c>
      <c r="W99" s="342">
        <v>0</v>
      </c>
      <c r="X99" s="342">
        <v>0</v>
      </c>
      <c r="Y99" s="342">
        <v>0</v>
      </c>
      <c r="Z99" s="342">
        <v>0</v>
      </c>
      <c r="AA99" s="342">
        <v>0</v>
      </c>
      <c r="AB99" s="342">
        <v>0</v>
      </c>
      <c r="AC99" s="342">
        <v>0</v>
      </c>
      <c r="AD99" s="342">
        <v>0</v>
      </c>
      <c r="AE99" s="342">
        <v>0</v>
      </c>
      <c r="AF99" s="342">
        <v>0</v>
      </c>
      <c r="AG99" s="342">
        <v>0</v>
      </c>
      <c r="AH99" s="342">
        <v>0</v>
      </c>
      <c r="AI99" s="342">
        <v>0</v>
      </c>
      <c r="AJ99" s="342">
        <v>0</v>
      </c>
    </row>
    <row r="100" spans="2:41" x14ac:dyDescent="0.25">
      <c r="B100" s="641"/>
      <c r="D100" s="610"/>
      <c r="E100" s="351" t="s">
        <v>276</v>
      </c>
      <c r="F100" s="352" t="s">
        <v>232</v>
      </c>
      <c r="G100" s="342">
        <v>0</v>
      </c>
      <c r="H100" s="342">
        <v>0</v>
      </c>
      <c r="I100" s="342">
        <v>0</v>
      </c>
      <c r="J100" s="342">
        <v>0</v>
      </c>
      <c r="K100" s="342">
        <v>0</v>
      </c>
      <c r="L100" s="342">
        <v>0</v>
      </c>
      <c r="M100" s="342">
        <v>0</v>
      </c>
      <c r="N100" s="342">
        <v>0</v>
      </c>
      <c r="O100" s="342">
        <v>0</v>
      </c>
      <c r="P100" s="342">
        <v>0</v>
      </c>
      <c r="Q100" s="342">
        <v>0</v>
      </c>
      <c r="R100" s="342">
        <v>0</v>
      </c>
      <c r="S100" s="342">
        <v>0</v>
      </c>
      <c r="T100" s="342">
        <v>0</v>
      </c>
      <c r="U100" s="342">
        <v>0</v>
      </c>
      <c r="V100" s="342">
        <v>0</v>
      </c>
      <c r="W100" s="342">
        <v>0</v>
      </c>
      <c r="X100" s="342">
        <v>0</v>
      </c>
      <c r="Y100" s="342">
        <v>0</v>
      </c>
      <c r="Z100" s="342">
        <v>0</v>
      </c>
      <c r="AA100" s="342">
        <v>0</v>
      </c>
      <c r="AB100" s="342">
        <v>0</v>
      </c>
      <c r="AC100" s="342">
        <v>0</v>
      </c>
      <c r="AD100" s="342">
        <v>0</v>
      </c>
      <c r="AE100" s="342">
        <v>0</v>
      </c>
      <c r="AF100" s="342">
        <v>0</v>
      </c>
      <c r="AG100" s="342">
        <v>0</v>
      </c>
      <c r="AH100" s="342">
        <v>0</v>
      </c>
      <c r="AI100" s="342">
        <v>0</v>
      </c>
      <c r="AJ100" s="342">
        <v>0</v>
      </c>
    </row>
    <row r="101" spans="2:41" x14ac:dyDescent="0.25">
      <c r="B101" s="641"/>
      <c r="D101" s="610"/>
      <c r="E101" s="351" t="s">
        <v>276</v>
      </c>
      <c r="F101" s="352" t="s">
        <v>194</v>
      </c>
      <c r="G101" s="342">
        <v>0</v>
      </c>
      <c r="H101" s="342">
        <v>0</v>
      </c>
      <c r="I101" s="342">
        <v>0</v>
      </c>
      <c r="J101" s="342">
        <v>0</v>
      </c>
      <c r="K101" s="342">
        <v>0</v>
      </c>
      <c r="L101" s="342">
        <v>0</v>
      </c>
      <c r="M101" s="342">
        <v>0</v>
      </c>
      <c r="N101" s="342">
        <v>0</v>
      </c>
      <c r="O101" s="342">
        <v>0</v>
      </c>
      <c r="P101" s="342">
        <v>0</v>
      </c>
      <c r="Q101" s="342">
        <v>0</v>
      </c>
      <c r="R101" s="342">
        <v>0</v>
      </c>
      <c r="S101" s="342">
        <v>0</v>
      </c>
      <c r="T101" s="342">
        <v>0</v>
      </c>
      <c r="U101" s="342">
        <v>0</v>
      </c>
      <c r="V101" s="342">
        <v>0</v>
      </c>
      <c r="W101" s="342">
        <v>0</v>
      </c>
      <c r="X101" s="342">
        <v>0</v>
      </c>
      <c r="Y101" s="342">
        <v>0</v>
      </c>
      <c r="Z101" s="342">
        <v>0</v>
      </c>
      <c r="AA101" s="342">
        <v>0</v>
      </c>
      <c r="AB101" s="342">
        <v>0</v>
      </c>
      <c r="AC101" s="342">
        <v>0</v>
      </c>
      <c r="AD101" s="342">
        <v>0</v>
      </c>
      <c r="AE101" s="342">
        <v>0</v>
      </c>
      <c r="AF101" s="342">
        <v>0</v>
      </c>
      <c r="AG101" s="342">
        <v>0</v>
      </c>
      <c r="AH101" s="342">
        <v>0</v>
      </c>
      <c r="AI101" s="342">
        <v>0</v>
      </c>
      <c r="AJ101" s="342">
        <v>0</v>
      </c>
      <c r="AK101" s="258"/>
      <c r="AL101" s="258"/>
    </row>
    <row r="102" spans="2:41" x14ac:dyDescent="0.25">
      <c r="B102" s="641"/>
      <c r="D102" s="610"/>
      <c r="E102" s="351" t="s">
        <v>146</v>
      </c>
      <c r="F102" s="352" t="s">
        <v>233</v>
      </c>
      <c r="G102" s="342">
        <v>0</v>
      </c>
      <c r="H102" s="342">
        <v>0</v>
      </c>
      <c r="I102" s="342">
        <v>0</v>
      </c>
      <c r="J102" s="342">
        <v>0</v>
      </c>
      <c r="K102" s="342">
        <v>0</v>
      </c>
      <c r="L102" s="342">
        <v>0</v>
      </c>
      <c r="M102" s="342">
        <v>0</v>
      </c>
      <c r="N102" s="342">
        <v>0</v>
      </c>
      <c r="O102" s="342">
        <v>0</v>
      </c>
      <c r="P102" s="342">
        <v>0</v>
      </c>
      <c r="Q102" s="342">
        <v>0</v>
      </c>
      <c r="R102" s="342">
        <v>0</v>
      </c>
      <c r="S102" s="342">
        <v>0</v>
      </c>
      <c r="T102" s="342">
        <v>0</v>
      </c>
      <c r="U102" s="342">
        <v>0</v>
      </c>
      <c r="V102" s="342">
        <v>0</v>
      </c>
      <c r="W102" s="342">
        <v>0</v>
      </c>
      <c r="X102" s="342">
        <v>0</v>
      </c>
      <c r="Y102" s="342">
        <v>0</v>
      </c>
      <c r="Z102" s="342">
        <v>0</v>
      </c>
      <c r="AA102" s="342">
        <v>0</v>
      </c>
      <c r="AB102" s="342">
        <v>0</v>
      </c>
      <c r="AC102" s="342">
        <v>0</v>
      </c>
      <c r="AD102" s="342">
        <v>0</v>
      </c>
      <c r="AE102" s="342">
        <v>0</v>
      </c>
      <c r="AF102" s="342">
        <v>0</v>
      </c>
      <c r="AG102" s="342">
        <v>0</v>
      </c>
      <c r="AH102" s="342">
        <v>0</v>
      </c>
      <c r="AI102" s="342">
        <v>0</v>
      </c>
      <c r="AJ102" s="342">
        <v>0</v>
      </c>
      <c r="AK102" s="258"/>
      <c r="AL102" s="258"/>
    </row>
    <row r="103" spans="2:41" x14ac:dyDescent="0.25">
      <c r="B103" s="641"/>
      <c r="D103" s="610"/>
      <c r="E103" s="351" t="s">
        <v>146</v>
      </c>
      <c r="F103" s="352" t="s">
        <v>232</v>
      </c>
      <c r="G103" s="342">
        <v>0</v>
      </c>
      <c r="H103" s="342">
        <v>0</v>
      </c>
      <c r="I103" s="342">
        <v>0</v>
      </c>
      <c r="J103" s="342">
        <v>0</v>
      </c>
      <c r="K103" s="342">
        <v>0</v>
      </c>
      <c r="L103" s="342">
        <v>0</v>
      </c>
      <c r="M103" s="342">
        <v>0</v>
      </c>
      <c r="N103" s="342">
        <v>0</v>
      </c>
      <c r="O103" s="342">
        <v>0</v>
      </c>
      <c r="P103" s="342">
        <v>0</v>
      </c>
      <c r="Q103" s="342">
        <v>0</v>
      </c>
      <c r="R103" s="342">
        <v>0</v>
      </c>
      <c r="S103" s="342">
        <v>0</v>
      </c>
      <c r="T103" s="342">
        <v>0</v>
      </c>
      <c r="U103" s="342">
        <v>0</v>
      </c>
      <c r="V103" s="342">
        <v>0</v>
      </c>
      <c r="W103" s="342">
        <v>0</v>
      </c>
      <c r="X103" s="342">
        <v>0</v>
      </c>
      <c r="Y103" s="342">
        <v>0</v>
      </c>
      <c r="Z103" s="342">
        <v>0</v>
      </c>
      <c r="AA103" s="342">
        <v>0</v>
      </c>
      <c r="AB103" s="342">
        <v>0</v>
      </c>
      <c r="AC103" s="342">
        <v>0</v>
      </c>
      <c r="AD103" s="342">
        <v>0</v>
      </c>
      <c r="AE103" s="342">
        <v>0</v>
      </c>
      <c r="AF103" s="342">
        <v>0</v>
      </c>
      <c r="AG103" s="342">
        <v>0</v>
      </c>
      <c r="AH103" s="342">
        <v>0</v>
      </c>
      <c r="AI103" s="342">
        <v>0</v>
      </c>
      <c r="AJ103" s="342">
        <v>0</v>
      </c>
      <c r="AK103" s="258"/>
      <c r="AL103" s="258"/>
    </row>
    <row r="104" spans="2:41" x14ac:dyDescent="0.25">
      <c r="B104" s="641"/>
      <c r="D104" s="610"/>
      <c r="E104" s="351" t="s">
        <v>146</v>
      </c>
      <c r="F104" s="352" t="s">
        <v>194</v>
      </c>
      <c r="G104" s="342">
        <v>0</v>
      </c>
      <c r="H104" s="342">
        <v>0</v>
      </c>
      <c r="I104" s="342">
        <v>0</v>
      </c>
      <c r="J104" s="342">
        <v>0</v>
      </c>
      <c r="K104" s="342">
        <v>0</v>
      </c>
      <c r="L104" s="342">
        <v>0</v>
      </c>
      <c r="M104" s="342">
        <v>0</v>
      </c>
      <c r="N104" s="342">
        <v>0</v>
      </c>
      <c r="O104" s="342">
        <v>0</v>
      </c>
      <c r="P104" s="342">
        <v>0</v>
      </c>
      <c r="Q104" s="342">
        <v>0</v>
      </c>
      <c r="R104" s="342">
        <v>0</v>
      </c>
      <c r="S104" s="342">
        <v>0</v>
      </c>
      <c r="T104" s="342">
        <v>0</v>
      </c>
      <c r="U104" s="342">
        <v>0</v>
      </c>
      <c r="V104" s="342">
        <v>0</v>
      </c>
      <c r="W104" s="342">
        <v>0</v>
      </c>
      <c r="X104" s="342">
        <v>0</v>
      </c>
      <c r="Y104" s="342">
        <v>0</v>
      </c>
      <c r="Z104" s="342">
        <v>0</v>
      </c>
      <c r="AA104" s="342">
        <v>0</v>
      </c>
      <c r="AB104" s="342">
        <v>0</v>
      </c>
      <c r="AC104" s="342">
        <v>0</v>
      </c>
      <c r="AD104" s="342">
        <v>0</v>
      </c>
      <c r="AE104" s="342">
        <v>0</v>
      </c>
      <c r="AF104" s="342">
        <v>0</v>
      </c>
      <c r="AG104" s="342">
        <v>0</v>
      </c>
      <c r="AH104" s="342">
        <v>0</v>
      </c>
      <c r="AI104" s="342">
        <v>0</v>
      </c>
      <c r="AJ104" s="342">
        <v>0</v>
      </c>
      <c r="AK104" s="258"/>
      <c r="AL104" s="258"/>
    </row>
    <row r="105" spans="2:41" x14ac:dyDescent="0.25">
      <c r="B105" s="641"/>
      <c r="D105" s="610"/>
      <c r="E105" s="351" t="s">
        <v>275</v>
      </c>
      <c r="F105" s="352" t="s">
        <v>233</v>
      </c>
      <c r="G105" s="342">
        <v>0</v>
      </c>
      <c r="H105" s="342">
        <v>0</v>
      </c>
      <c r="I105" s="342">
        <v>0</v>
      </c>
      <c r="J105" s="342">
        <v>0</v>
      </c>
      <c r="K105" s="342">
        <v>0</v>
      </c>
      <c r="L105" s="342">
        <v>0</v>
      </c>
      <c r="M105" s="342">
        <v>0</v>
      </c>
      <c r="N105" s="342">
        <v>0</v>
      </c>
      <c r="O105" s="342">
        <v>0</v>
      </c>
      <c r="P105" s="342">
        <v>0</v>
      </c>
      <c r="Q105" s="342">
        <v>0</v>
      </c>
      <c r="R105" s="342">
        <v>0</v>
      </c>
      <c r="S105" s="342">
        <v>0</v>
      </c>
      <c r="T105" s="342">
        <v>0</v>
      </c>
      <c r="U105" s="342">
        <v>0</v>
      </c>
      <c r="V105" s="342">
        <v>0</v>
      </c>
      <c r="W105" s="342">
        <v>0</v>
      </c>
      <c r="X105" s="342">
        <v>0</v>
      </c>
      <c r="Y105" s="342">
        <v>0</v>
      </c>
      <c r="Z105" s="342">
        <v>0</v>
      </c>
      <c r="AA105" s="342">
        <v>0</v>
      </c>
      <c r="AB105" s="342">
        <v>0</v>
      </c>
      <c r="AC105" s="342">
        <v>0</v>
      </c>
      <c r="AD105" s="342">
        <v>0</v>
      </c>
      <c r="AE105" s="342">
        <v>0</v>
      </c>
      <c r="AF105" s="342">
        <v>0</v>
      </c>
      <c r="AG105" s="342">
        <v>0</v>
      </c>
      <c r="AH105" s="342">
        <v>0</v>
      </c>
      <c r="AI105" s="342">
        <v>0</v>
      </c>
      <c r="AJ105" s="342">
        <v>0</v>
      </c>
      <c r="AK105" s="258"/>
      <c r="AL105" s="258"/>
    </row>
    <row r="106" spans="2:41" x14ac:dyDescent="0.25">
      <c r="B106" s="641"/>
      <c r="D106" s="610"/>
      <c r="E106" s="351" t="s">
        <v>275</v>
      </c>
      <c r="F106" s="352" t="s">
        <v>232</v>
      </c>
      <c r="G106" s="342">
        <v>0</v>
      </c>
      <c r="H106" s="342">
        <v>0</v>
      </c>
      <c r="I106" s="342">
        <v>0</v>
      </c>
      <c r="J106" s="342">
        <v>0</v>
      </c>
      <c r="K106" s="342">
        <v>0</v>
      </c>
      <c r="L106" s="342">
        <v>0</v>
      </c>
      <c r="M106" s="342">
        <v>0</v>
      </c>
      <c r="N106" s="342">
        <v>0</v>
      </c>
      <c r="O106" s="342">
        <v>0</v>
      </c>
      <c r="P106" s="342">
        <v>0</v>
      </c>
      <c r="Q106" s="342">
        <v>0</v>
      </c>
      <c r="R106" s="342">
        <v>0</v>
      </c>
      <c r="S106" s="342">
        <v>0</v>
      </c>
      <c r="T106" s="342">
        <v>0</v>
      </c>
      <c r="U106" s="342">
        <v>0</v>
      </c>
      <c r="V106" s="342">
        <v>0</v>
      </c>
      <c r="W106" s="342">
        <v>0</v>
      </c>
      <c r="X106" s="342">
        <v>0</v>
      </c>
      <c r="Y106" s="342">
        <v>0</v>
      </c>
      <c r="Z106" s="342">
        <v>0</v>
      </c>
      <c r="AA106" s="342">
        <v>0</v>
      </c>
      <c r="AB106" s="342">
        <v>0</v>
      </c>
      <c r="AC106" s="342">
        <v>0</v>
      </c>
      <c r="AD106" s="342">
        <v>0</v>
      </c>
      <c r="AE106" s="342">
        <v>0</v>
      </c>
      <c r="AF106" s="342">
        <v>0</v>
      </c>
      <c r="AG106" s="342">
        <v>0</v>
      </c>
      <c r="AH106" s="342">
        <v>0</v>
      </c>
      <c r="AI106" s="342">
        <v>0</v>
      </c>
      <c r="AJ106" s="342">
        <v>0</v>
      </c>
      <c r="AK106" s="258"/>
      <c r="AL106" s="258"/>
    </row>
    <row r="107" spans="2:41" x14ac:dyDescent="0.25">
      <c r="B107" s="641"/>
      <c r="D107" s="610"/>
      <c r="E107" s="351" t="s">
        <v>275</v>
      </c>
      <c r="F107" s="352" t="s">
        <v>194</v>
      </c>
      <c r="G107" s="342">
        <v>0</v>
      </c>
      <c r="H107" s="342">
        <v>0</v>
      </c>
      <c r="I107" s="342">
        <v>0</v>
      </c>
      <c r="J107" s="342">
        <v>0</v>
      </c>
      <c r="K107" s="342">
        <v>0</v>
      </c>
      <c r="L107" s="342">
        <v>0</v>
      </c>
      <c r="M107" s="342">
        <v>0</v>
      </c>
      <c r="N107" s="342">
        <v>0</v>
      </c>
      <c r="O107" s="342">
        <v>0</v>
      </c>
      <c r="P107" s="342">
        <v>0</v>
      </c>
      <c r="Q107" s="342">
        <v>0</v>
      </c>
      <c r="R107" s="342">
        <v>0</v>
      </c>
      <c r="S107" s="342">
        <v>0</v>
      </c>
      <c r="T107" s="342">
        <v>0</v>
      </c>
      <c r="U107" s="342">
        <v>0</v>
      </c>
      <c r="V107" s="342">
        <v>0</v>
      </c>
      <c r="W107" s="342">
        <v>0</v>
      </c>
      <c r="X107" s="342">
        <v>0</v>
      </c>
      <c r="Y107" s="342">
        <v>0</v>
      </c>
      <c r="Z107" s="342">
        <v>0</v>
      </c>
      <c r="AA107" s="342">
        <v>0</v>
      </c>
      <c r="AB107" s="342">
        <v>0</v>
      </c>
      <c r="AC107" s="342">
        <v>0</v>
      </c>
      <c r="AD107" s="342">
        <v>0</v>
      </c>
      <c r="AE107" s="342">
        <v>0</v>
      </c>
      <c r="AF107" s="342">
        <v>0</v>
      </c>
      <c r="AG107" s="342">
        <v>0</v>
      </c>
      <c r="AH107" s="342">
        <v>0</v>
      </c>
      <c r="AI107" s="342">
        <v>0</v>
      </c>
      <c r="AJ107" s="342">
        <v>0</v>
      </c>
      <c r="AK107" s="258"/>
      <c r="AL107" s="258"/>
    </row>
    <row r="108" spans="2:41" x14ac:dyDescent="0.25">
      <c r="B108" s="641"/>
      <c r="D108" s="610"/>
      <c r="E108" s="351" t="s">
        <v>274</v>
      </c>
      <c r="F108" s="352" t="s">
        <v>233</v>
      </c>
      <c r="G108" s="342">
        <v>0</v>
      </c>
      <c r="H108" s="342">
        <v>0</v>
      </c>
      <c r="I108" s="342">
        <v>0</v>
      </c>
      <c r="J108" s="342">
        <v>0</v>
      </c>
      <c r="K108" s="342">
        <v>0</v>
      </c>
      <c r="L108" s="342">
        <v>0</v>
      </c>
      <c r="M108" s="342">
        <v>0</v>
      </c>
      <c r="N108" s="342">
        <v>0</v>
      </c>
      <c r="O108" s="342">
        <v>0</v>
      </c>
      <c r="P108" s="342">
        <v>0</v>
      </c>
      <c r="Q108" s="342">
        <v>0</v>
      </c>
      <c r="R108" s="342">
        <v>0</v>
      </c>
      <c r="S108" s="342">
        <v>0</v>
      </c>
      <c r="T108" s="342">
        <v>0</v>
      </c>
      <c r="U108" s="342">
        <v>0</v>
      </c>
      <c r="V108" s="342">
        <v>0</v>
      </c>
      <c r="W108" s="342">
        <v>0</v>
      </c>
      <c r="X108" s="342">
        <v>0</v>
      </c>
      <c r="Y108" s="342">
        <v>0</v>
      </c>
      <c r="Z108" s="342">
        <v>0</v>
      </c>
      <c r="AA108" s="342">
        <v>0</v>
      </c>
      <c r="AB108" s="342">
        <v>0</v>
      </c>
      <c r="AC108" s="342">
        <v>0</v>
      </c>
      <c r="AD108" s="342">
        <v>0</v>
      </c>
      <c r="AE108" s="342">
        <v>0</v>
      </c>
      <c r="AF108" s="342">
        <v>0</v>
      </c>
      <c r="AG108" s="342">
        <v>0</v>
      </c>
      <c r="AH108" s="342">
        <v>0</v>
      </c>
      <c r="AI108" s="342">
        <v>0</v>
      </c>
      <c r="AJ108" s="342">
        <v>0</v>
      </c>
      <c r="AK108" s="258"/>
      <c r="AL108" s="258"/>
    </row>
    <row r="109" spans="2:41" x14ac:dyDescent="0.25">
      <c r="B109" s="641"/>
      <c r="D109" s="610"/>
      <c r="E109" s="351" t="s">
        <v>274</v>
      </c>
      <c r="F109" s="352" t="s">
        <v>232</v>
      </c>
      <c r="G109" s="342">
        <v>0</v>
      </c>
      <c r="H109" s="342">
        <v>0</v>
      </c>
      <c r="I109" s="342">
        <v>0</v>
      </c>
      <c r="J109" s="342">
        <v>0</v>
      </c>
      <c r="K109" s="342">
        <v>0</v>
      </c>
      <c r="L109" s="342">
        <v>0</v>
      </c>
      <c r="M109" s="342">
        <v>0</v>
      </c>
      <c r="N109" s="342">
        <v>0</v>
      </c>
      <c r="O109" s="342">
        <v>0</v>
      </c>
      <c r="P109" s="342">
        <v>0</v>
      </c>
      <c r="Q109" s="342">
        <v>0</v>
      </c>
      <c r="R109" s="342">
        <v>0</v>
      </c>
      <c r="S109" s="342">
        <v>0</v>
      </c>
      <c r="T109" s="342">
        <v>0</v>
      </c>
      <c r="U109" s="342">
        <v>0</v>
      </c>
      <c r="V109" s="342">
        <v>0</v>
      </c>
      <c r="W109" s="342">
        <v>0</v>
      </c>
      <c r="X109" s="342">
        <v>0</v>
      </c>
      <c r="Y109" s="342">
        <v>0</v>
      </c>
      <c r="Z109" s="342">
        <v>0</v>
      </c>
      <c r="AA109" s="342">
        <v>0</v>
      </c>
      <c r="AB109" s="342">
        <v>0</v>
      </c>
      <c r="AC109" s="342">
        <v>0</v>
      </c>
      <c r="AD109" s="342">
        <v>0</v>
      </c>
      <c r="AE109" s="342">
        <v>0</v>
      </c>
      <c r="AF109" s="342">
        <v>0</v>
      </c>
      <c r="AG109" s="342">
        <v>0</v>
      </c>
      <c r="AH109" s="342">
        <v>0</v>
      </c>
      <c r="AI109" s="342">
        <v>0</v>
      </c>
      <c r="AJ109" s="342">
        <v>0</v>
      </c>
      <c r="AK109" s="258"/>
      <c r="AL109" s="258"/>
    </row>
    <row r="110" spans="2:41" x14ac:dyDescent="0.25">
      <c r="B110" s="641"/>
      <c r="D110" s="610"/>
      <c r="E110" s="351" t="s">
        <v>274</v>
      </c>
      <c r="F110" s="352" t="s">
        <v>194</v>
      </c>
      <c r="G110" s="342">
        <v>0</v>
      </c>
      <c r="H110" s="342">
        <v>0</v>
      </c>
      <c r="I110" s="342">
        <v>0</v>
      </c>
      <c r="J110" s="342">
        <v>0</v>
      </c>
      <c r="K110" s="342">
        <v>0</v>
      </c>
      <c r="L110" s="342">
        <v>0</v>
      </c>
      <c r="M110" s="342">
        <v>0</v>
      </c>
      <c r="N110" s="342">
        <v>0</v>
      </c>
      <c r="O110" s="342">
        <v>0</v>
      </c>
      <c r="P110" s="342">
        <v>0</v>
      </c>
      <c r="Q110" s="342">
        <v>0</v>
      </c>
      <c r="R110" s="342">
        <v>0</v>
      </c>
      <c r="S110" s="342">
        <v>0</v>
      </c>
      <c r="T110" s="342">
        <v>0</v>
      </c>
      <c r="U110" s="342">
        <v>0</v>
      </c>
      <c r="V110" s="342">
        <v>0</v>
      </c>
      <c r="W110" s="342">
        <v>0</v>
      </c>
      <c r="X110" s="342">
        <v>0</v>
      </c>
      <c r="Y110" s="342">
        <v>0</v>
      </c>
      <c r="Z110" s="342">
        <v>0</v>
      </c>
      <c r="AA110" s="342">
        <v>0</v>
      </c>
      <c r="AB110" s="342">
        <v>0</v>
      </c>
      <c r="AC110" s="342">
        <v>0</v>
      </c>
      <c r="AD110" s="342">
        <v>0</v>
      </c>
      <c r="AE110" s="342">
        <v>0</v>
      </c>
      <c r="AF110" s="342">
        <v>0</v>
      </c>
      <c r="AG110" s="342">
        <v>0</v>
      </c>
      <c r="AH110" s="342">
        <v>0</v>
      </c>
      <c r="AI110" s="342">
        <v>0</v>
      </c>
      <c r="AJ110" s="342">
        <v>0</v>
      </c>
      <c r="AK110" s="258"/>
      <c r="AL110" s="258"/>
    </row>
    <row r="111" spans="2:41" x14ac:dyDescent="0.25">
      <c r="B111" s="641"/>
    </row>
    <row r="112" spans="2:41" ht="15" customHeight="1" x14ac:dyDescent="0.25">
      <c r="B112" s="641"/>
      <c r="G112" s="31">
        <v>2021</v>
      </c>
      <c r="H112" s="31">
        <v>2022</v>
      </c>
      <c r="I112" s="31">
        <v>2023</v>
      </c>
      <c r="J112" s="31">
        <v>2024</v>
      </c>
      <c r="K112" s="31">
        <v>2025</v>
      </c>
      <c r="L112" s="31">
        <v>2026</v>
      </c>
      <c r="M112" s="31">
        <v>2027</v>
      </c>
      <c r="N112" s="31">
        <v>2028</v>
      </c>
      <c r="O112" s="31">
        <v>2029</v>
      </c>
      <c r="P112" s="31">
        <v>2030</v>
      </c>
      <c r="Q112" s="31">
        <v>2031</v>
      </c>
      <c r="R112" s="31">
        <v>2032</v>
      </c>
      <c r="S112" s="31">
        <v>2033</v>
      </c>
      <c r="T112" s="31">
        <v>2034</v>
      </c>
      <c r="U112" s="31">
        <v>2035</v>
      </c>
      <c r="V112" s="31">
        <v>2036</v>
      </c>
      <c r="W112" s="31">
        <v>2037</v>
      </c>
      <c r="X112" s="31">
        <v>2038</v>
      </c>
      <c r="Y112" s="31">
        <v>2039</v>
      </c>
      <c r="Z112" s="31">
        <v>2040</v>
      </c>
      <c r="AA112" s="31">
        <v>2041</v>
      </c>
      <c r="AB112" s="31">
        <v>2042</v>
      </c>
      <c r="AC112" s="31">
        <v>2043</v>
      </c>
      <c r="AD112" s="31">
        <v>2044</v>
      </c>
      <c r="AE112" s="31">
        <v>2045</v>
      </c>
      <c r="AF112" s="31">
        <v>2046</v>
      </c>
      <c r="AG112" s="31">
        <v>2047</v>
      </c>
      <c r="AH112" s="31">
        <v>2048</v>
      </c>
      <c r="AI112" s="31">
        <v>2049</v>
      </c>
      <c r="AJ112" s="31">
        <v>2050</v>
      </c>
    </row>
    <row r="113" spans="2:36" x14ac:dyDescent="0.25">
      <c r="B113" s="641"/>
      <c r="D113" s="608" t="s">
        <v>238</v>
      </c>
      <c r="E113" s="351" t="s">
        <v>277</v>
      </c>
      <c r="F113" s="352" t="s">
        <v>233</v>
      </c>
      <c r="G113" s="357">
        <v>0.85</v>
      </c>
      <c r="H113" s="357">
        <v>0.85</v>
      </c>
      <c r="I113" s="357">
        <v>0.85</v>
      </c>
      <c r="J113" s="357">
        <v>0.85</v>
      </c>
      <c r="K113" s="357">
        <v>0.85</v>
      </c>
      <c r="L113" s="357">
        <v>0.85</v>
      </c>
      <c r="M113" s="357">
        <v>0.85</v>
      </c>
      <c r="N113" s="357">
        <v>0.85</v>
      </c>
      <c r="O113" s="357">
        <v>0.85</v>
      </c>
      <c r="P113" s="357">
        <v>0.85</v>
      </c>
      <c r="Q113" s="357">
        <v>0.85</v>
      </c>
      <c r="R113" s="357">
        <v>0.85</v>
      </c>
      <c r="S113" s="357">
        <v>0.85</v>
      </c>
      <c r="T113" s="357">
        <v>0.85</v>
      </c>
      <c r="U113" s="357">
        <v>0.85</v>
      </c>
      <c r="V113" s="357">
        <v>0.85</v>
      </c>
      <c r="W113" s="357">
        <v>0.85</v>
      </c>
      <c r="X113" s="357">
        <v>0.85</v>
      </c>
      <c r="Y113" s="357">
        <v>0.85</v>
      </c>
      <c r="Z113" s="357">
        <v>0.85</v>
      </c>
      <c r="AA113" s="357">
        <v>0.85</v>
      </c>
      <c r="AB113" s="357">
        <v>0.85</v>
      </c>
      <c r="AC113" s="357">
        <v>0.85</v>
      </c>
      <c r="AD113" s="357">
        <v>0.85</v>
      </c>
      <c r="AE113" s="357">
        <v>0.85</v>
      </c>
      <c r="AF113" s="357">
        <v>0.85</v>
      </c>
      <c r="AG113" s="357">
        <v>0.85</v>
      </c>
      <c r="AH113" s="357">
        <v>0.85</v>
      </c>
      <c r="AI113" s="357">
        <v>0.85</v>
      </c>
      <c r="AJ113" s="357">
        <v>0.85</v>
      </c>
    </row>
    <row r="114" spans="2:36" x14ac:dyDescent="0.25">
      <c r="B114" s="641"/>
      <c r="D114" s="609"/>
      <c r="E114" s="354" t="s">
        <v>277</v>
      </c>
      <c r="F114" s="352" t="s">
        <v>232</v>
      </c>
      <c r="G114" s="357">
        <v>0.85</v>
      </c>
      <c r="H114" s="357">
        <v>0.85</v>
      </c>
      <c r="I114" s="357">
        <v>0.85</v>
      </c>
      <c r="J114" s="357">
        <v>0.85</v>
      </c>
      <c r="K114" s="357">
        <v>0.85</v>
      </c>
      <c r="L114" s="357">
        <v>0.85</v>
      </c>
      <c r="M114" s="357">
        <v>0.85</v>
      </c>
      <c r="N114" s="357">
        <v>0.85</v>
      </c>
      <c r="O114" s="357">
        <v>0.85</v>
      </c>
      <c r="P114" s="357">
        <v>0.85</v>
      </c>
      <c r="Q114" s="357">
        <v>0.85</v>
      </c>
      <c r="R114" s="357">
        <v>0.85</v>
      </c>
      <c r="S114" s="357">
        <v>0.85</v>
      </c>
      <c r="T114" s="357">
        <v>0.85</v>
      </c>
      <c r="U114" s="357">
        <v>0.85</v>
      </c>
      <c r="V114" s="357">
        <v>0.85</v>
      </c>
      <c r="W114" s="357">
        <v>0.85</v>
      </c>
      <c r="X114" s="357">
        <v>0.85</v>
      </c>
      <c r="Y114" s="357">
        <v>0.85</v>
      </c>
      <c r="Z114" s="357">
        <v>0.85</v>
      </c>
      <c r="AA114" s="357">
        <v>0.85</v>
      </c>
      <c r="AB114" s="357">
        <v>0.85</v>
      </c>
      <c r="AC114" s="357">
        <v>0.85</v>
      </c>
      <c r="AD114" s="357">
        <v>0.85</v>
      </c>
      <c r="AE114" s="357">
        <v>0.85</v>
      </c>
      <c r="AF114" s="357">
        <v>0.85</v>
      </c>
      <c r="AG114" s="357">
        <v>0.85</v>
      </c>
      <c r="AH114" s="357">
        <v>0.85</v>
      </c>
      <c r="AI114" s="357">
        <v>0.85</v>
      </c>
      <c r="AJ114" s="357">
        <v>0.85</v>
      </c>
    </row>
    <row r="115" spans="2:36" x14ac:dyDescent="0.25">
      <c r="B115" s="641"/>
      <c r="D115" s="609"/>
      <c r="E115" s="404" t="s">
        <v>277</v>
      </c>
      <c r="F115" s="352" t="s">
        <v>194</v>
      </c>
      <c r="G115" s="357">
        <v>0.85</v>
      </c>
      <c r="H115" s="357">
        <v>0.85</v>
      </c>
      <c r="I115" s="357">
        <v>0.85</v>
      </c>
      <c r="J115" s="357">
        <v>0.85</v>
      </c>
      <c r="K115" s="357">
        <v>0.85</v>
      </c>
      <c r="L115" s="357">
        <v>0.85</v>
      </c>
      <c r="M115" s="357">
        <v>0.85</v>
      </c>
      <c r="N115" s="357">
        <v>0.85</v>
      </c>
      <c r="O115" s="357">
        <v>0.85</v>
      </c>
      <c r="P115" s="357">
        <v>0.85</v>
      </c>
      <c r="Q115" s="357">
        <v>0.85</v>
      </c>
      <c r="R115" s="357">
        <v>0.85</v>
      </c>
      <c r="S115" s="357">
        <v>0.85</v>
      </c>
      <c r="T115" s="357">
        <v>0.85</v>
      </c>
      <c r="U115" s="357">
        <v>0.85</v>
      </c>
      <c r="V115" s="357">
        <v>0.85</v>
      </c>
      <c r="W115" s="357">
        <v>0.85</v>
      </c>
      <c r="X115" s="357">
        <v>0.85</v>
      </c>
      <c r="Y115" s="357">
        <v>0.85</v>
      </c>
      <c r="Z115" s="357">
        <v>0.85</v>
      </c>
      <c r="AA115" s="357">
        <v>0.85</v>
      </c>
      <c r="AB115" s="357">
        <v>0.85</v>
      </c>
      <c r="AC115" s="357">
        <v>0.85</v>
      </c>
      <c r="AD115" s="357">
        <v>0.85</v>
      </c>
      <c r="AE115" s="357">
        <v>0.85</v>
      </c>
      <c r="AF115" s="357">
        <v>0.85</v>
      </c>
      <c r="AG115" s="357">
        <v>0.85</v>
      </c>
      <c r="AH115" s="357">
        <v>0.85</v>
      </c>
      <c r="AI115" s="357">
        <v>0.85</v>
      </c>
      <c r="AJ115" s="357">
        <v>0.85</v>
      </c>
    </row>
    <row r="116" spans="2:36" x14ac:dyDescent="0.25">
      <c r="B116" s="641"/>
      <c r="D116" s="610"/>
      <c r="E116" s="351" t="s">
        <v>276</v>
      </c>
      <c r="F116" s="352" t="s">
        <v>233</v>
      </c>
      <c r="G116" s="357">
        <v>0.85</v>
      </c>
      <c r="H116" s="357">
        <v>0.85</v>
      </c>
      <c r="I116" s="357">
        <v>0.85</v>
      </c>
      <c r="J116" s="357">
        <v>0.85</v>
      </c>
      <c r="K116" s="357">
        <v>0.85</v>
      </c>
      <c r="L116" s="357">
        <v>0.85</v>
      </c>
      <c r="M116" s="357">
        <v>0.85</v>
      </c>
      <c r="N116" s="357">
        <v>0.85</v>
      </c>
      <c r="O116" s="357">
        <v>0.85</v>
      </c>
      <c r="P116" s="357">
        <v>0.85</v>
      </c>
      <c r="Q116" s="357">
        <v>0.85</v>
      </c>
      <c r="R116" s="357">
        <v>0.85</v>
      </c>
      <c r="S116" s="357">
        <v>0.85</v>
      </c>
      <c r="T116" s="357">
        <v>0.85</v>
      </c>
      <c r="U116" s="357">
        <v>0.85</v>
      </c>
      <c r="V116" s="357">
        <v>0.85</v>
      </c>
      <c r="W116" s="357">
        <v>0.85</v>
      </c>
      <c r="X116" s="357">
        <v>0.85</v>
      </c>
      <c r="Y116" s="357">
        <v>0.85</v>
      </c>
      <c r="Z116" s="357">
        <v>0.85</v>
      </c>
      <c r="AA116" s="357">
        <v>0.85</v>
      </c>
      <c r="AB116" s="357">
        <v>0.85</v>
      </c>
      <c r="AC116" s="357">
        <v>0.85</v>
      </c>
      <c r="AD116" s="357">
        <v>0.85</v>
      </c>
      <c r="AE116" s="357">
        <v>0.85</v>
      </c>
      <c r="AF116" s="357">
        <v>0.85</v>
      </c>
      <c r="AG116" s="357">
        <v>0.85</v>
      </c>
      <c r="AH116" s="357">
        <v>0.85</v>
      </c>
      <c r="AI116" s="357">
        <v>0.85</v>
      </c>
      <c r="AJ116" s="357">
        <v>0.85</v>
      </c>
    </row>
    <row r="117" spans="2:36" x14ac:dyDescent="0.25">
      <c r="B117" s="641"/>
      <c r="D117" s="610"/>
      <c r="E117" s="351" t="s">
        <v>276</v>
      </c>
      <c r="F117" s="352" t="s">
        <v>232</v>
      </c>
      <c r="G117" s="357">
        <v>0.85</v>
      </c>
      <c r="H117" s="357">
        <v>0.85</v>
      </c>
      <c r="I117" s="357">
        <v>0.85</v>
      </c>
      <c r="J117" s="357">
        <v>0.85</v>
      </c>
      <c r="K117" s="357">
        <v>0.85</v>
      </c>
      <c r="L117" s="357">
        <v>0.85</v>
      </c>
      <c r="M117" s="357">
        <v>0.85</v>
      </c>
      <c r="N117" s="357">
        <v>0.85</v>
      </c>
      <c r="O117" s="357">
        <v>0.85</v>
      </c>
      <c r="P117" s="357">
        <v>0.85</v>
      </c>
      <c r="Q117" s="357">
        <v>0.85</v>
      </c>
      <c r="R117" s="357">
        <v>0.85</v>
      </c>
      <c r="S117" s="357">
        <v>0.85</v>
      </c>
      <c r="T117" s="357">
        <v>0.85</v>
      </c>
      <c r="U117" s="357">
        <v>0.85</v>
      </c>
      <c r="V117" s="357">
        <v>0.85</v>
      </c>
      <c r="W117" s="357">
        <v>0.85</v>
      </c>
      <c r="X117" s="357">
        <v>0.85</v>
      </c>
      <c r="Y117" s="357">
        <v>0.85</v>
      </c>
      <c r="Z117" s="357">
        <v>0.85</v>
      </c>
      <c r="AA117" s="357">
        <v>0.85</v>
      </c>
      <c r="AB117" s="357">
        <v>0.85</v>
      </c>
      <c r="AC117" s="357">
        <v>0.85</v>
      </c>
      <c r="AD117" s="357">
        <v>0.85</v>
      </c>
      <c r="AE117" s="357">
        <v>0.85</v>
      </c>
      <c r="AF117" s="357">
        <v>0.85</v>
      </c>
      <c r="AG117" s="357">
        <v>0.85</v>
      </c>
      <c r="AH117" s="357">
        <v>0.85</v>
      </c>
      <c r="AI117" s="357">
        <v>0.85</v>
      </c>
      <c r="AJ117" s="357">
        <v>0.85</v>
      </c>
    </row>
    <row r="118" spans="2:36" x14ac:dyDescent="0.25">
      <c r="B118" s="641"/>
      <c r="D118" s="610"/>
      <c r="E118" s="351" t="s">
        <v>276</v>
      </c>
      <c r="F118" s="352" t="s">
        <v>194</v>
      </c>
      <c r="G118" s="357">
        <v>0.85</v>
      </c>
      <c r="H118" s="357">
        <v>0.85</v>
      </c>
      <c r="I118" s="357">
        <v>0.85</v>
      </c>
      <c r="J118" s="357">
        <v>0.85</v>
      </c>
      <c r="K118" s="357">
        <v>0.85</v>
      </c>
      <c r="L118" s="357">
        <v>0.85</v>
      </c>
      <c r="M118" s="357">
        <v>0.85</v>
      </c>
      <c r="N118" s="357">
        <v>0.85</v>
      </c>
      <c r="O118" s="357">
        <v>0.85</v>
      </c>
      <c r="P118" s="357">
        <v>0.85</v>
      </c>
      <c r="Q118" s="357">
        <v>0.85</v>
      </c>
      <c r="R118" s="357">
        <v>0.85</v>
      </c>
      <c r="S118" s="357">
        <v>0.85</v>
      </c>
      <c r="T118" s="357">
        <v>0.85</v>
      </c>
      <c r="U118" s="357">
        <v>0.85</v>
      </c>
      <c r="V118" s="357">
        <v>0.85</v>
      </c>
      <c r="W118" s="357">
        <v>0.85</v>
      </c>
      <c r="X118" s="357">
        <v>0.85</v>
      </c>
      <c r="Y118" s="357">
        <v>0.85</v>
      </c>
      <c r="Z118" s="357">
        <v>0.85</v>
      </c>
      <c r="AA118" s="357">
        <v>0.85</v>
      </c>
      <c r="AB118" s="357">
        <v>0.85</v>
      </c>
      <c r="AC118" s="357">
        <v>0.85</v>
      </c>
      <c r="AD118" s="357">
        <v>0.85</v>
      </c>
      <c r="AE118" s="357">
        <v>0.85</v>
      </c>
      <c r="AF118" s="357">
        <v>0.85</v>
      </c>
      <c r="AG118" s="357">
        <v>0.85</v>
      </c>
      <c r="AH118" s="357">
        <v>0.85</v>
      </c>
      <c r="AI118" s="357">
        <v>0.85</v>
      </c>
      <c r="AJ118" s="357">
        <v>0.85</v>
      </c>
    </row>
    <row r="119" spans="2:36" x14ac:dyDescent="0.25">
      <c r="B119" s="641"/>
      <c r="D119" s="610"/>
      <c r="E119" s="351" t="s">
        <v>146</v>
      </c>
      <c r="F119" s="352" t="s">
        <v>233</v>
      </c>
      <c r="G119" s="357">
        <v>0.85</v>
      </c>
      <c r="H119" s="357">
        <v>0.85</v>
      </c>
      <c r="I119" s="357">
        <v>0.85</v>
      </c>
      <c r="J119" s="357">
        <v>0.85</v>
      </c>
      <c r="K119" s="357">
        <v>0.85</v>
      </c>
      <c r="L119" s="357">
        <v>0.85</v>
      </c>
      <c r="M119" s="357">
        <v>0.85</v>
      </c>
      <c r="N119" s="357">
        <v>0.85</v>
      </c>
      <c r="O119" s="357">
        <v>0.85</v>
      </c>
      <c r="P119" s="357">
        <v>0.85</v>
      </c>
      <c r="Q119" s="357">
        <v>0.85</v>
      </c>
      <c r="R119" s="357">
        <v>0.85</v>
      </c>
      <c r="S119" s="357">
        <v>0.85</v>
      </c>
      <c r="T119" s="357">
        <v>0.85</v>
      </c>
      <c r="U119" s="357">
        <v>0.85</v>
      </c>
      <c r="V119" s="357">
        <v>0.85</v>
      </c>
      <c r="W119" s="357">
        <v>0.85</v>
      </c>
      <c r="X119" s="357">
        <v>0.85</v>
      </c>
      <c r="Y119" s="357">
        <v>0.85</v>
      </c>
      <c r="Z119" s="357">
        <v>0.85</v>
      </c>
      <c r="AA119" s="357">
        <v>0.85</v>
      </c>
      <c r="AB119" s="357">
        <v>0.85</v>
      </c>
      <c r="AC119" s="357">
        <v>0.85</v>
      </c>
      <c r="AD119" s="357">
        <v>0.85</v>
      </c>
      <c r="AE119" s="357">
        <v>0.85</v>
      </c>
      <c r="AF119" s="357">
        <v>0.85</v>
      </c>
      <c r="AG119" s="357">
        <v>0.85</v>
      </c>
      <c r="AH119" s="357">
        <v>0.85</v>
      </c>
      <c r="AI119" s="357">
        <v>0.85</v>
      </c>
      <c r="AJ119" s="357">
        <v>0.85</v>
      </c>
    </row>
    <row r="120" spans="2:36" x14ac:dyDescent="0.25">
      <c r="B120" s="641"/>
      <c r="D120" s="610"/>
      <c r="E120" s="351" t="s">
        <v>146</v>
      </c>
      <c r="F120" s="352" t="s">
        <v>232</v>
      </c>
      <c r="G120" s="357">
        <v>0.85</v>
      </c>
      <c r="H120" s="357">
        <v>0.85</v>
      </c>
      <c r="I120" s="357">
        <v>0.85</v>
      </c>
      <c r="J120" s="357">
        <v>0.85</v>
      </c>
      <c r="K120" s="357">
        <v>0.85</v>
      </c>
      <c r="L120" s="357">
        <v>0.85</v>
      </c>
      <c r="M120" s="357">
        <v>0.85</v>
      </c>
      <c r="N120" s="357">
        <v>0.85</v>
      </c>
      <c r="O120" s="357">
        <v>0.85</v>
      </c>
      <c r="P120" s="357">
        <v>0.85</v>
      </c>
      <c r="Q120" s="357">
        <v>0.85</v>
      </c>
      <c r="R120" s="357">
        <v>0.85</v>
      </c>
      <c r="S120" s="357">
        <v>0.85</v>
      </c>
      <c r="T120" s="357">
        <v>0.85</v>
      </c>
      <c r="U120" s="357">
        <v>0.85</v>
      </c>
      <c r="V120" s="357">
        <v>0.85</v>
      </c>
      <c r="W120" s="357">
        <v>0.85</v>
      </c>
      <c r="X120" s="357">
        <v>0.85</v>
      </c>
      <c r="Y120" s="357">
        <v>0.85</v>
      </c>
      <c r="Z120" s="357">
        <v>0.85</v>
      </c>
      <c r="AA120" s="357">
        <v>0.85</v>
      </c>
      <c r="AB120" s="357">
        <v>0.85</v>
      </c>
      <c r="AC120" s="357">
        <v>0.85</v>
      </c>
      <c r="AD120" s="357">
        <v>0.85</v>
      </c>
      <c r="AE120" s="357">
        <v>0.85</v>
      </c>
      <c r="AF120" s="357">
        <v>0.85</v>
      </c>
      <c r="AG120" s="357">
        <v>0.85</v>
      </c>
      <c r="AH120" s="357">
        <v>0.85</v>
      </c>
      <c r="AI120" s="357">
        <v>0.85</v>
      </c>
      <c r="AJ120" s="357">
        <v>0.85</v>
      </c>
    </row>
    <row r="121" spans="2:36" x14ac:dyDescent="0.25">
      <c r="B121" s="641"/>
      <c r="D121" s="610"/>
      <c r="E121" s="351" t="s">
        <v>146</v>
      </c>
      <c r="F121" s="352" t="s">
        <v>194</v>
      </c>
      <c r="G121" s="357">
        <v>0.85</v>
      </c>
      <c r="H121" s="357">
        <v>0.85</v>
      </c>
      <c r="I121" s="357">
        <v>0.85</v>
      </c>
      <c r="J121" s="357">
        <v>0.85</v>
      </c>
      <c r="K121" s="357">
        <v>0.85</v>
      </c>
      <c r="L121" s="357">
        <v>0.85</v>
      </c>
      <c r="M121" s="357">
        <v>0.85</v>
      </c>
      <c r="N121" s="357">
        <v>0.85</v>
      </c>
      <c r="O121" s="357">
        <v>0.85</v>
      </c>
      <c r="P121" s="357">
        <v>0.85</v>
      </c>
      <c r="Q121" s="357">
        <v>0.85</v>
      </c>
      <c r="R121" s="357">
        <v>0.85</v>
      </c>
      <c r="S121" s="357">
        <v>0.85</v>
      </c>
      <c r="T121" s="357">
        <v>0.85</v>
      </c>
      <c r="U121" s="357">
        <v>0.85</v>
      </c>
      <c r="V121" s="357">
        <v>0.85</v>
      </c>
      <c r="W121" s="357">
        <v>0.85</v>
      </c>
      <c r="X121" s="357">
        <v>0.85</v>
      </c>
      <c r="Y121" s="357">
        <v>0.85</v>
      </c>
      <c r="Z121" s="357">
        <v>0.85</v>
      </c>
      <c r="AA121" s="357">
        <v>0.85</v>
      </c>
      <c r="AB121" s="357">
        <v>0.85</v>
      </c>
      <c r="AC121" s="357">
        <v>0.85</v>
      </c>
      <c r="AD121" s="357">
        <v>0.85</v>
      </c>
      <c r="AE121" s="357">
        <v>0.85</v>
      </c>
      <c r="AF121" s="357">
        <v>0.85</v>
      </c>
      <c r="AG121" s="357">
        <v>0.85</v>
      </c>
      <c r="AH121" s="357">
        <v>0.85</v>
      </c>
      <c r="AI121" s="357">
        <v>0.85</v>
      </c>
      <c r="AJ121" s="357">
        <v>0.85</v>
      </c>
    </row>
    <row r="122" spans="2:36" x14ac:dyDescent="0.25">
      <c r="B122" s="641"/>
      <c r="D122" s="610"/>
      <c r="E122" s="351" t="s">
        <v>275</v>
      </c>
      <c r="F122" s="352" t="s">
        <v>233</v>
      </c>
      <c r="G122" s="357">
        <v>0.85</v>
      </c>
      <c r="H122" s="357">
        <v>0.85</v>
      </c>
      <c r="I122" s="357">
        <v>0.85</v>
      </c>
      <c r="J122" s="357">
        <v>0.85</v>
      </c>
      <c r="K122" s="357">
        <v>0.85</v>
      </c>
      <c r="L122" s="357">
        <v>0.85</v>
      </c>
      <c r="M122" s="357">
        <v>0.85</v>
      </c>
      <c r="N122" s="357">
        <v>0.85</v>
      </c>
      <c r="O122" s="357">
        <v>0.85</v>
      </c>
      <c r="P122" s="357">
        <v>0.85</v>
      </c>
      <c r="Q122" s="357">
        <v>0.85</v>
      </c>
      <c r="R122" s="357">
        <v>0.85</v>
      </c>
      <c r="S122" s="357">
        <v>0.85</v>
      </c>
      <c r="T122" s="357">
        <v>0.85</v>
      </c>
      <c r="U122" s="357">
        <v>0.85</v>
      </c>
      <c r="V122" s="357">
        <v>0.85</v>
      </c>
      <c r="W122" s="357">
        <v>0.85</v>
      </c>
      <c r="X122" s="357">
        <v>0.85</v>
      </c>
      <c r="Y122" s="357">
        <v>0.85</v>
      </c>
      <c r="Z122" s="357">
        <v>0.85</v>
      </c>
      <c r="AA122" s="357">
        <v>0.85</v>
      </c>
      <c r="AB122" s="357">
        <v>0.85</v>
      </c>
      <c r="AC122" s="357">
        <v>0.85</v>
      </c>
      <c r="AD122" s="357">
        <v>0.85</v>
      </c>
      <c r="AE122" s="357">
        <v>0.85</v>
      </c>
      <c r="AF122" s="357">
        <v>0.85</v>
      </c>
      <c r="AG122" s="357">
        <v>0.85</v>
      </c>
      <c r="AH122" s="357">
        <v>0.85</v>
      </c>
      <c r="AI122" s="357">
        <v>0.85</v>
      </c>
      <c r="AJ122" s="357">
        <v>0.85</v>
      </c>
    </row>
    <row r="123" spans="2:36" x14ac:dyDescent="0.25">
      <c r="B123" s="641"/>
      <c r="D123" s="610"/>
      <c r="E123" s="351" t="s">
        <v>275</v>
      </c>
      <c r="F123" s="352" t="s">
        <v>232</v>
      </c>
      <c r="G123" s="357">
        <v>0.85</v>
      </c>
      <c r="H123" s="357">
        <v>0.85</v>
      </c>
      <c r="I123" s="357">
        <v>0.85</v>
      </c>
      <c r="J123" s="357">
        <v>0.85</v>
      </c>
      <c r="K123" s="357">
        <v>0.85</v>
      </c>
      <c r="L123" s="357">
        <v>0.85</v>
      </c>
      <c r="M123" s="357">
        <v>0.85</v>
      </c>
      <c r="N123" s="357">
        <v>0.85</v>
      </c>
      <c r="O123" s="357">
        <v>0.85</v>
      </c>
      <c r="P123" s="357">
        <v>0.85</v>
      </c>
      <c r="Q123" s="357">
        <v>0.85</v>
      </c>
      <c r="R123" s="357">
        <v>0.85</v>
      </c>
      <c r="S123" s="357">
        <v>0.85</v>
      </c>
      <c r="T123" s="357">
        <v>0.85</v>
      </c>
      <c r="U123" s="357">
        <v>0.85</v>
      </c>
      <c r="V123" s="357">
        <v>0.85</v>
      </c>
      <c r="W123" s="357">
        <v>0.85</v>
      </c>
      <c r="X123" s="357">
        <v>0.85</v>
      </c>
      <c r="Y123" s="357">
        <v>0.85</v>
      </c>
      <c r="Z123" s="357">
        <v>0.85</v>
      </c>
      <c r="AA123" s="357">
        <v>0.85</v>
      </c>
      <c r="AB123" s="357">
        <v>0.85</v>
      </c>
      <c r="AC123" s="357">
        <v>0.85</v>
      </c>
      <c r="AD123" s="357">
        <v>0.85</v>
      </c>
      <c r="AE123" s="357">
        <v>0.85</v>
      </c>
      <c r="AF123" s="357">
        <v>0.85</v>
      </c>
      <c r="AG123" s="357">
        <v>0.85</v>
      </c>
      <c r="AH123" s="357">
        <v>0.85</v>
      </c>
      <c r="AI123" s="357">
        <v>0.85</v>
      </c>
      <c r="AJ123" s="357">
        <v>0.85</v>
      </c>
    </row>
    <row r="124" spans="2:36" x14ac:dyDescent="0.25">
      <c r="B124" s="641"/>
      <c r="D124" s="610"/>
      <c r="E124" s="351" t="s">
        <v>275</v>
      </c>
      <c r="F124" s="352" t="s">
        <v>194</v>
      </c>
      <c r="G124" s="357">
        <v>0.85</v>
      </c>
      <c r="H124" s="357">
        <v>0.85</v>
      </c>
      <c r="I124" s="357">
        <v>0.85</v>
      </c>
      <c r="J124" s="357">
        <v>0.85</v>
      </c>
      <c r="K124" s="357">
        <v>0.85</v>
      </c>
      <c r="L124" s="357">
        <v>0.85</v>
      </c>
      <c r="M124" s="357">
        <v>0.85</v>
      </c>
      <c r="N124" s="357">
        <v>0.85</v>
      </c>
      <c r="O124" s="357">
        <v>0.85</v>
      </c>
      <c r="P124" s="357">
        <v>0.85</v>
      </c>
      <c r="Q124" s="357">
        <v>0.85</v>
      </c>
      <c r="R124" s="357">
        <v>0.85</v>
      </c>
      <c r="S124" s="357">
        <v>0.85</v>
      </c>
      <c r="T124" s="357">
        <v>0.85</v>
      </c>
      <c r="U124" s="357">
        <v>0.85</v>
      </c>
      <c r="V124" s="357">
        <v>0.85</v>
      </c>
      <c r="W124" s="357">
        <v>0.85</v>
      </c>
      <c r="X124" s="357">
        <v>0.85</v>
      </c>
      <c r="Y124" s="357">
        <v>0.85</v>
      </c>
      <c r="Z124" s="357">
        <v>0.85</v>
      </c>
      <c r="AA124" s="357">
        <v>0.85</v>
      </c>
      <c r="AB124" s="357">
        <v>0.85</v>
      </c>
      <c r="AC124" s="357">
        <v>0.85</v>
      </c>
      <c r="AD124" s="357">
        <v>0.85</v>
      </c>
      <c r="AE124" s="357">
        <v>0.85</v>
      </c>
      <c r="AF124" s="357">
        <v>0.85</v>
      </c>
      <c r="AG124" s="357">
        <v>0.85</v>
      </c>
      <c r="AH124" s="357">
        <v>0.85</v>
      </c>
      <c r="AI124" s="357">
        <v>0.85</v>
      </c>
      <c r="AJ124" s="357">
        <v>0.85</v>
      </c>
    </row>
    <row r="125" spans="2:36" x14ac:dyDescent="0.25">
      <c r="B125" s="641"/>
      <c r="D125" s="610"/>
      <c r="E125" s="351" t="s">
        <v>274</v>
      </c>
      <c r="F125" s="352" t="s">
        <v>233</v>
      </c>
      <c r="G125" s="357">
        <v>0.85</v>
      </c>
      <c r="H125" s="357">
        <v>0.85</v>
      </c>
      <c r="I125" s="357">
        <v>0.85</v>
      </c>
      <c r="J125" s="357">
        <v>0.85</v>
      </c>
      <c r="K125" s="357">
        <v>0.85</v>
      </c>
      <c r="L125" s="357">
        <v>0.85</v>
      </c>
      <c r="M125" s="357">
        <v>0.85</v>
      </c>
      <c r="N125" s="357">
        <v>0.85</v>
      </c>
      <c r="O125" s="357">
        <v>0.85</v>
      </c>
      <c r="P125" s="357">
        <v>0.85</v>
      </c>
      <c r="Q125" s="357">
        <v>0.85</v>
      </c>
      <c r="R125" s="357">
        <v>0.85</v>
      </c>
      <c r="S125" s="357">
        <v>0.85</v>
      </c>
      <c r="T125" s="357">
        <v>0.85</v>
      </c>
      <c r="U125" s="357">
        <v>0.85</v>
      </c>
      <c r="V125" s="357">
        <v>0.85</v>
      </c>
      <c r="W125" s="357">
        <v>0.85</v>
      </c>
      <c r="X125" s="357">
        <v>0.85</v>
      </c>
      <c r="Y125" s="357">
        <v>0.85</v>
      </c>
      <c r="Z125" s="357">
        <v>0.85</v>
      </c>
      <c r="AA125" s="357">
        <v>0.85</v>
      </c>
      <c r="AB125" s="357">
        <v>0.85</v>
      </c>
      <c r="AC125" s="357">
        <v>0.85</v>
      </c>
      <c r="AD125" s="357">
        <v>0.85</v>
      </c>
      <c r="AE125" s="357">
        <v>0.85</v>
      </c>
      <c r="AF125" s="357">
        <v>0.85</v>
      </c>
      <c r="AG125" s="357">
        <v>0.85</v>
      </c>
      <c r="AH125" s="357">
        <v>0.85</v>
      </c>
      <c r="AI125" s="357">
        <v>0.85</v>
      </c>
      <c r="AJ125" s="357">
        <v>0.85</v>
      </c>
    </row>
    <row r="126" spans="2:36" x14ac:dyDescent="0.25">
      <c r="B126" s="641"/>
      <c r="D126" s="610"/>
      <c r="E126" s="351" t="s">
        <v>274</v>
      </c>
      <c r="F126" s="352" t="s">
        <v>232</v>
      </c>
      <c r="G126" s="357">
        <v>0.85</v>
      </c>
      <c r="H126" s="357">
        <v>0.85</v>
      </c>
      <c r="I126" s="357">
        <v>0.85</v>
      </c>
      <c r="J126" s="357">
        <v>0.85</v>
      </c>
      <c r="K126" s="357">
        <v>0.85</v>
      </c>
      <c r="L126" s="357">
        <v>0.85</v>
      </c>
      <c r="M126" s="357">
        <v>0.85</v>
      </c>
      <c r="N126" s="357">
        <v>0.85</v>
      </c>
      <c r="O126" s="357">
        <v>0.85</v>
      </c>
      <c r="P126" s="357">
        <v>0.85</v>
      </c>
      <c r="Q126" s="357">
        <v>0.85</v>
      </c>
      <c r="R126" s="357">
        <v>0.85</v>
      </c>
      <c r="S126" s="357">
        <v>0.85</v>
      </c>
      <c r="T126" s="357">
        <v>0.85</v>
      </c>
      <c r="U126" s="357">
        <v>0.85</v>
      </c>
      <c r="V126" s="357">
        <v>0.85</v>
      </c>
      <c r="W126" s="357">
        <v>0.85</v>
      </c>
      <c r="X126" s="357">
        <v>0.85</v>
      </c>
      <c r="Y126" s="357">
        <v>0.85</v>
      </c>
      <c r="Z126" s="357">
        <v>0.85</v>
      </c>
      <c r="AA126" s="357">
        <v>0.85</v>
      </c>
      <c r="AB126" s="357">
        <v>0.85</v>
      </c>
      <c r="AC126" s="357">
        <v>0.85</v>
      </c>
      <c r="AD126" s="357">
        <v>0.85</v>
      </c>
      <c r="AE126" s="357">
        <v>0.85</v>
      </c>
      <c r="AF126" s="357">
        <v>0.85</v>
      </c>
      <c r="AG126" s="357">
        <v>0.85</v>
      </c>
      <c r="AH126" s="357">
        <v>0.85</v>
      </c>
      <c r="AI126" s="357">
        <v>0.85</v>
      </c>
      <c r="AJ126" s="357">
        <v>0.85</v>
      </c>
    </row>
    <row r="127" spans="2:36" x14ac:dyDescent="0.25">
      <c r="B127" s="641"/>
      <c r="D127" s="610"/>
      <c r="E127" s="351" t="s">
        <v>274</v>
      </c>
      <c r="F127" s="352" t="s">
        <v>194</v>
      </c>
      <c r="G127" s="357">
        <v>0.85</v>
      </c>
      <c r="H127" s="357">
        <v>0.85</v>
      </c>
      <c r="I127" s="357">
        <v>0.85</v>
      </c>
      <c r="J127" s="357">
        <v>0.85</v>
      </c>
      <c r="K127" s="357">
        <v>0.85</v>
      </c>
      <c r="L127" s="357">
        <v>0.85</v>
      </c>
      <c r="M127" s="357">
        <v>0.85</v>
      </c>
      <c r="N127" s="357">
        <v>0.85</v>
      </c>
      <c r="O127" s="357">
        <v>0.85</v>
      </c>
      <c r="P127" s="357">
        <v>0.85</v>
      </c>
      <c r="Q127" s="357">
        <v>0.85</v>
      </c>
      <c r="R127" s="357">
        <v>0.85</v>
      </c>
      <c r="S127" s="357">
        <v>0.85</v>
      </c>
      <c r="T127" s="357">
        <v>0.85</v>
      </c>
      <c r="U127" s="357">
        <v>0.85</v>
      </c>
      <c r="V127" s="357">
        <v>0.85</v>
      </c>
      <c r="W127" s="357">
        <v>0.85</v>
      </c>
      <c r="X127" s="357">
        <v>0.85</v>
      </c>
      <c r="Y127" s="357">
        <v>0.85</v>
      </c>
      <c r="Z127" s="357">
        <v>0.85</v>
      </c>
      <c r="AA127" s="357">
        <v>0.85</v>
      </c>
      <c r="AB127" s="357">
        <v>0.85</v>
      </c>
      <c r="AC127" s="357">
        <v>0.85</v>
      </c>
      <c r="AD127" s="357">
        <v>0.85</v>
      </c>
      <c r="AE127" s="357">
        <v>0.85</v>
      </c>
      <c r="AF127" s="357">
        <v>0.85</v>
      </c>
      <c r="AG127" s="357">
        <v>0.85</v>
      </c>
      <c r="AH127" s="357">
        <v>0.85</v>
      </c>
      <c r="AI127" s="357">
        <v>0.85</v>
      </c>
      <c r="AJ127" s="357">
        <v>0.85</v>
      </c>
    </row>
    <row r="128" spans="2:36" x14ac:dyDescent="0.25">
      <c r="B128" s="641"/>
    </row>
    <row r="129" spans="1:36" x14ac:dyDescent="0.25">
      <c r="B129" s="641"/>
      <c r="G129" s="31">
        <v>2021</v>
      </c>
      <c r="H129" s="31">
        <v>2022</v>
      </c>
      <c r="I129" s="31">
        <v>2023</v>
      </c>
      <c r="J129" s="31">
        <v>2024</v>
      </c>
      <c r="K129" s="31">
        <v>2025</v>
      </c>
      <c r="L129" s="31">
        <v>2026</v>
      </c>
      <c r="M129" s="31">
        <v>2027</v>
      </c>
      <c r="N129" s="31">
        <v>2028</v>
      </c>
      <c r="O129" s="31">
        <v>2029</v>
      </c>
      <c r="P129" s="31">
        <v>2030</v>
      </c>
      <c r="Q129" s="31">
        <v>2031</v>
      </c>
      <c r="R129" s="31">
        <v>2032</v>
      </c>
      <c r="S129" s="31">
        <v>2033</v>
      </c>
      <c r="T129" s="31">
        <v>2034</v>
      </c>
      <c r="U129" s="31">
        <v>2035</v>
      </c>
      <c r="V129" s="31">
        <v>2036</v>
      </c>
      <c r="W129" s="31">
        <v>2037</v>
      </c>
      <c r="X129" s="31">
        <v>2038</v>
      </c>
      <c r="Y129" s="31">
        <v>2039</v>
      </c>
      <c r="Z129" s="31">
        <v>2040</v>
      </c>
      <c r="AA129" s="31">
        <v>2041</v>
      </c>
      <c r="AB129" s="31">
        <v>2042</v>
      </c>
      <c r="AC129" s="31">
        <v>2043</v>
      </c>
      <c r="AD129" s="31">
        <v>2044</v>
      </c>
      <c r="AE129" s="31">
        <v>2045</v>
      </c>
      <c r="AF129" s="31">
        <v>2046</v>
      </c>
      <c r="AG129" s="31">
        <v>2047</v>
      </c>
      <c r="AH129" s="31">
        <v>2048</v>
      </c>
      <c r="AI129" s="31">
        <v>2049</v>
      </c>
      <c r="AJ129" s="31">
        <v>2050</v>
      </c>
    </row>
    <row r="130" spans="1:36" x14ac:dyDescent="0.25">
      <c r="A130" s="325" t="str">
        <f t="shared" ref="A130:A144" si="2">$D$130&amp;"_"&amp;E130&amp;"_"&amp;F130</f>
        <v>Capacity Factor (%)_Commercial Battery Storage 1Hr_Advanced</v>
      </c>
      <c r="B130" s="641"/>
      <c r="D130" s="608" t="s">
        <v>237</v>
      </c>
      <c r="E130" s="351" t="s">
        <v>277</v>
      </c>
      <c r="F130" s="352" t="s">
        <v>233</v>
      </c>
      <c r="G130" s="357">
        <v>8.3000000000000004E-2</v>
      </c>
      <c r="H130" s="357">
        <v>8.3000000000000004E-2</v>
      </c>
      <c r="I130" s="357">
        <v>8.3000000000000004E-2</v>
      </c>
      <c r="J130" s="357">
        <v>8.3000000000000004E-2</v>
      </c>
      <c r="K130" s="357">
        <v>8.3000000000000004E-2</v>
      </c>
      <c r="L130" s="357">
        <v>8.3000000000000004E-2</v>
      </c>
      <c r="M130" s="357">
        <v>8.3000000000000004E-2</v>
      </c>
      <c r="N130" s="357">
        <v>8.3000000000000004E-2</v>
      </c>
      <c r="O130" s="357">
        <v>8.3000000000000004E-2</v>
      </c>
      <c r="P130" s="357">
        <v>8.3000000000000004E-2</v>
      </c>
      <c r="Q130" s="357">
        <v>8.3000000000000004E-2</v>
      </c>
      <c r="R130" s="357">
        <v>8.3000000000000004E-2</v>
      </c>
      <c r="S130" s="357">
        <v>8.3000000000000004E-2</v>
      </c>
      <c r="T130" s="357">
        <v>8.3000000000000004E-2</v>
      </c>
      <c r="U130" s="357">
        <v>8.3000000000000004E-2</v>
      </c>
      <c r="V130" s="357">
        <v>8.3000000000000004E-2</v>
      </c>
      <c r="W130" s="357">
        <v>8.3000000000000004E-2</v>
      </c>
      <c r="X130" s="357">
        <v>8.3000000000000004E-2</v>
      </c>
      <c r="Y130" s="357">
        <v>8.3000000000000004E-2</v>
      </c>
      <c r="Z130" s="357">
        <v>8.3000000000000004E-2</v>
      </c>
      <c r="AA130" s="357">
        <v>8.3000000000000004E-2</v>
      </c>
      <c r="AB130" s="357">
        <v>8.3000000000000004E-2</v>
      </c>
      <c r="AC130" s="357">
        <v>8.3000000000000004E-2</v>
      </c>
      <c r="AD130" s="357">
        <v>8.3000000000000004E-2</v>
      </c>
      <c r="AE130" s="357">
        <v>8.3000000000000004E-2</v>
      </c>
      <c r="AF130" s="357">
        <v>8.3000000000000004E-2</v>
      </c>
      <c r="AG130" s="357">
        <v>8.3000000000000004E-2</v>
      </c>
      <c r="AH130" s="357">
        <v>8.3000000000000004E-2</v>
      </c>
      <c r="AI130" s="357">
        <v>8.3000000000000004E-2</v>
      </c>
      <c r="AJ130" s="357">
        <v>8.3000000000000004E-2</v>
      </c>
    </row>
    <row r="131" spans="1:36" x14ac:dyDescent="0.25">
      <c r="A131" s="325" t="str">
        <f t="shared" si="2"/>
        <v>Capacity Factor (%)_Commercial Battery Storage 1Hr_Moderate</v>
      </c>
      <c r="B131" s="641"/>
      <c r="D131" s="609"/>
      <c r="E131" s="354" t="s">
        <v>277</v>
      </c>
      <c r="F131" s="352" t="s">
        <v>232</v>
      </c>
      <c r="G131" s="357">
        <v>8.3000000000000004E-2</v>
      </c>
      <c r="H131" s="357">
        <v>8.3000000000000004E-2</v>
      </c>
      <c r="I131" s="357">
        <v>8.3000000000000004E-2</v>
      </c>
      <c r="J131" s="357">
        <v>8.3000000000000004E-2</v>
      </c>
      <c r="K131" s="357">
        <v>8.3000000000000004E-2</v>
      </c>
      <c r="L131" s="357">
        <v>8.3000000000000004E-2</v>
      </c>
      <c r="M131" s="357">
        <v>8.3000000000000004E-2</v>
      </c>
      <c r="N131" s="357">
        <v>8.3000000000000004E-2</v>
      </c>
      <c r="O131" s="357">
        <v>8.3000000000000004E-2</v>
      </c>
      <c r="P131" s="357">
        <v>8.3000000000000004E-2</v>
      </c>
      <c r="Q131" s="357">
        <v>8.3000000000000004E-2</v>
      </c>
      <c r="R131" s="357">
        <v>8.3000000000000004E-2</v>
      </c>
      <c r="S131" s="357">
        <v>8.3000000000000004E-2</v>
      </c>
      <c r="T131" s="357">
        <v>8.3000000000000004E-2</v>
      </c>
      <c r="U131" s="357">
        <v>8.3000000000000004E-2</v>
      </c>
      <c r="V131" s="357">
        <v>8.3000000000000004E-2</v>
      </c>
      <c r="W131" s="357">
        <v>8.3000000000000004E-2</v>
      </c>
      <c r="X131" s="357">
        <v>8.3000000000000004E-2</v>
      </c>
      <c r="Y131" s="357">
        <v>8.3000000000000004E-2</v>
      </c>
      <c r="Z131" s="357">
        <v>8.3000000000000004E-2</v>
      </c>
      <c r="AA131" s="357">
        <v>8.3000000000000004E-2</v>
      </c>
      <c r="AB131" s="357">
        <v>8.3000000000000004E-2</v>
      </c>
      <c r="AC131" s="357">
        <v>8.3000000000000004E-2</v>
      </c>
      <c r="AD131" s="357">
        <v>8.3000000000000004E-2</v>
      </c>
      <c r="AE131" s="357">
        <v>8.3000000000000004E-2</v>
      </c>
      <c r="AF131" s="357">
        <v>8.3000000000000004E-2</v>
      </c>
      <c r="AG131" s="357">
        <v>8.3000000000000004E-2</v>
      </c>
      <c r="AH131" s="357">
        <v>8.3000000000000004E-2</v>
      </c>
      <c r="AI131" s="357">
        <v>8.3000000000000004E-2</v>
      </c>
      <c r="AJ131" s="357">
        <v>8.3000000000000004E-2</v>
      </c>
    </row>
    <row r="132" spans="1:36" x14ac:dyDescent="0.25">
      <c r="A132" s="325" t="str">
        <f t="shared" si="2"/>
        <v>Capacity Factor (%)_Commercial Battery Storage 1Hr_Conservative</v>
      </c>
      <c r="B132" s="641"/>
      <c r="D132" s="609"/>
      <c r="E132" s="404" t="s">
        <v>277</v>
      </c>
      <c r="F132" s="352" t="s">
        <v>194</v>
      </c>
      <c r="G132" s="357">
        <v>8.3000000000000004E-2</v>
      </c>
      <c r="H132" s="357">
        <v>8.3000000000000004E-2</v>
      </c>
      <c r="I132" s="357">
        <v>8.3000000000000004E-2</v>
      </c>
      <c r="J132" s="357">
        <v>8.3000000000000004E-2</v>
      </c>
      <c r="K132" s="357">
        <v>8.3000000000000004E-2</v>
      </c>
      <c r="L132" s="357">
        <v>8.3000000000000004E-2</v>
      </c>
      <c r="M132" s="357">
        <v>8.3000000000000004E-2</v>
      </c>
      <c r="N132" s="357">
        <v>8.3000000000000004E-2</v>
      </c>
      <c r="O132" s="357">
        <v>8.3000000000000004E-2</v>
      </c>
      <c r="P132" s="357">
        <v>8.3000000000000004E-2</v>
      </c>
      <c r="Q132" s="357">
        <v>8.3000000000000004E-2</v>
      </c>
      <c r="R132" s="357">
        <v>8.3000000000000004E-2</v>
      </c>
      <c r="S132" s="357">
        <v>8.3000000000000004E-2</v>
      </c>
      <c r="T132" s="357">
        <v>8.3000000000000004E-2</v>
      </c>
      <c r="U132" s="357">
        <v>8.3000000000000004E-2</v>
      </c>
      <c r="V132" s="357">
        <v>8.3000000000000004E-2</v>
      </c>
      <c r="W132" s="357">
        <v>8.3000000000000004E-2</v>
      </c>
      <c r="X132" s="357">
        <v>8.3000000000000004E-2</v>
      </c>
      <c r="Y132" s="357">
        <v>8.3000000000000004E-2</v>
      </c>
      <c r="Z132" s="357">
        <v>8.3000000000000004E-2</v>
      </c>
      <c r="AA132" s="357">
        <v>8.3000000000000004E-2</v>
      </c>
      <c r="AB132" s="357">
        <v>8.3000000000000004E-2</v>
      </c>
      <c r="AC132" s="357">
        <v>8.3000000000000004E-2</v>
      </c>
      <c r="AD132" s="357">
        <v>8.3000000000000004E-2</v>
      </c>
      <c r="AE132" s="357">
        <v>8.3000000000000004E-2</v>
      </c>
      <c r="AF132" s="357">
        <v>8.3000000000000004E-2</v>
      </c>
      <c r="AG132" s="357">
        <v>8.3000000000000004E-2</v>
      </c>
      <c r="AH132" s="357">
        <v>8.3000000000000004E-2</v>
      </c>
      <c r="AI132" s="357">
        <v>8.3000000000000004E-2</v>
      </c>
      <c r="AJ132" s="357">
        <v>8.3000000000000004E-2</v>
      </c>
    </row>
    <row r="133" spans="1:36" x14ac:dyDescent="0.25">
      <c r="A133" s="325" t="str">
        <f t="shared" si="2"/>
        <v>Capacity Factor (%)_Commercial Battery Storage 2Hr_Advanced</v>
      </c>
      <c r="B133" s="641"/>
      <c r="D133" s="610"/>
      <c r="E133" s="351" t="s">
        <v>276</v>
      </c>
      <c r="F133" s="352" t="s">
        <v>233</v>
      </c>
      <c r="G133" s="357">
        <v>0.16699999999999998</v>
      </c>
      <c r="H133" s="357">
        <v>0.16699999999999998</v>
      </c>
      <c r="I133" s="357">
        <v>0.16699999999999998</v>
      </c>
      <c r="J133" s="357">
        <v>0.16699999999999998</v>
      </c>
      <c r="K133" s="357">
        <v>0.16699999999999998</v>
      </c>
      <c r="L133" s="357">
        <v>0.16699999999999998</v>
      </c>
      <c r="M133" s="357">
        <v>0.16699999999999998</v>
      </c>
      <c r="N133" s="357">
        <v>0.16699999999999998</v>
      </c>
      <c r="O133" s="357">
        <v>0.16699999999999998</v>
      </c>
      <c r="P133" s="357">
        <v>0.16699999999999998</v>
      </c>
      <c r="Q133" s="357">
        <v>0.16699999999999998</v>
      </c>
      <c r="R133" s="357">
        <v>0.16699999999999998</v>
      </c>
      <c r="S133" s="357">
        <v>0.16699999999999998</v>
      </c>
      <c r="T133" s="357">
        <v>0.16699999999999998</v>
      </c>
      <c r="U133" s="357">
        <v>0.16699999999999998</v>
      </c>
      <c r="V133" s="357">
        <v>0.16699999999999998</v>
      </c>
      <c r="W133" s="357">
        <v>0.16699999999999998</v>
      </c>
      <c r="X133" s="357">
        <v>0.16699999999999998</v>
      </c>
      <c r="Y133" s="357">
        <v>0.16699999999999998</v>
      </c>
      <c r="Z133" s="357">
        <v>0.16699999999999998</v>
      </c>
      <c r="AA133" s="357">
        <v>0.16699999999999998</v>
      </c>
      <c r="AB133" s="357">
        <v>0.16699999999999998</v>
      </c>
      <c r="AC133" s="357">
        <v>0.16699999999999998</v>
      </c>
      <c r="AD133" s="357">
        <v>0.16699999999999998</v>
      </c>
      <c r="AE133" s="357">
        <v>0.16699999999999998</v>
      </c>
      <c r="AF133" s="357">
        <v>0.16699999999999998</v>
      </c>
      <c r="AG133" s="357">
        <v>0.16699999999999998</v>
      </c>
      <c r="AH133" s="357">
        <v>0.16699999999999998</v>
      </c>
      <c r="AI133" s="357">
        <v>0.16699999999999998</v>
      </c>
      <c r="AJ133" s="357">
        <v>0.16699999999999998</v>
      </c>
    </row>
    <row r="134" spans="1:36" x14ac:dyDescent="0.25">
      <c r="A134" s="325" t="str">
        <f t="shared" si="2"/>
        <v>Capacity Factor (%)_Commercial Battery Storage 2Hr_Moderate</v>
      </c>
      <c r="B134" s="641"/>
      <c r="D134" s="610"/>
      <c r="E134" s="351" t="s">
        <v>276</v>
      </c>
      <c r="F134" s="352" t="s">
        <v>232</v>
      </c>
      <c r="G134" s="357">
        <v>0.16699999999999998</v>
      </c>
      <c r="H134" s="357">
        <v>0.16699999999999998</v>
      </c>
      <c r="I134" s="357">
        <v>0.16699999999999998</v>
      </c>
      <c r="J134" s="357">
        <v>0.16699999999999998</v>
      </c>
      <c r="K134" s="357">
        <v>0.16699999999999998</v>
      </c>
      <c r="L134" s="357">
        <v>0.16699999999999998</v>
      </c>
      <c r="M134" s="357">
        <v>0.16699999999999998</v>
      </c>
      <c r="N134" s="357">
        <v>0.16699999999999998</v>
      </c>
      <c r="O134" s="357">
        <v>0.16699999999999998</v>
      </c>
      <c r="P134" s="357">
        <v>0.16699999999999998</v>
      </c>
      <c r="Q134" s="357">
        <v>0.16699999999999998</v>
      </c>
      <c r="R134" s="357">
        <v>0.16699999999999998</v>
      </c>
      <c r="S134" s="357">
        <v>0.16699999999999998</v>
      </c>
      <c r="T134" s="357">
        <v>0.16699999999999998</v>
      </c>
      <c r="U134" s="357">
        <v>0.16699999999999998</v>
      </c>
      <c r="V134" s="357">
        <v>0.16699999999999998</v>
      </c>
      <c r="W134" s="357">
        <v>0.16699999999999998</v>
      </c>
      <c r="X134" s="357">
        <v>0.16699999999999998</v>
      </c>
      <c r="Y134" s="357">
        <v>0.16699999999999998</v>
      </c>
      <c r="Z134" s="357">
        <v>0.16699999999999998</v>
      </c>
      <c r="AA134" s="357">
        <v>0.16699999999999998</v>
      </c>
      <c r="AB134" s="357">
        <v>0.16699999999999998</v>
      </c>
      <c r="AC134" s="357">
        <v>0.16699999999999998</v>
      </c>
      <c r="AD134" s="357">
        <v>0.16699999999999998</v>
      </c>
      <c r="AE134" s="357">
        <v>0.16699999999999998</v>
      </c>
      <c r="AF134" s="357">
        <v>0.16699999999999998</v>
      </c>
      <c r="AG134" s="357">
        <v>0.16699999999999998</v>
      </c>
      <c r="AH134" s="357">
        <v>0.16699999999999998</v>
      </c>
      <c r="AI134" s="357">
        <v>0.16699999999999998</v>
      </c>
      <c r="AJ134" s="357">
        <v>0.16699999999999998</v>
      </c>
    </row>
    <row r="135" spans="1:36" x14ac:dyDescent="0.25">
      <c r="A135" s="325" t="str">
        <f t="shared" si="2"/>
        <v>Capacity Factor (%)_Commercial Battery Storage 2Hr_Conservative</v>
      </c>
      <c r="B135" s="641"/>
      <c r="D135" s="610"/>
      <c r="E135" s="351" t="s">
        <v>276</v>
      </c>
      <c r="F135" s="352" t="s">
        <v>194</v>
      </c>
      <c r="G135" s="357">
        <v>0.16699999999999998</v>
      </c>
      <c r="H135" s="357">
        <v>0.16699999999999998</v>
      </c>
      <c r="I135" s="357">
        <v>0.16699999999999998</v>
      </c>
      <c r="J135" s="357">
        <v>0.16699999999999998</v>
      </c>
      <c r="K135" s="357">
        <v>0.16699999999999998</v>
      </c>
      <c r="L135" s="357">
        <v>0.16699999999999998</v>
      </c>
      <c r="M135" s="357">
        <v>0.16699999999999998</v>
      </c>
      <c r="N135" s="357">
        <v>0.16699999999999998</v>
      </c>
      <c r="O135" s="357">
        <v>0.16699999999999998</v>
      </c>
      <c r="P135" s="357">
        <v>0.16699999999999998</v>
      </c>
      <c r="Q135" s="357">
        <v>0.16699999999999998</v>
      </c>
      <c r="R135" s="357">
        <v>0.16699999999999998</v>
      </c>
      <c r="S135" s="357">
        <v>0.16699999999999998</v>
      </c>
      <c r="T135" s="357">
        <v>0.16699999999999998</v>
      </c>
      <c r="U135" s="357">
        <v>0.16699999999999998</v>
      </c>
      <c r="V135" s="357">
        <v>0.16699999999999998</v>
      </c>
      <c r="W135" s="357">
        <v>0.16699999999999998</v>
      </c>
      <c r="X135" s="357">
        <v>0.16699999999999998</v>
      </c>
      <c r="Y135" s="357">
        <v>0.16699999999999998</v>
      </c>
      <c r="Z135" s="357">
        <v>0.16699999999999998</v>
      </c>
      <c r="AA135" s="357">
        <v>0.16699999999999998</v>
      </c>
      <c r="AB135" s="357">
        <v>0.16699999999999998</v>
      </c>
      <c r="AC135" s="357">
        <v>0.16699999999999998</v>
      </c>
      <c r="AD135" s="357">
        <v>0.16699999999999998</v>
      </c>
      <c r="AE135" s="357">
        <v>0.16699999999999998</v>
      </c>
      <c r="AF135" s="357">
        <v>0.16699999999999998</v>
      </c>
      <c r="AG135" s="357">
        <v>0.16699999999999998</v>
      </c>
      <c r="AH135" s="357">
        <v>0.16699999999999998</v>
      </c>
      <c r="AI135" s="357">
        <v>0.16699999999999998</v>
      </c>
      <c r="AJ135" s="357">
        <v>0.16699999999999998</v>
      </c>
    </row>
    <row r="136" spans="1:36" x14ac:dyDescent="0.25">
      <c r="A136" s="325" t="str">
        <f t="shared" si="2"/>
        <v>Capacity Factor (%)_Commercial Battery Storage 4Hr_Advanced</v>
      </c>
      <c r="B136" s="641"/>
      <c r="D136" s="610"/>
      <c r="E136" s="351" t="s">
        <v>146</v>
      </c>
      <c r="F136" s="352" t="s">
        <v>233</v>
      </c>
      <c r="G136" s="357">
        <v>0.249</v>
      </c>
      <c r="H136" s="357">
        <v>0.249</v>
      </c>
      <c r="I136" s="357">
        <v>0.249</v>
      </c>
      <c r="J136" s="357">
        <v>0.249</v>
      </c>
      <c r="K136" s="357">
        <v>0.249</v>
      </c>
      <c r="L136" s="357">
        <v>0.249</v>
      </c>
      <c r="M136" s="357">
        <v>0.249</v>
      </c>
      <c r="N136" s="357">
        <v>0.249</v>
      </c>
      <c r="O136" s="357">
        <v>0.249</v>
      </c>
      <c r="P136" s="357">
        <v>0.249</v>
      </c>
      <c r="Q136" s="357">
        <v>0.249</v>
      </c>
      <c r="R136" s="357">
        <v>0.249</v>
      </c>
      <c r="S136" s="357">
        <v>0.249</v>
      </c>
      <c r="T136" s="357">
        <v>0.249</v>
      </c>
      <c r="U136" s="357">
        <v>0.249</v>
      </c>
      <c r="V136" s="357">
        <v>0.249</v>
      </c>
      <c r="W136" s="357">
        <v>0.249</v>
      </c>
      <c r="X136" s="357">
        <v>0.249</v>
      </c>
      <c r="Y136" s="357">
        <v>0.249</v>
      </c>
      <c r="Z136" s="357">
        <v>0.249</v>
      </c>
      <c r="AA136" s="357">
        <v>0.249</v>
      </c>
      <c r="AB136" s="357">
        <v>0.249</v>
      </c>
      <c r="AC136" s="357">
        <v>0.249</v>
      </c>
      <c r="AD136" s="357">
        <v>0.249</v>
      </c>
      <c r="AE136" s="357">
        <v>0.249</v>
      </c>
      <c r="AF136" s="357">
        <v>0.249</v>
      </c>
      <c r="AG136" s="357">
        <v>0.249</v>
      </c>
      <c r="AH136" s="357">
        <v>0.249</v>
      </c>
      <c r="AI136" s="357">
        <v>0.249</v>
      </c>
      <c r="AJ136" s="357">
        <v>0.249</v>
      </c>
    </row>
    <row r="137" spans="1:36" x14ac:dyDescent="0.25">
      <c r="A137" s="325" t="str">
        <f t="shared" si="2"/>
        <v>Capacity Factor (%)_Commercial Battery Storage 4Hr_Moderate</v>
      </c>
      <c r="B137" s="641"/>
      <c r="D137" s="610"/>
      <c r="E137" s="351" t="s">
        <v>146</v>
      </c>
      <c r="F137" s="352" t="s">
        <v>232</v>
      </c>
      <c r="G137" s="357">
        <v>0.249</v>
      </c>
      <c r="H137" s="357">
        <v>0.249</v>
      </c>
      <c r="I137" s="357">
        <v>0.249</v>
      </c>
      <c r="J137" s="357">
        <v>0.249</v>
      </c>
      <c r="K137" s="357">
        <v>0.249</v>
      </c>
      <c r="L137" s="357">
        <v>0.249</v>
      </c>
      <c r="M137" s="357">
        <v>0.249</v>
      </c>
      <c r="N137" s="357">
        <v>0.249</v>
      </c>
      <c r="O137" s="357">
        <v>0.249</v>
      </c>
      <c r="P137" s="357">
        <v>0.249</v>
      </c>
      <c r="Q137" s="357">
        <v>0.249</v>
      </c>
      <c r="R137" s="357">
        <v>0.249</v>
      </c>
      <c r="S137" s="357">
        <v>0.249</v>
      </c>
      <c r="T137" s="357">
        <v>0.249</v>
      </c>
      <c r="U137" s="357">
        <v>0.249</v>
      </c>
      <c r="V137" s="357">
        <v>0.249</v>
      </c>
      <c r="W137" s="357">
        <v>0.249</v>
      </c>
      <c r="X137" s="357">
        <v>0.249</v>
      </c>
      <c r="Y137" s="357">
        <v>0.249</v>
      </c>
      <c r="Z137" s="357">
        <v>0.249</v>
      </c>
      <c r="AA137" s="357">
        <v>0.249</v>
      </c>
      <c r="AB137" s="357">
        <v>0.249</v>
      </c>
      <c r="AC137" s="357">
        <v>0.249</v>
      </c>
      <c r="AD137" s="357">
        <v>0.249</v>
      </c>
      <c r="AE137" s="357">
        <v>0.249</v>
      </c>
      <c r="AF137" s="357">
        <v>0.249</v>
      </c>
      <c r="AG137" s="357">
        <v>0.249</v>
      </c>
      <c r="AH137" s="357">
        <v>0.249</v>
      </c>
      <c r="AI137" s="357">
        <v>0.249</v>
      </c>
      <c r="AJ137" s="357">
        <v>0.249</v>
      </c>
    </row>
    <row r="138" spans="1:36" x14ac:dyDescent="0.25">
      <c r="A138" s="325" t="str">
        <f t="shared" si="2"/>
        <v>Capacity Factor (%)_Commercial Battery Storage 4Hr_Conservative</v>
      </c>
      <c r="B138" s="641"/>
      <c r="D138" s="610"/>
      <c r="E138" s="351" t="s">
        <v>146</v>
      </c>
      <c r="F138" s="352" t="s">
        <v>194</v>
      </c>
      <c r="G138" s="357">
        <v>0.249</v>
      </c>
      <c r="H138" s="357">
        <v>0.249</v>
      </c>
      <c r="I138" s="357">
        <v>0.249</v>
      </c>
      <c r="J138" s="357">
        <v>0.249</v>
      </c>
      <c r="K138" s="357">
        <v>0.249</v>
      </c>
      <c r="L138" s="357">
        <v>0.249</v>
      </c>
      <c r="M138" s="357">
        <v>0.249</v>
      </c>
      <c r="N138" s="357">
        <v>0.249</v>
      </c>
      <c r="O138" s="357">
        <v>0.249</v>
      </c>
      <c r="P138" s="357">
        <v>0.249</v>
      </c>
      <c r="Q138" s="357">
        <v>0.249</v>
      </c>
      <c r="R138" s="357">
        <v>0.249</v>
      </c>
      <c r="S138" s="357">
        <v>0.249</v>
      </c>
      <c r="T138" s="357">
        <v>0.249</v>
      </c>
      <c r="U138" s="357">
        <v>0.249</v>
      </c>
      <c r="V138" s="357">
        <v>0.249</v>
      </c>
      <c r="W138" s="357">
        <v>0.249</v>
      </c>
      <c r="X138" s="357">
        <v>0.249</v>
      </c>
      <c r="Y138" s="357">
        <v>0.249</v>
      </c>
      <c r="Z138" s="357">
        <v>0.249</v>
      </c>
      <c r="AA138" s="357">
        <v>0.249</v>
      </c>
      <c r="AB138" s="357">
        <v>0.249</v>
      </c>
      <c r="AC138" s="357">
        <v>0.249</v>
      </c>
      <c r="AD138" s="357">
        <v>0.249</v>
      </c>
      <c r="AE138" s="357">
        <v>0.249</v>
      </c>
      <c r="AF138" s="357">
        <v>0.249</v>
      </c>
      <c r="AG138" s="357">
        <v>0.249</v>
      </c>
      <c r="AH138" s="357">
        <v>0.249</v>
      </c>
      <c r="AI138" s="357">
        <v>0.249</v>
      </c>
      <c r="AJ138" s="357">
        <v>0.249</v>
      </c>
    </row>
    <row r="139" spans="1:36" x14ac:dyDescent="0.25">
      <c r="A139" s="325" t="str">
        <f t="shared" si="2"/>
        <v>Capacity Factor (%)_Commercial Battery Storage 6Hr_Advanced</v>
      </c>
      <c r="B139" s="641"/>
      <c r="D139" s="610"/>
      <c r="E139" s="351" t="s">
        <v>275</v>
      </c>
      <c r="F139" s="352" t="s">
        <v>233</v>
      </c>
      <c r="G139" s="357">
        <v>0.33200000000000002</v>
      </c>
      <c r="H139" s="357">
        <v>0.33200000000000002</v>
      </c>
      <c r="I139" s="357">
        <v>0.33200000000000002</v>
      </c>
      <c r="J139" s="357">
        <v>0.33200000000000002</v>
      </c>
      <c r="K139" s="357">
        <v>0.33200000000000002</v>
      </c>
      <c r="L139" s="357">
        <v>0.33200000000000002</v>
      </c>
      <c r="M139" s="357">
        <v>0.33200000000000002</v>
      </c>
      <c r="N139" s="357">
        <v>0.33200000000000002</v>
      </c>
      <c r="O139" s="357">
        <v>0.33200000000000002</v>
      </c>
      <c r="P139" s="357">
        <v>0.33200000000000002</v>
      </c>
      <c r="Q139" s="357">
        <v>0.33200000000000002</v>
      </c>
      <c r="R139" s="357">
        <v>0.33200000000000002</v>
      </c>
      <c r="S139" s="357">
        <v>0.33200000000000002</v>
      </c>
      <c r="T139" s="357">
        <v>0.33200000000000002</v>
      </c>
      <c r="U139" s="357">
        <v>0.33200000000000002</v>
      </c>
      <c r="V139" s="357">
        <v>0.33200000000000002</v>
      </c>
      <c r="W139" s="357">
        <v>0.33200000000000002</v>
      </c>
      <c r="X139" s="357">
        <v>0.33200000000000002</v>
      </c>
      <c r="Y139" s="357">
        <v>0.33200000000000002</v>
      </c>
      <c r="Z139" s="357">
        <v>0.33200000000000002</v>
      </c>
      <c r="AA139" s="357">
        <v>0.33200000000000002</v>
      </c>
      <c r="AB139" s="357">
        <v>0.33200000000000002</v>
      </c>
      <c r="AC139" s="357">
        <v>0.33200000000000002</v>
      </c>
      <c r="AD139" s="357">
        <v>0.33200000000000002</v>
      </c>
      <c r="AE139" s="357">
        <v>0.33200000000000002</v>
      </c>
      <c r="AF139" s="357">
        <v>0.33200000000000002</v>
      </c>
      <c r="AG139" s="357">
        <v>0.33200000000000002</v>
      </c>
      <c r="AH139" s="357">
        <v>0.33200000000000002</v>
      </c>
      <c r="AI139" s="357">
        <v>0.33200000000000002</v>
      </c>
      <c r="AJ139" s="357">
        <v>0.33200000000000002</v>
      </c>
    </row>
    <row r="140" spans="1:36" x14ac:dyDescent="0.25">
      <c r="A140" s="325" t="str">
        <f t="shared" si="2"/>
        <v>Capacity Factor (%)_Commercial Battery Storage 6Hr_Moderate</v>
      </c>
      <c r="B140" s="641"/>
      <c r="D140" s="610"/>
      <c r="E140" s="351" t="s">
        <v>275</v>
      </c>
      <c r="F140" s="352" t="s">
        <v>232</v>
      </c>
      <c r="G140" s="357">
        <v>0.33200000000000002</v>
      </c>
      <c r="H140" s="357">
        <v>0.33200000000000002</v>
      </c>
      <c r="I140" s="357">
        <v>0.33200000000000002</v>
      </c>
      <c r="J140" s="357">
        <v>0.33200000000000002</v>
      </c>
      <c r="K140" s="357">
        <v>0.33200000000000002</v>
      </c>
      <c r="L140" s="357">
        <v>0.33200000000000002</v>
      </c>
      <c r="M140" s="357">
        <v>0.33200000000000002</v>
      </c>
      <c r="N140" s="357">
        <v>0.33200000000000002</v>
      </c>
      <c r="O140" s="357">
        <v>0.33200000000000002</v>
      </c>
      <c r="P140" s="357">
        <v>0.33200000000000002</v>
      </c>
      <c r="Q140" s="357">
        <v>0.33200000000000002</v>
      </c>
      <c r="R140" s="357">
        <v>0.33200000000000002</v>
      </c>
      <c r="S140" s="357">
        <v>0.33200000000000002</v>
      </c>
      <c r="T140" s="357">
        <v>0.33200000000000002</v>
      </c>
      <c r="U140" s="357">
        <v>0.33200000000000002</v>
      </c>
      <c r="V140" s="357">
        <v>0.33200000000000002</v>
      </c>
      <c r="W140" s="357">
        <v>0.33200000000000002</v>
      </c>
      <c r="X140" s="357">
        <v>0.33200000000000002</v>
      </c>
      <c r="Y140" s="357">
        <v>0.33200000000000002</v>
      </c>
      <c r="Z140" s="357">
        <v>0.33200000000000002</v>
      </c>
      <c r="AA140" s="357">
        <v>0.33200000000000002</v>
      </c>
      <c r="AB140" s="357">
        <v>0.33200000000000002</v>
      </c>
      <c r="AC140" s="357">
        <v>0.33200000000000002</v>
      </c>
      <c r="AD140" s="357">
        <v>0.33200000000000002</v>
      </c>
      <c r="AE140" s="357">
        <v>0.33200000000000002</v>
      </c>
      <c r="AF140" s="357">
        <v>0.33200000000000002</v>
      </c>
      <c r="AG140" s="357">
        <v>0.33200000000000002</v>
      </c>
      <c r="AH140" s="357">
        <v>0.33200000000000002</v>
      </c>
      <c r="AI140" s="357">
        <v>0.33200000000000002</v>
      </c>
      <c r="AJ140" s="357">
        <v>0.33200000000000002</v>
      </c>
    </row>
    <row r="141" spans="1:36" x14ac:dyDescent="0.25">
      <c r="A141" s="325" t="str">
        <f t="shared" si="2"/>
        <v>Capacity Factor (%)_Commercial Battery Storage 6Hr_Conservative</v>
      </c>
      <c r="B141" s="641"/>
      <c r="D141" s="610"/>
      <c r="E141" s="351" t="s">
        <v>275</v>
      </c>
      <c r="F141" s="352" t="s">
        <v>194</v>
      </c>
      <c r="G141" s="357">
        <v>0.33200000000000002</v>
      </c>
      <c r="H141" s="357">
        <v>0.33200000000000002</v>
      </c>
      <c r="I141" s="357">
        <v>0.33200000000000002</v>
      </c>
      <c r="J141" s="357">
        <v>0.33200000000000002</v>
      </c>
      <c r="K141" s="357">
        <v>0.33200000000000002</v>
      </c>
      <c r="L141" s="357">
        <v>0.33200000000000002</v>
      </c>
      <c r="M141" s="357">
        <v>0.33200000000000002</v>
      </c>
      <c r="N141" s="357">
        <v>0.33200000000000002</v>
      </c>
      <c r="O141" s="357">
        <v>0.33200000000000002</v>
      </c>
      <c r="P141" s="357">
        <v>0.33200000000000002</v>
      </c>
      <c r="Q141" s="357">
        <v>0.33200000000000002</v>
      </c>
      <c r="R141" s="357">
        <v>0.33200000000000002</v>
      </c>
      <c r="S141" s="357">
        <v>0.33200000000000002</v>
      </c>
      <c r="T141" s="357">
        <v>0.33200000000000002</v>
      </c>
      <c r="U141" s="357">
        <v>0.33200000000000002</v>
      </c>
      <c r="V141" s="357">
        <v>0.33200000000000002</v>
      </c>
      <c r="W141" s="357">
        <v>0.33200000000000002</v>
      </c>
      <c r="X141" s="357">
        <v>0.33200000000000002</v>
      </c>
      <c r="Y141" s="357">
        <v>0.33200000000000002</v>
      </c>
      <c r="Z141" s="357">
        <v>0.33200000000000002</v>
      </c>
      <c r="AA141" s="357">
        <v>0.33200000000000002</v>
      </c>
      <c r="AB141" s="357">
        <v>0.33200000000000002</v>
      </c>
      <c r="AC141" s="357">
        <v>0.33200000000000002</v>
      </c>
      <c r="AD141" s="357">
        <v>0.33200000000000002</v>
      </c>
      <c r="AE141" s="357">
        <v>0.33200000000000002</v>
      </c>
      <c r="AF141" s="357">
        <v>0.33200000000000002</v>
      </c>
      <c r="AG141" s="357">
        <v>0.33200000000000002</v>
      </c>
      <c r="AH141" s="357">
        <v>0.33200000000000002</v>
      </c>
      <c r="AI141" s="357">
        <v>0.33200000000000002</v>
      </c>
      <c r="AJ141" s="357">
        <v>0.33200000000000002</v>
      </c>
    </row>
    <row r="142" spans="1:36" x14ac:dyDescent="0.25">
      <c r="A142" s="325" t="str">
        <f t="shared" si="2"/>
        <v>Capacity Factor (%)_Commercial Battery Storage 8Hr_Advanced</v>
      </c>
      <c r="B142" s="641"/>
      <c r="D142" s="610"/>
      <c r="E142" s="351" t="s">
        <v>274</v>
      </c>
      <c r="F142" s="352" t="s">
        <v>233</v>
      </c>
      <c r="G142" s="357">
        <v>0.41499999999999998</v>
      </c>
      <c r="H142" s="357">
        <v>0.41499999999999998</v>
      </c>
      <c r="I142" s="357">
        <v>0.41499999999999998</v>
      </c>
      <c r="J142" s="357">
        <v>0.41499999999999998</v>
      </c>
      <c r="K142" s="357">
        <v>0.41499999999999998</v>
      </c>
      <c r="L142" s="357">
        <v>0.41499999999999998</v>
      </c>
      <c r="M142" s="357">
        <v>0.41499999999999998</v>
      </c>
      <c r="N142" s="357">
        <v>0.41499999999999998</v>
      </c>
      <c r="O142" s="357">
        <v>0.41499999999999998</v>
      </c>
      <c r="P142" s="357">
        <v>0.41499999999999998</v>
      </c>
      <c r="Q142" s="357">
        <v>0.41499999999999998</v>
      </c>
      <c r="R142" s="357">
        <v>0.41499999999999998</v>
      </c>
      <c r="S142" s="357">
        <v>0.41499999999999998</v>
      </c>
      <c r="T142" s="357">
        <v>0.41499999999999998</v>
      </c>
      <c r="U142" s="357">
        <v>0.41499999999999998</v>
      </c>
      <c r="V142" s="357">
        <v>0.41499999999999998</v>
      </c>
      <c r="W142" s="357">
        <v>0.41499999999999998</v>
      </c>
      <c r="X142" s="357">
        <v>0.41499999999999998</v>
      </c>
      <c r="Y142" s="357">
        <v>0.41499999999999998</v>
      </c>
      <c r="Z142" s="357">
        <v>0.41499999999999998</v>
      </c>
      <c r="AA142" s="357">
        <v>0.41499999999999998</v>
      </c>
      <c r="AB142" s="357">
        <v>0.41499999999999998</v>
      </c>
      <c r="AC142" s="357">
        <v>0.41499999999999998</v>
      </c>
      <c r="AD142" s="357">
        <v>0.41499999999999998</v>
      </c>
      <c r="AE142" s="357">
        <v>0.41499999999999998</v>
      </c>
      <c r="AF142" s="357">
        <v>0.41499999999999998</v>
      </c>
      <c r="AG142" s="357">
        <v>0.41499999999999998</v>
      </c>
      <c r="AH142" s="357">
        <v>0.41499999999999998</v>
      </c>
      <c r="AI142" s="357">
        <v>0.41499999999999998</v>
      </c>
      <c r="AJ142" s="357">
        <v>0.41499999999999998</v>
      </c>
    </row>
    <row r="143" spans="1:36" x14ac:dyDescent="0.25">
      <c r="A143" s="325" t="str">
        <f t="shared" si="2"/>
        <v>Capacity Factor (%)_Commercial Battery Storage 8Hr_Moderate</v>
      </c>
      <c r="B143" s="641"/>
      <c r="D143" s="610"/>
      <c r="E143" s="351" t="s">
        <v>274</v>
      </c>
      <c r="F143" s="352" t="s">
        <v>232</v>
      </c>
      <c r="G143" s="357">
        <v>0.41499999999999998</v>
      </c>
      <c r="H143" s="357">
        <v>0.41499999999999998</v>
      </c>
      <c r="I143" s="357">
        <v>0.41499999999999998</v>
      </c>
      <c r="J143" s="357">
        <v>0.41499999999999998</v>
      </c>
      <c r="K143" s="357">
        <v>0.41499999999999998</v>
      </c>
      <c r="L143" s="357">
        <v>0.41499999999999998</v>
      </c>
      <c r="M143" s="357">
        <v>0.41499999999999998</v>
      </c>
      <c r="N143" s="357">
        <v>0.41499999999999998</v>
      </c>
      <c r="O143" s="357">
        <v>0.41499999999999998</v>
      </c>
      <c r="P143" s="357">
        <v>0.41499999999999998</v>
      </c>
      <c r="Q143" s="357">
        <v>0.41499999999999998</v>
      </c>
      <c r="R143" s="357">
        <v>0.41499999999999998</v>
      </c>
      <c r="S143" s="357">
        <v>0.41499999999999998</v>
      </c>
      <c r="T143" s="357">
        <v>0.41499999999999998</v>
      </c>
      <c r="U143" s="357">
        <v>0.41499999999999998</v>
      </c>
      <c r="V143" s="357">
        <v>0.41499999999999998</v>
      </c>
      <c r="W143" s="357">
        <v>0.41499999999999998</v>
      </c>
      <c r="X143" s="357">
        <v>0.41499999999999998</v>
      </c>
      <c r="Y143" s="357">
        <v>0.41499999999999998</v>
      </c>
      <c r="Z143" s="357">
        <v>0.41499999999999998</v>
      </c>
      <c r="AA143" s="357">
        <v>0.41499999999999998</v>
      </c>
      <c r="AB143" s="357">
        <v>0.41499999999999998</v>
      </c>
      <c r="AC143" s="357">
        <v>0.41499999999999998</v>
      </c>
      <c r="AD143" s="357">
        <v>0.41499999999999998</v>
      </c>
      <c r="AE143" s="357">
        <v>0.41499999999999998</v>
      </c>
      <c r="AF143" s="357">
        <v>0.41499999999999998</v>
      </c>
      <c r="AG143" s="357">
        <v>0.41499999999999998</v>
      </c>
      <c r="AH143" s="357">
        <v>0.41499999999999998</v>
      </c>
      <c r="AI143" s="357">
        <v>0.41499999999999998</v>
      </c>
      <c r="AJ143" s="357">
        <v>0.41499999999999998</v>
      </c>
    </row>
    <row r="144" spans="1:36" x14ac:dyDescent="0.25">
      <c r="A144" s="325" t="str">
        <f t="shared" si="2"/>
        <v>Capacity Factor (%)_Commercial Battery Storage 8Hr_Conservative</v>
      </c>
      <c r="B144" s="641"/>
      <c r="D144" s="610"/>
      <c r="E144" s="351" t="s">
        <v>274</v>
      </c>
      <c r="F144" s="352" t="s">
        <v>194</v>
      </c>
      <c r="G144" s="357">
        <v>0.41499999999999998</v>
      </c>
      <c r="H144" s="357">
        <v>0.41499999999999998</v>
      </c>
      <c r="I144" s="357">
        <v>0.41499999999999998</v>
      </c>
      <c r="J144" s="357">
        <v>0.41499999999999998</v>
      </c>
      <c r="K144" s="357">
        <v>0.41499999999999998</v>
      </c>
      <c r="L144" s="357">
        <v>0.41499999999999998</v>
      </c>
      <c r="M144" s="357">
        <v>0.41499999999999998</v>
      </c>
      <c r="N144" s="357">
        <v>0.41499999999999998</v>
      </c>
      <c r="O144" s="357">
        <v>0.41499999999999998</v>
      </c>
      <c r="P144" s="357">
        <v>0.41499999999999998</v>
      </c>
      <c r="Q144" s="357">
        <v>0.41499999999999998</v>
      </c>
      <c r="R144" s="357">
        <v>0.41499999999999998</v>
      </c>
      <c r="S144" s="357">
        <v>0.41499999999999998</v>
      </c>
      <c r="T144" s="357">
        <v>0.41499999999999998</v>
      </c>
      <c r="U144" s="357">
        <v>0.41499999999999998</v>
      </c>
      <c r="V144" s="357">
        <v>0.41499999999999998</v>
      </c>
      <c r="W144" s="357">
        <v>0.41499999999999998</v>
      </c>
      <c r="X144" s="357">
        <v>0.41499999999999998</v>
      </c>
      <c r="Y144" s="357">
        <v>0.41499999999999998</v>
      </c>
      <c r="Z144" s="357">
        <v>0.41499999999999998</v>
      </c>
      <c r="AA144" s="357">
        <v>0.41499999999999998</v>
      </c>
      <c r="AB144" s="357">
        <v>0.41499999999999998</v>
      </c>
      <c r="AC144" s="357">
        <v>0.41499999999999998</v>
      </c>
      <c r="AD144" s="357">
        <v>0.41499999999999998</v>
      </c>
      <c r="AE144" s="357">
        <v>0.41499999999999998</v>
      </c>
      <c r="AF144" s="357">
        <v>0.41499999999999998</v>
      </c>
      <c r="AG144" s="357">
        <v>0.41499999999999998</v>
      </c>
      <c r="AH144" s="357">
        <v>0.41499999999999998</v>
      </c>
      <c r="AI144" s="357">
        <v>0.41499999999999998</v>
      </c>
      <c r="AJ144" s="357">
        <v>0.41499999999999998</v>
      </c>
    </row>
    <row r="145" spans="2:28" x14ac:dyDescent="0.25">
      <c r="B145" s="43"/>
    </row>
    <row r="146" spans="2:28" x14ac:dyDescent="0.25">
      <c r="B146" s="637" t="s">
        <v>231</v>
      </c>
      <c r="C146" s="614"/>
      <c r="D146" s="614"/>
      <c r="E146" s="614"/>
      <c r="F146" s="614"/>
      <c r="G146" s="614"/>
      <c r="H146" s="614"/>
      <c r="I146" s="614"/>
      <c r="J146" s="614"/>
      <c r="K146" s="614"/>
      <c r="L146" s="614"/>
      <c r="M146" s="614"/>
      <c r="N146" s="614"/>
      <c r="O146" s="614"/>
      <c r="P146" s="614"/>
      <c r="Q146" s="335"/>
      <c r="R146" s="335"/>
      <c r="S146" s="335"/>
      <c r="T146" s="335"/>
      <c r="U146" s="335"/>
      <c r="V146" s="335"/>
      <c r="W146" s="335"/>
    </row>
    <row r="147" spans="2:28" ht="15.75" thickBot="1" x14ac:dyDescent="0.3">
      <c r="B147" s="325"/>
      <c r="C147" s="325"/>
      <c r="D147" s="325"/>
      <c r="E147" s="325"/>
      <c r="F147" s="325"/>
      <c r="G147" s="325"/>
      <c r="H147" s="325"/>
      <c r="I147" s="358"/>
      <c r="J147" s="358"/>
      <c r="K147" s="358"/>
      <c r="L147" s="358"/>
      <c r="M147" s="358"/>
      <c r="N147" s="358"/>
      <c r="O147" s="358"/>
      <c r="P147" s="325"/>
      <c r="Q147" s="325"/>
      <c r="R147" s="325"/>
      <c r="S147" s="325"/>
      <c r="T147" s="325"/>
      <c r="U147" s="325"/>
      <c r="V147" s="325"/>
      <c r="W147" s="325"/>
    </row>
    <row r="148" spans="2:28" x14ac:dyDescent="0.25">
      <c r="B148" s="325"/>
      <c r="C148" s="638" t="s">
        <v>230</v>
      </c>
      <c r="D148" s="639"/>
      <c r="E148" s="639"/>
      <c r="F148" s="639"/>
      <c r="G148" s="639"/>
      <c r="H148" s="639"/>
      <c r="I148" s="628" t="s">
        <v>224</v>
      </c>
      <c r="J148" s="629"/>
      <c r="K148" s="629"/>
      <c r="L148" s="629"/>
      <c r="M148" s="630"/>
      <c r="N148" s="359" t="s">
        <v>223</v>
      </c>
      <c r="O148" s="359" t="s">
        <v>222</v>
      </c>
      <c r="P148" s="360"/>
      <c r="Q148" s="360"/>
      <c r="R148" s="360"/>
      <c r="S148" s="360"/>
      <c r="T148" s="360"/>
      <c r="U148" s="360"/>
      <c r="V148" s="360"/>
      <c r="W148" s="361"/>
    </row>
    <row r="149" spans="2:28" x14ac:dyDescent="0.25">
      <c r="B149" s="325"/>
      <c r="C149" s="631" t="s">
        <v>229</v>
      </c>
      <c r="D149" s="632"/>
      <c r="E149" s="632"/>
      <c r="F149" s="632"/>
      <c r="G149" s="632"/>
      <c r="H149" s="633"/>
      <c r="I149" s="3" t="s">
        <v>213</v>
      </c>
      <c r="M149" s="405"/>
      <c r="O149" s="365"/>
      <c r="W149" s="366"/>
    </row>
    <row r="150" spans="2:28" x14ac:dyDescent="0.25">
      <c r="B150" s="325"/>
      <c r="C150" s="631" t="s">
        <v>221</v>
      </c>
      <c r="D150" s="632"/>
      <c r="E150" s="632"/>
      <c r="F150" s="632"/>
      <c r="G150" s="632"/>
      <c r="H150" s="633"/>
      <c r="I150" s="380" t="s">
        <v>213</v>
      </c>
      <c r="K150" s="381"/>
      <c r="L150" s="381"/>
      <c r="M150" s="406"/>
      <c r="N150" s="381"/>
      <c r="O150" s="382"/>
      <c r="P150" s="381"/>
      <c r="Q150" s="381"/>
      <c r="R150" s="381"/>
      <c r="S150" s="381"/>
      <c r="T150" s="381"/>
      <c r="U150" s="381"/>
      <c r="V150" s="381"/>
      <c r="W150" s="383"/>
    </row>
    <row r="151" spans="2:28" ht="14.65" customHeight="1" x14ac:dyDescent="0.25">
      <c r="B151" s="325"/>
      <c r="C151" s="631" t="s">
        <v>129</v>
      </c>
      <c r="D151" s="632"/>
      <c r="E151" s="632"/>
      <c r="F151" s="632"/>
      <c r="G151" s="632"/>
      <c r="H151" s="633"/>
      <c r="I151" s="634" t="s">
        <v>227</v>
      </c>
      <c r="J151" s="635"/>
      <c r="K151" s="635"/>
      <c r="L151" s="635"/>
      <c r="M151" s="636"/>
      <c r="N151" s="407"/>
      <c r="O151" s="408"/>
      <c r="P151" s="407"/>
      <c r="Q151" s="407"/>
      <c r="R151" s="407"/>
      <c r="S151" s="407"/>
      <c r="T151" s="407"/>
      <c r="U151" s="407"/>
      <c r="V151" s="407"/>
      <c r="W151" s="409"/>
    </row>
    <row r="152" spans="2:28" ht="14.65" customHeight="1" x14ac:dyDescent="0.25">
      <c r="B152" s="325"/>
      <c r="C152" s="631" t="s">
        <v>217</v>
      </c>
      <c r="D152" s="632"/>
      <c r="E152" s="632"/>
      <c r="F152" s="632"/>
      <c r="G152" s="632"/>
      <c r="H152" s="633"/>
      <c r="I152" s="634" t="s">
        <v>227</v>
      </c>
      <c r="J152" s="635"/>
      <c r="K152" s="635"/>
      <c r="L152" s="635"/>
      <c r="M152" s="636"/>
      <c r="N152" s="410"/>
      <c r="O152" s="410"/>
      <c r="P152" s="410"/>
    </row>
    <row r="153" spans="2:28" x14ac:dyDescent="0.25">
      <c r="B153" s="325"/>
      <c r="C153" s="631" t="s">
        <v>216</v>
      </c>
      <c r="D153" s="632"/>
      <c r="E153" s="632"/>
      <c r="F153" s="632"/>
      <c r="G153" s="632"/>
      <c r="H153" s="633"/>
      <c r="I153" s="367" t="s">
        <v>213</v>
      </c>
      <c r="J153" s="368"/>
      <c r="K153" s="368"/>
      <c r="L153" s="368"/>
      <c r="M153" s="411"/>
      <c r="N153" s="368"/>
      <c r="O153" s="369"/>
      <c r="P153" s="368"/>
      <c r="Q153" s="368"/>
      <c r="R153" s="368"/>
      <c r="S153" s="368"/>
      <c r="T153" s="368"/>
      <c r="U153" s="368"/>
      <c r="V153" s="368"/>
      <c r="W153" s="370"/>
    </row>
    <row r="154" spans="2:28" ht="15.75" thickBot="1" x14ac:dyDescent="0.3">
      <c r="B154" s="325"/>
      <c r="C154" s="642" t="s">
        <v>226</v>
      </c>
      <c r="D154" s="643"/>
      <c r="E154" s="643"/>
      <c r="F154" s="643"/>
      <c r="G154" s="643"/>
      <c r="H154" s="644"/>
      <c r="I154" s="372" t="s">
        <v>213</v>
      </c>
      <c r="J154" s="373"/>
      <c r="K154" s="373"/>
      <c r="L154" s="373"/>
      <c r="M154" s="412"/>
      <c r="N154" s="374"/>
      <c r="O154" s="373"/>
      <c r="P154" s="372"/>
      <c r="Q154" s="373"/>
      <c r="R154" s="373"/>
      <c r="S154" s="373"/>
      <c r="T154" s="373"/>
      <c r="U154" s="373"/>
      <c r="V154" s="373"/>
      <c r="W154" s="375"/>
    </row>
    <row r="155" spans="2:28" ht="15.75" thickBot="1" x14ac:dyDescent="0.3">
      <c r="B155" s="325"/>
      <c r="C155" s="645"/>
      <c r="D155" s="645"/>
      <c r="E155" s="645"/>
      <c r="F155" s="645"/>
      <c r="G155" s="645"/>
      <c r="H155" s="645"/>
      <c r="I155" s="376"/>
      <c r="J155" s="376"/>
      <c r="K155" s="376"/>
      <c r="L155" s="376"/>
      <c r="M155" s="376"/>
      <c r="N155" s="376"/>
      <c r="O155" s="376"/>
      <c r="P155" s="377"/>
      <c r="Q155" s="377"/>
      <c r="R155" s="377"/>
      <c r="S155" s="377"/>
      <c r="T155" s="377"/>
      <c r="U155" s="377"/>
      <c r="V155" s="377"/>
      <c r="W155" s="377"/>
    </row>
    <row r="156" spans="2:28" x14ac:dyDescent="0.25">
      <c r="B156" s="325"/>
      <c r="C156" s="638" t="s">
        <v>225</v>
      </c>
      <c r="D156" s="639"/>
      <c r="E156" s="639"/>
      <c r="F156" s="639"/>
      <c r="G156" s="639"/>
      <c r="H156" s="646"/>
      <c r="I156" s="628" t="s">
        <v>224</v>
      </c>
      <c r="J156" s="629"/>
      <c r="K156" s="629"/>
      <c r="L156" s="629"/>
      <c r="M156" s="630"/>
      <c r="N156" s="359" t="s">
        <v>223</v>
      </c>
      <c r="O156" s="359" t="s">
        <v>222</v>
      </c>
      <c r="P156" s="413"/>
      <c r="Q156" s="414"/>
      <c r="R156" s="414"/>
      <c r="S156" s="414"/>
      <c r="T156" s="414"/>
      <c r="U156" s="414"/>
      <c r="V156" s="414"/>
      <c r="W156" s="415"/>
    </row>
    <row r="157" spans="2:28" x14ac:dyDescent="0.25">
      <c r="B157" s="325"/>
      <c r="C157" s="631" t="s">
        <v>221</v>
      </c>
      <c r="D157" s="632"/>
      <c r="E157" s="632"/>
      <c r="F157" s="632"/>
      <c r="G157" s="632"/>
      <c r="H157" s="633"/>
      <c r="I157" s="367" t="s">
        <v>213</v>
      </c>
      <c r="J157" s="368"/>
      <c r="K157" s="368"/>
      <c r="L157" s="368"/>
      <c r="M157" s="368"/>
      <c r="N157" s="369"/>
      <c r="O157" s="369"/>
      <c r="P157" s="368"/>
      <c r="Q157" s="368"/>
      <c r="R157" s="368"/>
      <c r="S157" s="368"/>
      <c r="T157" s="368"/>
      <c r="U157" s="368"/>
      <c r="V157" s="368"/>
      <c r="W157" s="411"/>
    </row>
    <row r="158" spans="2:28" x14ac:dyDescent="0.25">
      <c r="B158" s="325"/>
      <c r="C158" s="631" t="s">
        <v>129</v>
      </c>
      <c r="D158" s="632"/>
      <c r="E158" s="632"/>
      <c r="F158" s="632"/>
      <c r="G158" s="632"/>
      <c r="H158" s="633"/>
      <c r="I158" s="647" t="s">
        <v>273</v>
      </c>
      <c r="J158" s="648"/>
      <c r="K158" s="648"/>
      <c r="L158" s="648"/>
      <c r="M158" s="649"/>
      <c r="N158" s="390"/>
      <c r="O158" s="390"/>
      <c r="P158" s="391"/>
      <c r="Q158" s="391"/>
      <c r="R158" s="391"/>
      <c r="S158" s="391"/>
      <c r="T158" s="391"/>
      <c r="U158" s="391"/>
      <c r="V158" s="391"/>
      <c r="W158" s="416"/>
    </row>
    <row r="159" spans="2:28" s="325" customFormat="1" ht="14.25" customHeight="1" x14ac:dyDescent="0.25">
      <c r="C159" s="362" t="s">
        <v>219</v>
      </c>
      <c r="I159" s="387"/>
      <c r="J159" s="387"/>
      <c r="K159" s="387"/>
      <c r="L159" s="387"/>
      <c r="M159" s="387"/>
      <c r="O159" s="388"/>
      <c r="P159" s="388"/>
      <c r="Q159" s="363"/>
      <c r="R159" s="364"/>
      <c r="S159" s="363"/>
      <c r="T159" s="389"/>
      <c r="U159" s="363"/>
      <c r="V159" s="363"/>
      <c r="W159" s="363"/>
      <c r="X159" s="363"/>
      <c r="Y159" s="363"/>
      <c r="Z159" s="363"/>
      <c r="AA159" s="363"/>
      <c r="AB159" s="364"/>
    </row>
    <row r="160" spans="2:28" x14ac:dyDescent="0.25">
      <c r="B160" s="325"/>
      <c r="C160" s="631" t="s">
        <v>217</v>
      </c>
      <c r="D160" s="632"/>
      <c r="E160" s="632"/>
      <c r="F160" s="632"/>
      <c r="G160" s="632"/>
      <c r="H160" s="633"/>
      <c r="I160" s="647" t="s">
        <v>273</v>
      </c>
      <c r="J160" s="648"/>
      <c r="K160" s="648"/>
      <c r="L160" s="648"/>
      <c r="M160" s="649"/>
      <c r="N160" s="417"/>
      <c r="O160" s="417"/>
      <c r="P160" s="418"/>
      <c r="Q160" s="418"/>
      <c r="R160" s="418"/>
      <c r="S160" s="418"/>
      <c r="T160" s="418"/>
      <c r="U160" s="418"/>
      <c r="V160" s="418"/>
      <c r="W160" s="419"/>
    </row>
    <row r="161" spans="2:23" x14ac:dyDescent="0.25">
      <c r="B161" s="325"/>
      <c r="C161" s="631" t="s">
        <v>216</v>
      </c>
      <c r="D161" s="632"/>
      <c r="E161" s="632"/>
      <c r="F161" s="632"/>
      <c r="G161" s="632"/>
      <c r="H161" s="633"/>
      <c r="I161" s="367" t="s">
        <v>213</v>
      </c>
      <c r="J161" s="368"/>
      <c r="K161" s="368"/>
      <c r="L161" s="368"/>
      <c r="M161" s="368"/>
      <c r="N161" s="369"/>
      <c r="O161" s="369"/>
      <c r="P161" s="368"/>
      <c r="Q161" s="368"/>
      <c r="R161" s="368"/>
      <c r="S161" s="368"/>
      <c r="T161" s="368"/>
      <c r="U161" s="368"/>
      <c r="V161" s="368"/>
      <c r="W161" s="411"/>
    </row>
    <row r="162" spans="2:23" ht="15.75" thickBot="1" x14ac:dyDescent="0.3">
      <c r="B162" s="325"/>
      <c r="C162" s="642" t="s">
        <v>214</v>
      </c>
      <c r="D162" s="643"/>
      <c r="E162" s="643"/>
      <c r="F162" s="643"/>
      <c r="G162" s="643"/>
      <c r="H162" s="644"/>
      <c r="I162" s="372" t="s">
        <v>213</v>
      </c>
      <c r="J162" s="373"/>
      <c r="K162" s="373"/>
      <c r="L162" s="373"/>
      <c r="M162" s="373"/>
      <c r="N162" s="372"/>
      <c r="O162" s="372"/>
      <c r="P162" s="372"/>
      <c r="Q162" s="373"/>
      <c r="R162" s="373"/>
      <c r="S162" s="373"/>
      <c r="T162" s="373"/>
      <c r="U162" s="373"/>
      <c r="V162" s="373"/>
      <c r="W162" s="375"/>
    </row>
    <row r="163" spans="2:23" x14ac:dyDescent="0.25">
      <c r="B163" s="43"/>
    </row>
    <row r="164" spans="2:23" x14ac:dyDescent="0.25">
      <c r="B164" s="43"/>
    </row>
    <row r="165" spans="2:23" x14ac:dyDescent="0.25">
      <c r="B165" s="43"/>
    </row>
    <row r="166" spans="2:23" x14ac:dyDescent="0.25">
      <c r="B166" s="43"/>
    </row>
    <row r="167" spans="2:23" x14ac:dyDescent="0.25">
      <c r="B167" s="43"/>
    </row>
    <row r="168" spans="2:23" x14ac:dyDescent="0.25">
      <c r="B168" s="43"/>
    </row>
    <row r="169" spans="2:23" x14ac:dyDescent="0.25">
      <c r="B169" s="43"/>
    </row>
    <row r="170" spans="2:23" x14ac:dyDescent="0.25">
      <c r="B170" s="43"/>
    </row>
    <row r="171" spans="2:23" x14ac:dyDescent="0.25">
      <c r="B171" s="43"/>
    </row>
    <row r="172" spans="2:23" x14ac:dyDescent="0.25">
      <c r="B172" s="43"/>
    </row>
    <row r="173" spans="2:23" x14ac:dyDescent="0.25">
      <c r="B173" s="43"/>
    </row>
    <row r="174" spans="2:23" x14ac:dyDescent="0.25">
      <c r="B174" s="43"/>
    </row>
    <row r="175" spans="2:23" x14ac:dyDescent="0.25">
      <c r="B175" s="43"/>
    </row>
    <row r="176" spans="2:23" x14ac:dyDescent="0.25">
      <c r="B176" s="43"/>
    </row>
    <row r="177" spans="2:2" x14ac:dyDescent="0.25">
      <c r="B177" s="43"/>
    </row>
    <row r="178" spans="2:2" x14ac:dyDescent="0.25">
      <c r="B178" s="43"/>
    </row>
    <row r="179" spans="2:2" x14ac:dyDescent="0.25">
      <c r="B179" s="43"/>
    </row>
    <row r="180" spans="2:2" x14ac:dyDescent="0.25">
      <c r="B180" s="43"/>
    </row>
    <row r="181" spans="2:2" x14ac:dyDescent="0.25">
      <c r="B181" s="43"/>
    </row>
    <row r="182" spans="2:2" x14ac:dyDescent="0.25">
      <c r="B182" s="43"/>
    </row>
    <row r="183" spans="2:2" x14ac:dyDescent="0.25">
      <c r="B183" s="43"/>
    </row>
    <row r="184" spans="2:2" x14ac:dyDescent="0.25">
      <c r="B184" s="43"/>
    </row>
    <row r="185" spans="2:2" x14ac:dyDescent="0.25">
      <c r="B185" s="43"/>
    </row>
    <row r="186" spans="2:2" x14ac:dyDescent="0.25">
      <c r="B186" s="43"/>
    </row>
    <row r="187" spans="2:2" x14ac:dyDescent="0.25">
      <c r="B187" s="43"/>
    </row>
    <row r="188" spans="2:2" x14ac:dyDescent="0.25">
      <c r="B188" s="43"/>
    </row>
    <row r="189" spans="2:2" x14ac:dyDescent="0.25">
      <c r="B189" s="43"/>
    </row>
    <row r="190" spans="2:2" x14ac:dyDescent="0.25">
      <c r="B190" s="43"/>
    </row>
    <row r="191" spans="2:2" x14ac:dyDescent="0.25">
      <c r="B191" s="43"/>
    </row>
    <row r="192" spans="2:2" x14ac:dyDescent="0.25">
      <c r="B192" s="43"/>
    </row>
    <row r="193" spans="2:2" x14ac:dyDescent="0.25">
      <c r="B193" s="43"/>
    </row>
    <row r="194" spans="2:2" x14ac:dyDescent="0.25">
      <c r="B194" s="43"/>
    </row>
    <row r="195" spans="2:2" x14ac:dyDescent="0.25">
      <c r="B195" s="43"/>
    </row>
    <row r="196" spans="2:2" x14ac:dyDescent="0.25">
      <c r="B196" s="43"/>
    </row>
    <row r="197" spans="2:2" x14ac:dyDescent="0.25">
      <c r="B197" s="43"/>
    </row>
    <row r="198" spans="2:2" x14ac:dyDescent="0.25">
      <c r="B198" s="43"/>
    </row>
    <row r="199" spans="2:2" x14ac:dyDescent="0.25">
      <c r="B199" s="43"/>
    </row>
    <row r="200" spans="2:2" x14ac:dyDescent="0.25">
      <c r="B200" s="43"/>
    </row>
    <row r="201" spans="2:2" x14ac:dyDescent="0.25">
      <c r="B201" s="43"/>
    </row>
    <row r="202" spans="2:2" x14ac:dyDescent="0.25">
      <c r="B202" s="43"/>
    </row>
    <row r="203" spans="2:2" x14ac:dyDescent="0.25">
      <c r="B203" s="43"/>
    </row>
    <row r="204" spans="2:2" x14ac:dyDescent="0.25">
      <c r="B204" s="43"/>
    </row>
    <row r="205" spans="2:2" x14ac:dyDescent="0.25">
      <c r="B205" s="43"/>
    </row>
    <row r="206" spans="2:2" x14ac:dyDescent="0.25">
      <c r="B206" s="43"/>
    </row>
    <row r="207" spans="2:2" x14ac:dyDescent="0.25">
      <c r="B207" s="43"/>
    </row>
    <row r="208" spans="2:2" x14ac:dyDescent="0.25">
      <c r="B208" s="43"/>
    </row>
    <row r="209" spans="2:2" x14ac:dyDescent="0.25">
      <c r="B209" s="43"/>
    </row>
    <row r="210" spans="2:2" x14ac:dyDescent="0.25">
      <c r="B210" s="43"/>
    </row>
    <row r="211" spans="2:2" x14ac:dyDescent="0.25">
      <c r="B211" s="43"/>
    </row>
    <row r="212" spans="2:2" x14ac:dyDescent="0.25">
      <c r="B212" s="43"/>
    </row>
    <row r="213" spans="2:2" x14ac:dyDescent="0.25">
      <c r="B213" s="43"/>
    </row>
    <row r="214" spans="2:2" x14ac:dyDescent="0.25">
      <c r="B214" s="43"/>
    </row>
    <row r="215" spans="2:2" x14ac:dyDescent="0.25">
      <c r="B215" s="43"/>
    </row>
    <row r="216" spans="2:2" x14ac:dyDescent="0.25">
      <c r="B216" s="43"/>
    </row>
    <row r="217" spans="2:2" x14ac:dyDescent="0.25">
      <c r="B217" s="43"/>
    </row>
    <row r="218" spans="2:2" x14ac:dyDescent="0.25">
      <c r="B218" s="43"/>
    </row>
    <row r="219" spans="2:2" x14ac:dyDescent="0.25">
      <c r="B219" s="43"/>
    </row>
    <row r="220" spans="2:2" x14ac:dyDescent="0.25">
      <c r="B220" s="43"/>
    </row>
    <row r="221" spans="2:2" x14ac:dyDescent="0.25">
      <c r="B221" s="43"/>
    </row>
    <row r="222" spans="2:2" x14ac:dyDescent="0.25">
      <c r="B222" s="43"/>
    </row>
    <row r="223" spans="2:2" x14ac:dyDescent="0.25">
      <c r="B223" s="43"/>
    </row>
    <row r="224" spans="2:2" x14ac:dyDescent="0.25">
      <c r="B224" s="43"/>
    </row>
    <row r="225" spans="2:2" x14ac:dyDescent="0.25">
      <c r="B225" s="43"/>
    </row>
    <row r="226" spans="2:2" x14ac:dyDescent="0.25">
      <c r="B226" s="43"/>
    </row>
    <row r="227" spans="2:2" x14ac:dyDescent="0.25">
      <c r="B227" s="43"/>
    </row>
    <row r="228" spans="2:2" x14ac:dyDescent="0.25">
      <c r="B228" s="43"/>
    </row>
    <row r="229" spans="2:2" x14ac:dyDescent="0.25">
      <c r="B229" s="43"/>
    </row>
    <row r="230" spans="2:2" x14ac:dyDescent="0.25">
      <c r="B230" s="43"/>
    </row>
    <row r="231" spans="2:2" x14ac:dyDescent="0.25">
      <c r="B231" s="43"/>
    </row>
    <row r="232" spans="2:2" x14ac:dyDescent="0.25">
      <c r="B232" s="43"/>
    </row>
    <row r="233" spans="2:2" x14ac:dyDescent="0.25">
      <c r="B233" s="43"/>
    </row>
    <row r="234" spans="2:2" x14ac:dyDescent="0.25">
      <c r="B234" s="43"/>
    </row>
    <row r="235" spans="2:2" x14ac:dyDescent="0.25">
      <c r="B235" s="43"/>
    </row>
    <row r="236" spans="2:2" x14ac:dyDescent="0.25">
      <c r="B236" s="43"/>
    </row>
    <row r="237" spans="2:2" x14ac:dyDescent="0.25">
      <c r="B237" s="43"/>
    </row>
    <row r="238" spans="2:2" x14ac:dyDescent="0.25">
      <c r="B238" s="43"/>
    </row>
    <row r="239" spans="2:2" x14ac:dyDescent="0.25">
      <c r="B239" s="43"/>
    </row>
  </sheetData>
  <mergeCells count="42">
    <mergeCell ref="C160:H160"/>
    <mergeCell ref="I160:M160"/>
    <mergeCell ref="C161:H161"/>
    <mergeCell ref="C162:H162"/>
    <mergeCell ref="C155:H155"/>
    <mergeCell ref="C156:H156"/>
    <mergeCell ref="I156:M156"/>
    <mergeCell ref="C157:H157"/>
    <mergeCell ref="C158:H158"/>
    <mergeCell ref="I158:M158"/>
    <mergeCell ref="C154:H154"/>
    <mergeCell ref="B146:P146"/>
    <mergeCell ref="C148:H148"/>
    <mergeCell ref="I148:M148"/>
    <mergeCell ref="C149:H149"/>
    <mergeCell ref="C150:H150"/>
    <mergeCell ref="C151:H151"/>
    <mergeCell ref="I151:M151"/>
    <mergeCell ref="C152:H152"/>
    <mergeCell ref="I152:M152"/>
    <mergeCell ref="C153:H153"/>
    <mergeCell ref="B9:B37"/>
    <mergeCell ref="D9:F9"/>
    <mergeCell ref="G9:L9"/>
    <mergeCell ref="D11:L11"/>
    <mergeCell ref="D32:D37"/>
    <mergeCell ref="D96:D110"/>
    <mergeCell ref="D113:D127"/>
    <mergeCell ref="D130:D144"/>
    <mergeCell ref="A1:K1"/>
    <mergeCell ref="C40:Q40"/>
    <mergeCell ref="B45:B144"/>
    <mergeCell ref="D45:D59"/>
    <mergeCell ref="D62:D76"/>
    <mergeCell ref="D79:D93"/>
    <mergeCell ref="D12:L12"/>
    <mergeCell ref="D13:L13"/>
    <mergeCell ref="D14:L14"/>
    <mergeCell ref="C16:P17"/>
    <mergeCell ref="D18:D28"/>
    <mergeCell ref="L4:L5"/>
    <mergeCell ref="C7:Q7"/>
  </mergeCells>
  <hyperlinks>
    <hyperlink ref="M1" r:id="rId1" display="https://atb.nrel.gov/electricity/2022/commercial_battery_storage" xr:uid="{59B7F250-74C8-497B-8F2A-344C854C6D27}"/>
    <hyperlink ref="I151:M151" r:id="rId2" display="V. Ramasamy, D. Feldman, J. Desai, and R. Margolis. 2022. U.S. Solar Photovoltaic System and Energy Storage Cost Benchmark: Q1 2022. Golden, CO: National Renewable Energy Laboratory" xr:uid="{6076454F-2F13-434D-8619-278964C3EF87}"/>
    <hyperlink ref="I152:M152" r:id="rId3" display="V. Ramasamy, D. Feldman, J. Desai, and R. Margolis. 2022. U.S. Solar Photovoltaic System and Energy Storage Cost Benchmark: Q1 2022. Golden, CO: National Renewable Energy Laboratory" xr:uid="{510DC73A-DE07-4440-A2E0-2D9B8A2E2F8B}"/>
    <hyperlink ref="I158:M158" r:id="rId4" display="Battery Storage cost values from C. Augustine and N. Blair, “Energy Storage Futures Study Storage Technology Modeling Input Data Report,” NREL/TP-5700-78694. Golden, CO: National Renewable Energy Laboratory. 2021 " xr:uid="{E05E11B3-8C90-4364-9FBC-EC6024305596}"/>
    <hyperlink ref="I160:M160" r:id="rId5" display="Battery Storage cost values from C. Augustine and N. Blair, “Energy Storage Futures Study Storage Technology Modeling Input Data Report,” NREL/TP-5700-78694. Golden, CO: National Renewable Energy Laboratory. 2021 " xr:uid="{32BE29A5-9EEE-45FE-B398-03EA9B2FB4E6}"/>
  </hyperlinks>
  <pageMargins left="0.7" right="0.7" top="0.75" bottom="0.75" header="0.3" footer="0.3"/>
  <pageSetup orientation="portrait" r:id="rId6"/>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35C59-F148-4F15-84EB-AB173359A780}">
  <sheetPr codeName="Sheet46">
    <tabColor theme="5" tint="0.39997558519241921"/>
  </sheetPr>
  <dimension ref="A1:DD181"/>
  <sheetViews>
    <sheetView zoomScale="80" zoomScaleNormal="80" workbookViewId="0">
      <selection sqref="A1:K1"/>
    </sheetView>
  </sheetViews>
  <sheetFormatPr defaultColWidth="8.42578125" defaultRowHeight="15" x14ac:dyDescent="0.25"/>
  <cols>
    <col min="1" max="1" width="104.42578125" style="3" bestFit="1" customWidth="1"/>
    <col min="2" max="3" width="8.42578125" style="3"/>
    <col min="4" max="4" width="36.42578125" style="3" customWidth="1"/>
    <col min="5" max="6" width="46.42578125" style="3" customWidth="1"/>
    <col min="7" max="7" width="14.42578125" style="3" customWidth="1"/>
    <col min="8" max="8" width="11.42578125" style="3" customWidth="1"/>
    <col min="9" max="13" width="9.28515625" style="3" customWidth="1"/>
    <col min="14" max="16384" width="8.42578125" style="3"/>
  </cols>
  <sheetData>
    <row r="1" spans="1:108" s="325" customFormat="1" ht="18" x14ac:dyDescent="0.25">
      <c r="A1" s="611" t="s">
        <v>296</v>
      </c>
      <c r="B1" s="611"/>
      <c r="C1" s="611"/>
      <c r="D1" s="611"/>
      <c r="E1" s="611"/>
      <c r="F1" s="611"/>
      <c r="G1" s="611"/>
      <c r="H1" s="611"/>
      <c r="I1" s="611"/>
      <c r="J1" s="611"/>
      <c r="K1" s="611"/>
      <c r="M1" s="326" t="s">
        <v>295</v>
      </c>
    </row>
    <row r="2" spans="1:108" s="325" customFormat="1" ht="14.25" customHeight="1" x14ac:dyDescent="0.25">
      <c r="A2" s="3"/>
      <c r="B2" s="3"/>
      <c r="C2" s="3"/>
      <c r="D2" s="3"/>
      <c r="E2" s="3"/>
      <c r="F2" s="3"/>
      <c r="G2" s="327"/>
      <c r="H2" s="327"/>
      <c r="I2" s="327"/>
      <c r="J2" s="327"/>
      <c r="K2" s="327"/>
      <c r="L2" s="328" t="s">
        <v>270</v>
      </c>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c r="AR2" s="327"/>
      <c r="AS2" s="327"/>
      <c r="AT2" s="327"/>
      <c r="AU2" s="327"/>
      <c r="AV2" s="327"/>
      <c r="AW2" s="327"/>
      <c r="AX2" s="327"/>
      <c r="AY2" s="327"/>
      <c r="AZ2" s="327"/>
      <c r="BA2" s="327"/>
      <c r="BB2" s="327"/>
      <c r="BC2" s="327"/>
      <c r="BD2" s="327"/>
      <c r="BE2" s="327"/>
      <c r="BF2" s="327"/>
      <c r="BG2" s="327"/>
      <c r="BH2" s="327"/>
      <c r="BI2" s="327"/>
      <c r="BJ2" s="327"/>
      <c r="BK2" s="327"/>
      <c r="BL2" s="327"/>
      <c r="BM2" s="327"/>
      <c r="BN2" s="327"/>
      <c r="BO2" s="327"/>
      <c r="BP2" s="327"/>
      <c r="BQ2" s="327"/>
      <c r="BR2" s="327"/>
      <c r="BS2" s="327"/>
      <c r="BT2" s="327"/>
      <c r="BU2" s="327"/>
      <c r="BV2" s="327"/>
      <c r="BW2" s="327"/>
      <c r="BX2" s="327"/>
      <c r="BY2" s="327"/>
      <c r="BZ2" s="327"/>
      <c r="CA2" s="327"/>
      <c r="CB2" s="327"/>
      <c r="CC2" s="327"/>
      <c r="CD2" s="327"/>
      <c r="CE2" s="327"/>
      <c r="CF2" s="327"/>
      <c r="CG2" s="327"/>
      <c r="CH2" s="327"/>
      <c r="CI2" s="327"/>
      <c r="CJ2" s="327"/>
      <c r="CK2" s="327"/>
      <c r="CL2" s="327"/>
      <c r="CM2" s="327"/>
      <c r="CN2" s="327"/>
      <c r="CO2" s="327"/>
      <c r="CP2" s="327"/>
      <c r="CQ2" s="327"/>
      <c r="CR2" s="327"/>
      <c r="CS2" s="327"/>
      <c r="CT2" s="327"/>
      <c r="CU2" s="327"/>
      <c r="CV2" s="327"/>
      <c r="CW2" s="327"/>
      <c r="CX2" s="327"/>
      <c r="CY2" s="327"/>
      <c r="CZ2" s="327"/>
      <c r="DA2" s="327"/>
      <c r="DB2" s="327"/>
      <c r="DC2" s="327"/>
      <c r="DD2" s="327"/>
    </row>
    <row r="3" spans="1:108" s="325" customFormat="1" ht="14.25" customHeight="1" x14ac:dyDescent="0.25">
      <c r="A3" s="3"/>
      <c r="B3" s="3"/>
      <c r="C3" s="3"/>
      <c r="D3" s="3"/>
      <c r="E3" s="3"/>
      <c r="F3" s="3"/>
      <c r="L3" s="329" t="s">
        <v>269</v>
      </c>
    </row>
    <row r="4" spans="1:108" s="325" customFormat="1" ht="14.25" customHeight="1" x14ac:dyDescent="0.2">
      <c r="D4" s="330"/>
      <c r="L4" s="612" t="s">
        <v>268</v>
      </c>
    </row>
    <row r="5" spans="1:108" x14ac:dyDescent="0.25">
      <c r="L5" s="613"/>
    </row>
    <row r="6" spans="1:108" s="325" customFormat="1" ht="14.25" customHeight="1" x14ac:dyDescent="0.2">
      <c r="H6" s="331"/>
      <c r="I6" s="332"/>
      <c r="J6" s="332"/>
      <c r="K6" s="332"/>
      <c r="M6" s="332"/>
      <c r="N6" s="332"/>
      <c r="O6" s="332"/>
      <c r="P6" s="332"/>
      <c r="Q6" s="332"/>
      <c r="R6" s="332"/>
      <c r="S6" s="332"/>
      <c r="T6" s="332"/>
      <c r="U6" s="332"/>
      <c r="V6" s="332"/>
      <c r="W6" s="332"/>
      <c r="X6" s="332"/>
      <c r="Y6" s="332"/>
      <c r="Z6" s="332"/>
      <c r="AA6" s="332"/>
      <c r="AB6" s="332"/>
      <c r="AC6" s="332"/>
      <c r="AD6" s="332"/>
      <c r="AE6" s="333"/>
      <c r="AF6" s="334"/>
    </row>
    <row r="7" spans="1:108" s="325" customFormat="1" ht="14.25" customHeight="1" x14ac:dyDescent="0.2">
      <c r="B7" s="325" t="s">
        <v>267</v>
      </c>
      <c r="C7" s="614" t="s">
        <v>15</v>
      </c>
      <c r="D7" s="614"/>
      <c r="E7" s="614"/>
      <c r="F7" s="614"/>
      <c r="G7" s="614"/>
      <c r="H7" s="614"/>
      <c r="I7" s="614"/>
      <c r="J7" s="614"/>
      <c r="K7" s="614"/>
      <c r="L7" s="614"/>
      <c r="M7" s="614"/>
      <c r="N7" s="614"/>
      <c r="O7" s="614"/>
      <c r="P7" s="614"/>
      <c r="Q7" s="614"/>
      <c r="R7" s="335"/>
      <c r="S7" s="335"/>
      <c r="T7" s="335"/>
      <c r="U7" s="335"/>
      <c r="V7" s="335"/>
      <c r="W7" s="335"/>
      <c r="X7" s="335"/>
      <c r="Y7" s="335"/>
      <c r="Z7" s="335"/>
      <c r="AA7" s="336"/>
      <c r="AB7" s="334"/>
    </row>
    <row r="8" spans="1:108" s="325" customFormat="1" ht="14.25" customHeight="1" thickBot="1" x14ac:dyDescent="0.25">
      <c r="O8" s="337"/>
    </row>
    <row r="9" spans="1:108" s="325" customFormat="1" ht="14.25" customHeight="1" thickBot="1" x14ac:dyDescent="0.3">
      <c r="A9" s="3"/>
      <c r="B9" s="615" t="s">
        <v>266</v>
      </c>
      <c r="D9" s="616" t="s">
        <v>265</v>
      </c>
      <c r="E9" s="617"/>
      <c r="F9" s="618"/>
      <c r="G9" s="619">
        <v>2021</v>
      </c>
      <c r="H9" s="620"/>
      <c r="I9" s="620"/>
      <c r="J9" s="620"/>
      <c r="K9" s="621"/>
      <c r="L9" s="621"/>
    </row>
    <row r="10" spans="1:108" s="325" customFormat="1" ht="14.25" customHeight="1" thickBot="1" x14ac:dyDescent="0.25">
      <c r="B10" s="650"/>
      <c r="D10" s="338" t="s">
        <v>264</v>
      </c>
      <c r="J10" s="337"/>
    </row>
    <row r="11" spans="1:108" s="325" customFormat="1" ht="13.5" customHeight="1" thickBot="1" x14ac:dyDescent="0.3">
      <c r="B11" s="650"/>
      <c r="D11" s="622" t="s">
        <v>294</v>
      </c>
      <c r="E11" s="623"/>
      <c r="F11" s="623"/>
      <c r="G11" s="623"/>
      <c r="H11" s="623"/>
      <c r="I11" s="623"/>
      <c r="J11" s="623"/>
      <c r="K11" s="623"/>
      <c r="L11" s="623"/>
      <c r="W11" s="339"/>
      <c r="X11" s="340"/>
      <c r="Y11" s="340"/>
      <c r="Z11" s="340"/>
      <c r="AA11" s="340"/>
    </row>
    <row r="12" spans="1:108" s="325" customFormat="1" ht="17.25" customHeight="1" thickBot="1" x14ac:dyDescent="0.3">
      <c r="B12" s="650"/>
      <c r="D12" s="624" t="s">
        <v>293</v>
      </c>
      <c r="E12" s="625"/>
      <c r="F12" s="625"/>
      <c r="G12" s="625"/>
      <c r="H12" s="625"/>
      <c r="I12" s="625"/>
      <c r="J12" s="625"/>
      <c r="K12" s="625"/>
      <c r="L12" s="626"/>
      <c r="M12" s="341"/>
      <c r="W12" s="339"/>
      <c r="X12" s="340"/>
      <c r="Y12" s="340"/>
      <c r="Z12" s="340"/>
      <c r="AA12" s="340"/>
    </row>
    <row r="13" spans="1:108" s="325" customFormat="1" ht="13.5" customHeight="1" thickBot="1" x14ac:dyDescent="0.3">
      <c r="B13" s="650"/>
      <c r="D13" s="624"/>
      <c r="E13" s="625"/>
      <c r="F13" s="625"/>
      <c r="G13" s="625"/>
      <c r="H13" s="625"/>
      <c r="I13" s="625"/>
      <c r="J13" s="625"/>
      <c r="K13" s="625"/>
      <c r="L13" s="626"/>
      <c r="W13" s="339"/>
      <c r="X13" s="340"/>
      <c r="Y13" s="340"/>
      <c r="Z13" s="340"/>
      <c r="AA13" s="340"/>
    </row>
    <row r="14" spans="1:108" s="325" customFormat="1" ht="13.5" customHeight="1" thickBot="1" x14ac:dyDescent="0.3">
      <c r="B14" s="650"/>
      <c r="D14" s="624"/>
      <c r="E14" s="625"/>
      <c r="F14" s="625"/>
      <c r="G14" s="625"/>
      <c r="H14" s="625"/>
      <c r="I14" s="625"/>
      <c r="J14" s="625"/>
      <c r="K14" s="625"/>
      <c r="L14" s="626"/>
      <c r="W14" s="340"/>
      <c r="X14" s="340"/>
      <c r="Y14" s="340"/>
      <c r="Z14" s="340"/>
      <c r="AA14" s="340"/>
    </row>
    <row r="15" spans="1:108" x14ac:dyDescent="0.25">
      <c r="B15" s="651"/>
    </row>
    <row r="16" spans="1:108" x14ac:dyDescent="0.25">
      <c r="B16" s="651"/>
      <c r="C16" s="610" t="s">
        <v>284</v>
      </c>
      <c r="D16" s="610"/>
      <c r="E16" s="610"/>
      <c r="F16" s="610"/>
      <c r="G16" s="610"/>
      <c r="H16" s="610"/>
      <c r="I16" s="610"/>
      <c r="J16" s="610"/>
      <c r="K16" s="610"/>
      <c r="L16" s="610"/>
      <c r="M16" s="610"/>
      <c r="N16" s="610"/>
      <c r="O16" s="610"/>
      <c r="P16" s="610"/>
      <c r="Q16" s="31"/>
    </row>
    <row r="17" spans="2:68" x14ac:dyDescent="0.25">
      <c r="B17" s="651"/>
      <c r="C17" s="610"/>
      <c r="D17" s="610"/>
      <c r="E17" s="610"/>
      <c r="F17" s="610"/>
      <c r="G17" s="610"/>
      <c r="H17" s="610"/>
      <c r="I17" s="610"/>
      <c r="J17" s="610"/>
      <c r="K17" s="610"/>
      <c r="L17" s="610"/>
      <c r="M17" s="610"/>
      <c r="N17" s="610"/>
      <c r="O17" s="610"/>
      <c r="P17" s="610"/>
    </row>
    <row r="18" spans="2:68" ht="15" customHeight="1" x14ac:dyDescent="0.25">
      <c r="B18" s="651"/>
      <c r="C18" s="246"/>
      <c r="D18" s="608" t="s">
        <v>260</v>
      </c>
      <c r="E18" s="31" t="s">
        <v>259</v>
      </c>
      <c r="AL18" s="31" t="s">
        <v>283</v>
      </c>
    </row>
    <row r="19" spans="2:68" ht="15" customHeight="1" x14ac:dyDescent="0.25">
      <c r="B19" s="651"/>
      <c r="C19" s="246"/>
      <c r="D19" s="609"/>
      <c r="F19" s="31">
        <v>2021</v>
      </c>
      <c r="G19" s="31">
        <v>2022</v>
      </c>
      <c r="H19" s="31">
        <v>2023</v>
      </c>
      <c r="I19" s="31">
        <v>2024</v>
      </c>
      <c r="J19" s="31">
        <v>2025</v>
      </c>
      <c r="K19" s="31">
        <v>2026</v>
      </c>
      <c r="L19" s="31">
        <v>2027</v>
      </c>
      <c r="M19" s="31">
        <v>2028</v>
      </c>
      <c r="N19" s="31">
        <v>2029</v>
      </c>
      <c r="O19" s="31">
        <v>2030</v>
      </c>
      <c r="P19" s="31">
        <v>2031</v>
      </c>
      <c r="Q19" s="31">
        <v>2032</v>
      </c>
      <c r="R19" s="31">
        <v>2033</v>
      </c>
      <c r="S19" s="31">
        <v>2034</v>
      </c>
      <c r="T19" s="31">
        <v>2035</v>
      </c>
      <c r="U19" s="31">
        <v>2036</v>
      </c>
      <c r="V19" s="31">
        <v>2037</v>
      </c>
      <c r="W19" s="31">
        <v>2038</v>
      </c>
      <c r="X19" s="31">
        <v>2039</v>
      </c>
      <c r="Y19" s="31">
        <v>2040</v>
      </c>
      <c r="Z19" s="31">
        <v>2041</v>
      </c>
      <c r="AA19" s="31">
        <v>2042</v>
      </c>
      <c r="AB19" s="31">
        <v>2043</v>
      </c>
      <c r="AC19" s="31">
        <v>2044</v>
      </c>
      <c r="AD19" s="31">
        <v>2045</v>
      </c>
      <c r="AE19" s="31">
        <v>2046</v>
      </c>
      <c r="AF19" s="31">
        <v>2047</v>
      </c>
      <c r="AG19" s="31">
        <v>2048</v>
      </c>
      <c r="AH19" s="31">
        <v>2049</v>
      </c>
      <c r="AI19" s="31">
        <v>2050</v>
      </c>
      <c r="AM19" s="31">
        <v>2021</v>
      </c>
      <c r="AN19" s="31">
        <v>2022</v>
      </c>
      <c r="AO19" s="31">
        <v>2023</v>
      </c>
      <c r="AP19" s="31">
        <v>2024</v>
      </c>
      <c r="AQ19" s="31">
        <v>2025</v>
      </c>
      <c r="AR19" s="31">
        <v>2026</v>
      </c>
      <c r="AS19" s="31">
        <v>2027</v>
      </c>
      <c r="AT19" s="31">
        <v>2028</v>
      </c>
      <c r="AU19" s="31">
        <v>2029</v>
      </c>
      <c r="AV19" s="31">
        <v>2030</v>
      </c>
      <c r="AW19" s="31">
        <v>2031</v>
      </c>
      <c r="AX19" s="31">
        <v>2032</v>
      </c>
      <c r="AY19" s="31">
        <v>2033</v>
      </c>
      <c r="AZ19" s="31">
        <v>2034</v>
      </c>
      <c r="BA19" s="31">
        <v>2035</v>
      </c>
      <c r="BB19" s="31">
        <v>2036</v>
      </c>
      <c r="BC19" s="31">
        <v>2037</v>
      </c>
      <c r="BD19" s="31">
        <v>2038</v>
      </c>
      <c r="BE19" s="31">
        <v>2039</v>
      </c>
      <c r="BF19" s="31">
        <v>2040</v>
      </c>
      <c r="BG19" s="31">
        <v>2041</v>
      </c>
      <c r="BH19" s="31">
        <v>2042</v>
      </c>
      <c r="BI19" s="31">
        <v>2043</v>
      </c>
      <c r="BJ19" s="31">
        <v>2044</v>
      </c>
      <c r="BK19" s="31">
        <v>2045</v>
      </c>
      <c r="BL19" s="31">
        <v>2046</v>
      </c>
      <c r="BM19" s="31">
        <v>2047</v>
      </c>
      <c r="BN19" s="31">
        <v>2048</v>
      </c>
      <c r="BO19" s="31">
        <v>2049</v>
      </c>
      <c r="BP19" s="31">
        <v>2050</v>
      </c>
    </row>
    <row r="20" spans="2:68" ht="15" customHeight="1" x14ac:dyDescent="0.25">
      <c r="B20" s="651"/>
      <c r="C20" s="246"/>
      <c r="D20" s="609"/>
      <c r="E20" s="3" t="s">
        <v>233</v>
      </c>
      <c r="F20" s="342">
        <v>717.94396271978746</v>
      </c>
      <c r="G20" s="342">
        <v>597.33379416099842</v>
      </c>
      <c r="H20" s="342">
        <v>429.72063765959871</v>
      </c>
      <c r="I20" s="342">
        <v>405.59835169008386</v>
      </c>
      <c r="J20" s="342">
        <v>384.9612535610384</v>
      </c>
      <c r="K20" s="342">
        <v>371.09106582422112</v>
      </c>
      <c r="L20" s="342">
        <v>357.22087808740355</v>
      </c>
      <c r="M20" s="342">
        <v>343.35069035058609</v>
      </c>
      <c r="N20" s="342">
        <v>329.48050261376881</v>
      </c>
      <c r="O20" s="342">
        <v>315.61031487695124</v>
      </c>
      <c r="P20" s="342">
        <v>309.67523445721741</v>
      </c>
      <c r="Q20" s="342">
        <v>303.74015403748359</v>
      </c>
      <c r="R20" s="342">
        <v>297.80507361774988</v>
      </c>
      <c r="S20" s="342">
        <v>291.86999319801612</v>
      </c>
      <c r="T20" s="342">
        <v>285.93491277828235</v>
      </c>
      <c r="U20" s="342">
        <v>279.9998323585487</v>
      </c>
      <c r="V20" s="342">
        <v>274.06475193881499</v>
      </c>
      <c r="W20" s="342">
        <v>268.12967151908111</v>
      </c>
      <c r="X20" s="342">
        <v>262.19459109934741</v>
      </c>
      <c r="Y20" s="342">
        <v>256.2595106796137</v>
      </c>
      <c r="Z20" s="342">
        <v>250.3244302598799</v>
      </c>
      <c r="AA20" s="342">
        <v>244.38934984014611</v>
      </c>
      <c r="AB20" s="342">
        <v>238.45426942041243</v>
      </c>
      <c r="AC20" s="342">
        <v>232.51918900067867</v>
      </c>
      <c r="AD20" s="342">
        <v>226.5841085809449</v>
      </c>
      <c r="AE20" s="342">
        <v>220.64902816121108</v>
      </c>
      <c r="AF20" s="342">
        <v>214.71394774147731</v>
      </c>
      <c r="AG20" s="342">
        <v>208.77886732174369</v>
      </c>
      <c r="AH20" s="342">
        <v>202.8437869020099</v>
      </c>
      <c r="AI20" s="342">
        <v>196.90870648227605</v>
      </c>
      <c r="AL20" s="3" t="s">
        <v>233</v>
      </c>
      <c r="AM20" s="342">
        <v>6657.4206622199727</v>
      </c>
      <c r="AN20" s="342">
        <v>7834.8485606388076</v>
      </c>
      <c r="AO20" s="342">
        <v>5636.3730837847925</v>
      </c>
      <c r="AP20" s="342">
        <v>5319.9763566030852</v>
      </c>
      <c r="AQ20" s="342">
        <v>5049.2926280870779</v>
      </c>
      <c r="AR20" s="342">
        <v>4867.3661717441364</v>
      </c>
      <c r="AS20" s="342">
        <v>4685.4397154011949</v>
      </c>
      <c r="AT20" s="342">
        <v>4503.5132590582589</v>
      </c>
      <c r="AU20" s="342">
        <v>4321.586802715311</v>
      </c>
      <c r="AV20" s="342">
        <v>4139.6603463723777</v>
      </c>
      <c r="AW20" s="342">
        <v>4061.8136604182682</v>
      </c>
      <c r="AX20" s="342">
        <v>3983.9669744641606</v>
      </c>
      <c r="AY20" s="342">
        <v>3906.1202885100538</v>
      </c>
      <c r="AZ20" s="342">
        <v>3828.2736025559443</v>
      </c>
      <c r="BA20" s="342">
        <v>3750.4269166018394</v>
      </c>
      <c r="BB20" s="342">
        <v>3672.5802306477299</v>
      </c>
      <c r="BC20" s="342">
        <v>3594.7335446936213</v>
      </c>
      <c r="BD20" s="342">
        <v>3516.8868587395164</v>
      </c>
      <c r="BE20" s="342">
        <v>3439.0401727854096</v>
      </c>
      <c r="BF20" s="342">
        <v>3361.193486831301</v>
      </c>
      <c r="BG20" s="342">
        <v>3283.3468008771943</v>
      </c>
      <c r="BH20" s="342">
        <v>3205.5001149230875</v>
      </c>
      <c r="BI20" s="342">
        <v>3127.6534289689798</v>
      </c>
      <c r="BJ20" s="342">
        <v>3049.8067430148712</v>
      </c>
      <c r="BK20" s="342">
        <v>2971.9600570607663</v>
      </c>
      <c r="BL20" s="342">
        <v>2894.1133711066605</v>
      </c>
      <c r="BM20" s="342">
        <v>2816.2666851525519</v>
      </c>
      <c r="BN20" s="342">
        <v>2738.4199991984424</v>
      </c>
      <c r="BO20" s="342">
        <v>2660.5733132443365</v>
      </c>
      <c r="BP20" s="342">
        <v>2582.7266272902298</v>
      </c>
    </row>
    <row r="21" spans="2:68" ht="15" customHeight="1" x14ac:dyDescent="0.25">
      <c r="B21" s="651"/>
      <c r="C21" s="246"/>
      <c r="D21" s="610"/>
      <c r="E21" s="3" t="s">
        <v>232</v>
      </c>
      <c r="F21" s="342">
        <v>717.94396271978746</v>
      </c>
      <c r="G21" s="342">
        <v>597.33379416099842</v>
      </c>
      <c r="H21" s="342">
        <v>547.10232938664808</v>
      </c>
      <c r="I21" s="342">
        <v>499.16496053391432</v>
      </c>
      <c r="J21" s="342">
        <v>453.01363927383989</v>
      </c>
      <c r="K21" s="342">
        <v>431.02722160020028</v>
      </c>
      <c r="L21" s="342">
        <v>411.60964292548852</v>
      </c>
      <c r="M21" s="342">
        <v>395.15130594507963</v>
      </c>
      <c r="N21" s="342">
        <v>379.63045414041983</v>
      </c>
      <c r="O21" s="342">
        <v>365.61235055890768</v>
      </c>
      <c r="P21" s="342">
        <v>361.04219617692149</v>
      </c>
      <c r="Q21" s="342">
        <v>356.47204179493502</v>
      </c>
      <c r="R21" s="342">
        <v>351.90188741294878</v>
      </c>
      <c r="S21" s="342">
        <v>347.3317330309626</v>
      </c>
      <c r="T21" s="342">
        <v>342.76157864897613</v>
      </c>
      <c r="U21" s="342">
        <v>338.19142426698971</v>
      </c>
      <c r="V21" s="342">
        <v>333.62126988500347</v>
      </c>
      <c r="W21" s="342">
        <v>329.051115503017</v>
      </c>
      <c r="X21" s="342">
        <v>324.4809611210307</v>
      </c>
      <c r="Y21" s="342">
        <v>319.91080673904435</v>
      </c>
      <c r="Z21" s="342">
        <v>315.34065235705805</v>
      </c>
      <c r="AA21" s="342">
        <v>310.77049797507163</v>
      </c>
      <c r="AB21" s="342">
        <v>306.20034359308539</v>
      </c>
      <c r="AC21" s="342">
        <v>301.63018921109898</v>
      </c>
      <c r="AD21" s="342">
        <v>297.06003482911268</v>
      </c>
      <c r="AE21" s="342">
        <v>292.48988044712627</v>
      </c>
      <c r="AF21" s="342">
        <v>287.91972606513991</v>
      </c>
      <c r="AG21" s="342">
        <v>283.34957168315361</v>
      </c>
      <c r="AH21" s="342">
        <v>278.77941730116726</v>
      </c>
      <c r="AI21" s="342">
        <v>274.2092629191809</v>
      </c>
      <c r="AL21" s="3" t="s">
        <v>232</v>
      </c>
      <c r="AM21" s="342">
        <v>6657.4206622199727</v>
      </c>
      <c r="AN21" s="342">
        <v>7834.8485606388076</v>
      </c>
      <c r="AO21" s="342">
        <v>7575.1934608670763</v>
      </c>
      <c r="AP21" s="342">
        <v>7355.9825994596504</v>
      </c>
      <c r="AQ21" s="342">
        <v>7168.8134045811767</v>
      </c>
      <c r="AR21" s="342">
        <v>7019.8291031792069</v>
      </c>
      <c r="AS21" s="342">
        <v>6884.1669795953549</v>
      </c>
      <c r="AT21" s="342">
        <v>6760.4493047088781</v>
      </c>
      <c r="AU21" s="342">
        <v>6634.3753616151298</v>
      </c>
      <c r="AV21" s="342">
        <v>6519.0073966119899</v>
      </c>
      <c r="AW21" s="342">
        <v>6437.5198041543381</v>
      </c>
      <c r="AX21" s="342">
        <v>6356.0322116966945</v>
      </c>
      <c r="AY21" s="342">
        <v>6274.5446192390418</v>
      </c>
      <c r="AZ21" s="342">
        <v>6193.0570267813891</v>
      </c>
      <c r="BA21" s="342">
        <v>6111.569434323741</v>
      </c>
      <c r="BB21" s="342">
        <v>6030.0818418660892</v>
      </c>
      <c r="BC21" s="342">
        <v>5948.5942494084393</v>
      </c>
      <c r="BD21" s="342">
        <v>5867.1066569507893</v>
      </c>
      <c r="BE21" s="342">
        <v>5785.6190644931467</v>
      </c>
      <c r="BF21" s="342">
        <v>5704.131472035494</v>
      </c>
      <c r="BG21" s="342">
        <v>5622.6438795778404</v>
      </c>
      <c r="BH21" s="342">
        <v>5541.1562871201959</v>
      </c>
      <c r="BI21" s="342">
        <v>5459.6686946625368</v>
      </c>
      <c r="BJ21" s="342">
        <v>5378.1811022048896</v>
      </c>
      <c r="BK21" s="342">
        <v>5296.6935097472415</v>
      </c>
      <c r="BL21" s="342">
        <v>5215.2059172895915</v>
      </c>
      <c r="BM21" s="342">
        <v>5133.7183248319407</v>
      </c>
      <c r="BN21" s="342">
        <v>5052.230732374298</v>
      </c>
      <c r="BO21" s="342">
        <v>4970.7431399166453</v>
      </c>
      <c r="BP21" s="342">
        <v>4889.255547458989</v>
      </c>
    </row>
    <row r="22" spans="2:68" ht="15" customHeight="1" x14ac:dyDescent="0.25">
      <c r="B22" s="651"/>
      <c r="C22" s="246"/>
      <c r="D22" s="610"/>
      <c r="E22" s="3" t="s">
        <v>194</v>
      </c>
      <c r="F22" s="342">
        <v>717.94396271978746</v>
      </c>
      <c r="G22" s="342">
        <v>597.33379416099842</v>
      </c>
      <c r="H22" s="342">
        <v>619.4572680188129</v>
      </c>
      <c r="I22" s="342">
        <v>623.88196279037595</v>
      </c>
      <c r="J22" s="342">
        <v>615.03257324725018</v>
      </c>
      <c r="K22" s="342">
        <v>592.02416043512312</v>
      </c>
      <c r="L22" s="342">
        <v>569.01574762299549</v>
      </c>
      <c r="M22" s="342">
        <v>546.00733481086809</v>
      </c>
      <c r="N22" s="342">
        <v>522.9989219987408</v>
      </c>
      <c r="O22" s="342">
        <v>499.99050918661339</v>
      </c>
      <c r="P22" s="342">
        <v>498.56273642098591</v>
      </c>
      <c r="Q22" s="342">
        <v>497.13496365535832</v>
      </c>
      <c r="R22" s="342">
        <v>495.70719088973084</v>
      </c>
      <c r="S22" s="342">
        <v>494.27941812410324</v>
      </c>
      <c r="T22" s="342">
        <v>492.85164535847571</v>
      </c>
      <c r="U22" s="342">
        <v>491.42387259284817</v>
      </c>
      <c r="V22" s="342">
        <v>489.99609982722069</v>
      </c>
      <c r="W22" s="342">
        <v>488.56832706159292</v>
      </c>
      <c r="X22" s="342">
        <v>487.1405542959655</v>
      </c>
      <c r="Y22" s="342">
        <v>485.71278153033802</v>
      </c>
      <c r="Z22" s="342">
        <v>484.28500876471048</v>
      </c>
      <c r="AA22" s="342">
        <v>482.85723599908272</v>
      </c>
      <c r="AB22" s="342">
        <v>481.42946323345518</v>
      </c>
      <c r="AC22" s="342">
        <v>480.0016904678277</v>
      </c>
      <c r="AD22" s="342">
        <v>478.57391770220045</v>
      </c>
      <c r="AE22" s="342">
        <v>477.14614493657291</v>
      </c>
      <c r="AF22" s="342">
        <v>475.71837217094514</v>
      </c>
      <c r="AG22" s="342">
        <v>474.29059940531789</v>
      </c>
      <c r="AH22" s="342">
        <v>472.86282663969013</v>
      </c>
      <c r="AI22" s="342">
        <v>471.43505387406219</v>
      </c>
      <c r="AL22" s="3" t="s">
        <v>194</v>
      </c>
      <c r="AM22" s="342">
        <v>6657.4206622199727</v>
      </c>
      <c r="AN22" s="342">
        <v>7834.8485606388076</v>
      </c>
      <c r="AO22" s="342">
        <v>8125.0281369587756</v>
      </c>
      <c r="AP22" s="342">
        <v>8183.064052222755</v>
      </c>
      <c r="AQ22" s="342">
        <v>8066.9922216947707</v>
      </c>
      <c r="AR22" s="342">
        <v>7765.2054623220192</v>
      </c>
      <c r="AS22" s="342">
        <v>7463.4187029492659</v>
      </c>
      <c r="AT22" s="342">
        <v>7161.6319435765108</v>
      </c>
      <c r="AU22" s="342">
        <v>6859.8451842037612</v>
      </c>
      <c r="AV22" s="342">
        <v>6558.0584248310042</v>
      </c>
      <c r="AW22" s="342">
        <v>6539.331234929743</v>
      </c>
      <c r="AX22" s="342">
        <v>6520.6040450284745</v>
      </c>
      <c r="AY22" s="342">
        <v>6501.8768551272151</v>
      </c>
      <c r="AZ22" s="342">
        <v>6483.149665225943</v>
      </c>
      <c r="BA22" s="342">
        <v>6464.4224753246799</v>
      </c>
      <c r="BB22" s="342">
        <v>6445.695285423415</v>
      </c>
      <c r="BC22" s="342">
        <v>6426.9680955221465</v>
      </c>
      <c r="BD22" s="342">
        <v>6408.2409056208817</v>
      </c>
      <c r="BE22" s="342">
        <v>6389.5137157196204</v>
      </c>
      <c r="BF22" s="342">
        <v>6370.7865258183538</v>
      </c>
      <c r="BG22" s="342">
        <v>6352.0593359170871</v>
      </c>
      <c r="BH22" s="342">
        <v>6333.3321460158259</v>
      </c>
      <c r="BI22" s="342">
        <v>6314.6049561145683</v>
      </c>
      <c r="BJ22" s="342">
        <v>6295.8777662132961</v>
      </c>
      <c r="BK22" s="342">
        <v>6277.150576312024</v>
      </c>
      <c r="BL22" s="342">
        <v>6258.4233864107555</v>
      </c>
      <c r="BM22" s="342">
        <v>6239.6961965095034</v>
      </c>
      <c r="BN22" s="342">
        <v>6220.9690066082276</v>
      </c>
      <c r="BO22" s="342">
        <v>6202.2418167069645</v>
      </c>
      <c r="BP22" s="342">
        <v>6183.5146268056978</v>
      </c>
    </row>
    <row r="23" spans="2:68" ht="15" customHeight="1" x14ac:dyDescent="0.25">
      <c r="B23" s="651"/>
      <c r="C23" s="246"/>
      <c r="D23" s="610"/>
      <c r="F23" s="258"/>
      <c r="G23" s="258"/>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row>
    <row r="24" spans="2:68" ht="15" customHeight="1" x14ac:dyDescent="0.25">
      <c r="B24" s="651"/>
      <c r="C24" s="246"/>
      <c r="D24" s="610"/>
      <c r="E24" s="31" t="s">
        <v>258</v>
      </c>
    </row>
    <row r="25" spans="2:68" ht="15" customHeight="1" x14ac:dyDescent="0.25">
      <c r="B25" s="651"/>
      <c r="C25" s="246"/>
      <c r="D25" s="610"/>
      <c r="F25" s="31">
        <v>2021</v>
      </c>
      <c r="G25" s="31">
        <v>2022</v>
      </c>
      <c r="H25" s="31">
        <v>2023</v>
      </c>
      <c r="I25" s="31">
        <v>2024</v>
      </c>
      <c r="J25" s="31">
        <v>2025</v>
      </c>
      <c r="K25" s="31">
        <v>2026</v>
      </c>
      <c r="L25" s="31">
        <v>2027</v>
      </c>
      <c r="M25" s="31">
        <v>2028</v>
      </c>
      <c r="N25" s="31">
        <v>2029</v>
      </c>
      <c r="O25" s="31">
        <v>2030</v>
      </c>
      <c r="P25" s="31">
        <v>2031</v>
      </c>
      <c r="Q25" s="31">
        <v>2032</v>
      </c>
      <c r="R25" s="31">
        <v>2033</v>
      </c>
      <c r="S25" s="31">
        <v>2034</v>
      </c>
      <c r="T25" s="31">
        <v>2035</v>
      </c>
      <c r="U25" s="31">
        <v>2036</v>
      </c>
      <c r="V25" s="31">
        <v>2037</v>
      </c>
      <c r="W25" s="31">
        <v>2038</v>
      </c>
      <c r="X25" s="31">
        <v>2039</v>
      </c>
      <c r="Y25" s="31">
        <v>2040</v>
      </c>
      <c r="Z25" s="31">
        <v>2041</v>
      </c>
      <c r="AA25" s="31">
        <v>2042</v>
      </c>
      <c r="AB25" s="31">
        <v>2043</v>
      </c>
      <c r="AC25" s="31">
        <v>2044</v>
      </c>
      <c r="AD25" s="31">
        <v>2045</v>
      </c>
      <c r="AE25" s="31">
        <v>2046</v>
      </c>
      <c r="AF25" s="31">
        <v>2047</v>
      </c>
      <c r="AG25" s="31">
        <v>2048</v>
      </c>
      <c r="AH25" s="31">
        <v>2049</v>
      </c>
      <c r="AI25" s="31">
        <v>2050</v>
      </c>
    </row>
    <row r="26" spans="2:68" ht="15" customHeight="1" x14ac:dyDescent="0.25">
      <c r="B26" s="651"/>
      <c r="C26" s="246"/>
      <c r="D26" s="610"/>
      <c r="E26" s="3" t="s">
        <v>233</v>
      </c>
      <c r="F26" s="342">
        <v>554.82441710654177</v>
      </c>
      <c r="G26" s="342">
        <v>646.4052908703527</v>
      </c>
      <c r="H26" s="342">
        <v>465.02256610058578</v>
      </c>
      <c r="I26" s="342">
        <v>438.91861311650331</v>
      </c>
      <c r="J26" s="342">
        <v>416.58615922016497</v>
      </c>
      <c r="K26" s="342">
        <v>401.57652335813049</v>
      </c>
      <c r="L26" s="342">
        <v>386.5668874960964</v>
      </c>
      <c r="M26" s="342">
        <v>371.55725163406214</v>
      </c>
      <c r="N26" s="342">
        <v>356.54761577202783</v>
      </c>
      <c r="O26" s="342">
        <v>341.53797990999362</v>
      </c>
      <c r="P26" s="342">
        <v>335.11532741224619</v>
      </c>
      <c r="Q26" s="342">
        <v>328.69267491449909</v>
      </c>
      <c r="R26" s="342">
        <v>322.27002241675194</v>
      </c>
      <c r="S26" s="342">
        <v>315.8473699190049</v>
      </c>
      <c r="T26" s="342">
        <v>309.42471742125764</v>
      </c>
      <c r="U26" s="342">
        <v>303.00206492351055</v>
      </c>
      <c r="V26" s="342">
        <v>296.57941242576328</v>
      </c>
      <c r="W26" s="342">
        <v>290.15675992801619</v>
      </c>
      <c r="X26" s="342">
        <v>283.73410743026892</v>
      </c>
      <c r="Y26" s="342">
        <v>277.31145493252188</v>
      </c>
      <c r="Z26" s="342">
        <v>270.88880243477473</v>
      </c>
      <c r="AA26" s="342">
        <v>264.46614993702758</v>
      </c>
      <c r="AB26" s="342">
        <v>258.0434974392802</v>
      </c>
      <c r="AC26" s="342">
        <v>251.62084494153319</v>
      </c>
      <c r="AD26" s="342">
        <v>245.19819244378604</v>
      </c>
      <c r="AE26" s="342">
        <v>238.77553994603883</v>
      </c>
      <c r="AF26" s="342">
        <v>232.35288744829174</v>
      </c>
      <c r="AG26" s="342">
        <v>225.93023495054445</v>
      </c>
      <c r="AH26" s="342">
        <v>219.50758245279724</v>
      </c>
      <c r="AI26" s="342">
        <v>213.08492995505</v>
      </c>
    </row>
    <row r="27" spans="2:68" ht="15" customHeight="1" x14ac:dyDescent="0.25">
      <c r="B27" s="651"/>
      <c r="C27" s="246"/>
      <c r="D27" s="610"/>
      <c r="E27" s="3" t="s">
        <v>232</v>
      </c>
      <c r="F27" s="342">
        <v>554.82441710654177</v>
      </c>
      <c r="G27" s="342">
        <v>646.4052908703527</v>
      </c>
      <c r="H27" s="342">
        <v>624.98274147518885</v>
      </c>
      <c r="I27" s="342">
        <v>606.89699807717466</v>
      </c>
      <c r="J27" s="342">
        <v>591.45481602081554</v>
      </c>
      <c r="K27" s="342">
        <v>579.16303527515129</v>
      </c>
      <c r="L27" s="342">
        <v>567.97038569467782</v>
      </c>
      <c r="M27" s="342">
        <v>557.76319930149475</v>
      </c>
      <c r="N27" s="342">
        <v>547.36161167335547</v>
      </c>
      <c r="O27" s="342">
        <v>537.84330862029799</v>
      </c>
      <c r="P27" s="342">
        <v>531.12026726254385</v>
      </c>
      <c r="Q27" s="342">
        <v>524.39722590479016</v>
      </c>
      <c r="R27" s="342">
        <v>517.67418454703625</v>
      </c>
      <c r="S27" s="342">
        <v>510.95114318928239</v>
      </c>
      <c r="T27" s="342">
        <v>504.22810183152882</v>
      </c>
      <c r="U27" s="342">
        <v>497.50506047377542</v>
      </c>
      <c r="V27" s="342">
        <v>490.78201911602162</v>
      </c>
      <c r="W27" s="342">
        <v>484.0589777582681</v>
      </c>
      <c r="X27" s="342">
        <v>477.33593640051413</v>
      </c>
      <c r="Y27" s="342">
        <v>470.61289504276056</v>
      </c>
      <c r="Z27" s="342">
        <v>463.88985368500732</v>
      </c>
      <c r="AA27" s="342">
        <v>457.16681232725296</v>
      </c>
      <c r="AB27" s="342">
        <v>450.44377096949933</v>
      </c>
      <c r="AC27" s="342">
        <v>443.72072961174558</v>
      </c>
      <c r="AD27" s="342">
        <v>436.99768825399184</v>
      </c>
      <c r="AE27" s="342">
        <v>430.27464689623844</v>
      </c>
      <c r="AF27" s="342">
        <v>423.55160553848475</v>
      </c>
      <c r="AG27" s="342">
        <v>416.82856418073095</v>
      </c>
      <c r="AH27" s="342">
        <v>410.10552282297692</v>
      </c>
      <c r="AI27" s="342">
        <v>403.38248146522312</v>
      </c>
    </row>
    <row r="28" spans="2:68" ht="15" customHeight="1" x14ac:dyDescent="0.25">
      <c r="B28" s="651"/>
      <c r="C28" s="246"/>
      <c r="D28" s="610"/>
      <c r="E28" s="3" t="s">
        <v>194</v>
      </c>
      <c r="F28" s="342">
        <v>554.82441710654177</v>
      </c>
      <c r="G28" s="342">
        <v>646.4052908703527</v>
      </c>
      <c r="H28" s="342">
        <v>670.34622756925444</v>
      </c>
      <c r="I28" s="342">
        <v>675.13441490903529</v>
      </c>
      <c r="J28" s="342">
        <v>665.55804022947461</v>
      </c>
      <c r="K28" s="342">
        <v>640.65946606261639</v>
      </c>
      <c r="L28" s="342">
        <v>615.7608918957585</v>
      </c>
      <c r="M28" s="342">
        <v>590.86231772890062</v>
      </c>
      <c r="N28" s="342">
        <v>565.96374356204251</v>
      </c>
      <c r="O28" s="342">
        <v>541.06516939518451</v>
      </c>
      <c r="P28" s="342">
        <v>539.52010384074254</v>
      </c>
      <c r="Q28" s="342">
        <v>537.97503828630101</v>
      </c>
      <c r="R28" s="342">
        <v>536.42997273185847</v>
      </c>
      <c r="S28" s="342">
        <v>534.88490717741672</v>
      </c>
      <c r="T28" s="342">
        <v>533.33984162297486</v>
      </c>
      <c r="U28" s="342">
        <v>531.79477606853266</v>
      </c>
      <c r="V28" s="342">
        <v>530.24971051409079</v>
      </c>
      <c r="W28" s="342">
        <v>528.7046449596495</v>
      </c>
      <c r="X28" s="342">
        <v>527.15957940520696</v>
      </c>
      <c r="Y28" s="342">
        <v>525.61451385076521</v>
      </c>
      <c r="Z28" s="342">
        <v>524.06944829632334</v>
      </c>
      <c r="AA28" s="342">
        <v>522.52438274188148</v>
      </c>
      <c r="AB28" s="342">
        <v>520.97931718743951</v>
      </c>
      <c r="AC28" s="342">
        <v>519.4342516329981</v>
      </c>
      <c r="AD28" s="342">
        <v>517.88918607855578</v>
      </c>
      <c r="AE28" s="342">
        <v>516.34412052411381</v>
      </c>
      <c r="AF28" s="342">
        <v>514.79905496967217</v>
      </c>
      <c r="AG28" s="342">
        <v>513.25398941523008</v>
      </c>
      <c r="AH28" s="342">
        <v>511.70892386078845</v>
      </c>
      <c r="AI28" s="342">
        <v>510.16385830634545</v>
      </c>
    </row>
    <row r="29" spans="2:68" ht="15" customHeight="1" x14ac:dyDescent="0.25">
      <c r="C29" s="246"/>
      <c r="D29" s="246"/>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row>
    <row r="30" spans="2:68" ht="15" customHeight="1" x14ac:dyDescent="0.25">
      <c r="C30" s="246"/>
      <c r="D30" s="246"/>
      <c r="E30" s="31" t="s">
        <v>282</v>
      </c>
      <c r="F30" s="31"/>
      <c r="G30" s="258"/>
      <c r="H30" s="258"/>
      <c r="I30" s="258"/>
      <c r="J30" s="258"/>
      <c r="K30" s="258"/>
      <c r="L30" s="258"/>
      <c r="M30" s="258"/>
      <c r="N30" s="258"/>
      <c r="O30" s="258"/>
      <c r="P30" s="258"/>
      <c r="Q30" s="258"/>
      <c r="R30" s="258"/>
      <c r="S30" s="258"/>
      <c r="T30" s="258"/>
      <c r="U30" s="258"/>
      <c r="V30" s="343"/>
      <c r="W30" s="258"/>
      <c r="X30" s="258"/>
      <c r="Y30" s="258"/>
      <c r="Z30" s="258"/>
      <c r="AA30" s="258"/>
      <c r="AB30" s="258"/>
      <c r="AC30" s="258"/>
      <c r="AD30" s="258"/>
      <c r="AE30" s="258"/>
      <c r="AF30" s="258"/>
      <c r="AG30" s="258"/>
      <c r="AH30" s="258"/>
      <c r="AI30" s="258"/>
      <c r="AJ30" s="258"/>
      <c r="AK30" s="258"/>
      <c r="AL30" s="258"/>
      <c r="AM30" s="258"/>
    </row>
    <row r="31" spans="2:68" ht="15" customHeight="1" thickBot="1" x14ac:dyDescent="0.3">
      <c r="C31" s="246"/>
      <c r="D31" s="246"/>
      <c r="E31" s="31"/>
      <c r="F31" s="31"/>
      <c r="G31" s="258"/>
      <c r="H31" s="258"/>
      <c r="I31" s="258"/>
      <c r="J31" s="258"/>
      <c r="K31" s="258"/>
      <c r="L31" s="258"/>
      <c r="M31" s="258"/>
      <c r="N31" s="258"/>
      <c r="O31" s="258"/>
      <c r="P31" s="258"/>
      <c r="Q31" s="258"/>
      <c r="R31" s="258"/>
      <c r="S31" s="258"/>
      <c r="T31" s="258"/>
      <c r="U31" s="258"/>
      <c r="V31" s="343"/>
      <c r="W31" s="258"/>
      <c r="X31" s="258"/>
      <c r="Y31" s="258"/>
      <c r="Z31" s="258"/>
      <c r="AA31" s="258"/>
      <c r="AB31" s="258"/>
      <c r="AC31" s="258"/>
      <c r="AD31" s="258"/>
      <c r="AE31" s="258"/>
      <c r="AF31" s="258"/>
      <c r="AG31" s="258"/>
      <c r="AH31" s="258"/>
      <c r="AI31" s="258"/>
      <c r="AJ31" s="258"/>
      <c r="AK31" s="258"/>
      <c r="AL31" s="258"/>
      <c r="AM31" s="258"/>
    </row>
    <row r="32" spans="2:68" ht="15" customHeight="1" thickBot="1" x14ac:dyDescent="0.3">
      <c r="C32" s="246"/>
      <c r="D32" s="609" t="s">
        <v>256</v>
      </c>
      <c r="E32" s="47" t="s">
        <v>255</v>
      </c>
      <c r="F32" s="46" t="s">
        <v>254</v>
      </c>
      <c r="G32" s="46" t="s">
        <v>253</v>
      </c>
      <c r="H32" s="46" t="s">
        <v>252</v>
      </c>
      <c r="I32" s="45" t="s">
        <v>251</v>
      </c>
      <c r="J32" s="258"/>
      <c r="K32" s="258"/>
      <c r="L32" s="258"/>
      <c r="M32" s="258"/>
      <c r="N32" s="258"/>
      <c r="O32" s="258"/>
      <c r="P32" s="258"/>
      <c r="Q32" s="258"/>
      <c r="R32" s="258"/>
      <c r="S32" s="258"/>
      <c r="T32" s="258"/>
      <c r="U32" s="258"/>
      <c r="V32" s="343"/>
      <c r="W32" s="258"/>
      <c r="X32" s="258"/>
      <c r="Y32" s="258"/>
      <c r="Z32" s="258"/>
      <c r="AA32" s="258"/>
      <c r="AB32" s="258"/>
      <c r="AC32" s="258"/>
      <c r="AD32" s="258"/>
      <c r="AE32" s="258"/>
      <c r="AF32" s="258"/>
      <c r="AG32" s="258"/>
      <c r="AH32" s="258"/>
      <c r="AI32" s="258"/>
      <c r="AJ32" s="258"/>
      <c r="AK32" s="258"/>
      <c r="AL32" s="258"/>
      <c r="AM32" s="258"/>
    </row>
    <row r="33" spans="1:74" ht="15" customHeight="1" x14ac:dyDescent="0.25">
      <c r="C33" s="246"/>
      <c r="D33" s="609"/>
      <c r="E33" s="344" t="s">
        <v>289</v>
      </c>
      <c r="F33" s="345" t="s">
        <v>292</v>
      </c>
      <c r="G33" s="345" t="s">
        <v>213</v>
      </c>
      <c r="H33" s="345" t="s">
        <v>201</v>
      </c>
      <c r="I33" s="346" t="s">
        <v>244</v>
      </c>
      <c r="J33" s="258"/>
      <c r="K33" s="258"/>
      <c r="L33" s="258"/>
      <c r="M33" s="258"/>
      <c r="N33" s="258"/>
      <c r="O33" s="258"/>
      <c r="P33" s="258"/>
      <c r="Q33" s="258"/>
      <c r="R33" s="258"/>
      <c r="S33" s="258"/>
      <c r="T33" s="258"/>
      <c r="U33" s="258"/>
      <c r="V33" s="343"/>
      <c r="W33" s="258"/>
      <c r="X33" s="258"/>
      <c r="Y33" s="258"/>
      <c r="Z33" s="258"/>
      <c r="AA33" s="258"/>
      <c r="AB33" s="258"/>
      <c r="AC33" s="258"/>
      <c r="AD33" s="258"/>
      <c r="AE33" s="258"/>
      <c r="AF33" s="258"/>
      <c r="AG33" s="258"/>
      <c r="AH33" s="258"/>
      <c r="AI33" s="258"/>
      <c r="AJ33" s="258"/>
      <c r="AK33" s="258"/>
      <c r="AL33" s="258"/>
      <c r="AM33" s="258"/>
    </row>
    <row r="34" spans="1:74" ht="15" customHeight="1" thickBot="1" x14ac:dyDescent="0.3">
      <c r="C34" s="246"/>
      <c r="D34" s="609"/>
      <c r="E34" s="347" t="s">
        <v>145</v>
      </c>
      <c r="F34" s="348" t="s">
        <v>291</v>
      </c>
      <c r="G34" s="348" t="s">
        <v>213</v>
      </c>
      <c r="H34" s="348" t="s">
        <v>201</v>
      </c>
      <c r="I34" s="349" t="s">
        <v>244</v>
      </c>
      <c r="J34" s="258"/>
      <c r="K34" s="258"/>
      <c r="L34" s="258"/>
      <c r="M34" s="258"/>
      <c r="N34" s="258"/>
      <c r="O34" s="258"/>
      <c r="P34" s="258"/>
      <c r="Q34" s="258"/>
      <c r="R34" s="258"/>
      <c r="S34" s="258"/>
      <c r="T34" s="258"/>
      <c r="U34" s="258"/>
      <c r="V34" s="343"/>
      <c r="W34" s="258"/>
      <c r="X34" s="258"/>
      <c r="Y34" s="258"/>
      <c r="Z34" s="258"/>
      <c r="AA34" s="258"/>
      <c r="AB34" s="258"/>
      <c r="AC34" s="258"/>
      <c r="AD34" s="258"/>
      <c r="AE34" s="258"/>
      <c r="AF34" s="258"/>
      <c r="AG34" s="258"/>
      <c r="AH34" s="258"/>
      <c r="AI34" s="258"/>
      <c r="AJ34" s="258"/>
      <c r="AK34" s="258"/>
      <c r="AL34" s="258"/>
      <c r="AM34" s="258"/>
    </row>
    <row r="35" spans="1:74" ht="15" customHeight="1" x14ac:dyDescent="0.25">
      <c r="C35" s="246"/>
      <c r="D35" s="246"/>
      <c r="E35" s="31"/>
      <c r="F35" s="31"/>
      <c r="G35" s="258"/>
      <c r="H35" s="258"/>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258"/>
      <c r="AL35" s="258"/>
      <c r="AM35" s="258"/>
    </row>
    <row r="36" spans="1:74" s="325" customFormat="1" ht="14.25" customHeight="1" x14ac:dyDescent="0.2">
      <c r="C36" s="614" t="s">
        <v>243</v>
      </c>
      <c r="D36" s="614"/>
      <c r="E36" s="614"/>
      <c r="F36" s="614"/>
      <c r="G36" s="614"/>
      <c r="H36" s="614"/>
      <c r="I36" s="614"/>
      <c r="J36" s="614"/>
      <c r="K36" s="614"/>
      <c r="L36" s="614"/>
      <c r="M36" s="614"/>
      <c r="N36" s="614"/>
      <c r="O36" s="614"/>
      <c r="P36" s="614"/>
      <c r="Q36" s="614"/>
      <c r="R36" s="335"/>
      <c r="S36" s="335"/>
      <c r="T36" s="335"/>
      <c r="U36" s="335"/>
      <c r="V36" s="335"/>
      <c r="W36" s="335"/>
      <c r="X36" s="335"/>
      <c r="Y36" s="335"/>
      <c r="Z36" s="350"/>
      <c r="AA36" s="350"/>
      <c r="AB36" s="350"/>
      <c r="AC36" s="350"/>
      <c r="AD36" s="350"/>
      <c r="AE36" s="350"/>
      <c r="AF36" s="350"/>
      <c r="AG36" s="350"/>
      <c r="AH36" s="350"/>
      <c r="AI36" s="350"/>
      <c r="AJ36" s="350"/>
      <c r="AK36" s="350"/>
      <c r="AL36" s="350"/>
      <c r="AM36" s="350"/>
      <c r="AN36" s="350"/>
      <c r="AO36" s="350"/>
      <c r="AP36" s="350"/>
      <c r="AQ36" s="350"/>
      <c r="AR36" s="350"/>
    </row>
    <row r="37" spans="1:74" s="325" customFormat="1" ht="14.25" customHeight="1" thickBot="1" x14ac:dyDescent="0.25"/>
    <row r="38" spans="1:74" ht="15.75" thickBot="1" x14ac:dyDescent="0.3">
      <c r="D38" s="338" t="s">
        <v>280</v>
      </c>
    </row>
    <row r="39" spans="1:74" x14ac:dyDescent="0.25">
      <c r="D39" s="3" t="s">
        <v>290</v>
      </c>
    </row>
    <row r="40" spans="1:74" x14ac:dyDescent="0.25">
      <c r="G40" s="31">
        <v>2021</v>
      </c>
      <c r="H40" s="31">
        <v>2022</v>
      </c>
      <c r="I40" s="31">
        <v>2023</v>
      </c>
      <c r="J40" s="31">
        <v>2024</v>
      </c>
      <c r="K40" s="31">
        <v>2025</v>
      </c>
      <c r="L40" s="31">
        <v>2026</v>
      </c>
      <c r="M40" s="31">
        <v>2027</v>
      </c>
      <c r="N40" s="31">
        <v>2028</v>
      </c>
      <c r="O40" s="31">
        <v>2029</v>
      </c>
      <c r="P40" s="31">
        <v>2030</v>
      </c>
      <c r="Q40" s="31">
        <v>2031</v>
      </c>
      <c r="R40" s="31">
        <v>2032</v>
      </c>
      <c r="S40" s="31">
        <v>2033</v>
      </c>
      <c r="T40" s="31">
        <v>2034</v>
      </c>
      <c r="U40" s="31">
        <v>2035</v>
      </c>
      <c r="V40" s="31">
        <v>2036</v>
      </c>
      <c r="W40" s="31">
        <v>2037</v>
      </c>
      <c r="X40" s="31">
        <v>2038</v>
      </c>
      <c r="Y40" s="31">
        <v>2039</v>
      </c>
      <c r="Z40" s="31">
        <v>2040</v>
      </c>
      <c r="AA40" s="31">
        <v>2041</v>
      </c>
      <c r="AB40" s="31">
        <v>2042</v>
      </c>
      <c r="AC40" s="31">
        <v>2043</v>
      </c>
      <c r="AD40" s="31">
        <v>2044</v>
      </c>
      <c r="AE40" s="31">
        <v>2045</v>
      </c>
      <c r="AF40" s="31">
        <v>2046</v>
      </c>
      <c r="AG40" s="31">
        <v>2047</v>
      </c>
      <c r="AH40" s="31">
        <v>2048</v>
      </c>
      <c r="AI40" s="31">
        <v>2049</v>
      </c>
      <c r="AJ40" s="31">
        <v>2050</v>
      </c>
    </row>
    <row r="41" spans="1:74" ht="15" customHeight="1" x14ac:dyDescent="0.25">
      <c r="A41" s="325" t="str">
        <f t="shared" ref="A41:A46" si="0">$D$41&amp;"_"&amp;E41&amp;"_"&amp;F41</f>
        <v>Overnight Capital Cost ($/kW)_Residential Battery Storage - 5 kW - 12.5 kWh_Advanced</v>
      </c>
      <c r="B41" s="640" t="s">
        <v>240</v>
      </c>
      <c r="D41" s="608" t="s">
        <v>129</v>
      </c>
      <c r="E41" s="351" t="s">
        <v>289</v>
      </c>
      <c r="F41" s="352" t="s">
        <v>233</v>
      </c>
      <c r="G41" s="353">
        <v>3681.1684563500048</v>
      </c>
      <c r="H41" s="353">
        <v>3706.7094884006101</v>
      </c>
      <c r="I41" s="353">
        <v>2666.5987770065412</v>
      </c>
      <c r="J41" s="353">
        <v>2516.9097636623301</v>
      </c>
      <c r="K41" s="353">
        <v>2388.8478187401765</v>
      </c>
      <c r="L41" s="353">
        <v>2302.7774222675107</v>
      </c>
      <c r="M41" s="353">
        <v>2216.7070257948444</v>
      </c>
      <c r="N41" s="353">
        <v>2130.636629322179</v>
      </c>
      <c r="O41" s="353">
        <v>2044.5662328495121</v>
      </c>
      <c r="P41" s="353">
        <v>1958.4958363768469</v>
      </c>
      <c r="Q41" s="353">
        <v>1921.6661456389434</v>
      </c>
      <c r="R41" s="353">
        <v>1884.8364549010403</v>
      </c>
      <c r="S41" s="353">
        <v>1848.0067641631372</v>
      </c>
      <c r="T41" s="353">
        <v>1811.1770734252343</v>
      </c>
      <c r="U41" s="353">
        <v>1774.3473826873312</v>
      </c>
      <c r="V41" s="353">
        <v>1737.5176919494284</v>
      </c>
      <c r="W41" s="353">
        <v>1700.6880012115248</v>
      </c>
      <c r="X41" s="353">
        <v>1663.8583104736222</v>
      </c>
      <c r="Y41" s="353">
        <v>1627.0286197357195</v>
      </c>
      <c r="Z41" s="353">
        <v>1590.1989289978164</v>
      </c>
      <c r="AA41" s="353">
        <v>1553.3692382599133</v>
      </c>
      <c r="AB41" s="353">
        <v>1516.5395475220105</v>
      </c>
      <c r="AC41" s="353">
        <v>1479.7098567841072</v>
      </c>
      <c r="AD41" s="353">
        <v>1442.8801660462041</v>
      </c>
      <c r="AE41" s="353">
        <v>1406.0504753083017</v>
      </c>
      <c r="AF41" s="353">
        <v>1369.2207845703986</v>
      </c>
      <c r="AG41" s="353">
        <v>1332.3910938324955</v>
      </c>
      <c r="AH41" s="353">
        <v>1295.5614030945922</v>
      </c>
      <c r="AI41" s="353">
        <v>1258.7317123566893</v>
      </c>
      <c r="AJ41" s="353">
        <v>1221.902021618786</v>
      </c>
    </row>
    <row r="42" spans="1:74" x14ac:dyDescent="0.25">
      <c r="A42" s="325" t="str">
        <f t="shared" si="0"/>
        <v>Overnight Capital Cost ($/kW)_Residential Battery Storage - 5 kW - 12.5 kWh_Moderate</v>
      </c>
      <c r="B42" s="640"/>
      <c r="D42" s="609"/>
      <c r="E42" s="351" t="s">
        <v>289</v>
      </c>
      <c r="F42" s="352" t="s">
        <v>232</v>
      </c>
      <c r="G42" s="353">
        <v>3681.1684563500048</v>
      </c>
      <c r="H42" s="353">
        <v>3706.7094884006101</v>
      </c>
      <c r="I42" s="353">
        <v>3507.7772571152245</v>
      </c>
      <c r="J42" s="353">
        <v>3326.0059193038906</v>
      </c>
      <c r="K42" s="353">
        <v>3157.7515951216506</v>
      </c>
      <c r="L42" s="353">
        <v>3060.6969099114931</v>
      </c>
      <c r="M42" s="353">
        <v>2973.8278889274702</v>
      </c>
      <c r="N42" s="353">
        <v>2897.7313251059695</v>
      </c>
      <c r="O42" s="353">
        <v>2823.3128193474308</v>
      </c>
      <c r="P42" s="353">
        <v>2755.6756643399654</v>
      </c>
      <c r="Q42" s="353">
        <v>2721.2297185357152</v>
      </c>
      <c r="R42" s="353">
        <v>2686.7837727314663</v>
      </c>
      <c r="S42" s="353">
        <v>2652.3378269272166</v>
      </c>
      <c r="T42" s="353">
        <v>2617.8918811229664</v>
      </c>
      <c r="U42" s="353">
        <v>2583.4459353187171</v>
      </c>
      <c r="V42" s="353">
        <v>2548.9999895144674</v>
      </c>
      <c r="W42" s="353">
        <v>2514.5540437102181</v>
      </c>
      <c r="X42" s="353">
        <v>2480.1080979059684</v>
      </c>
      <c r="Y42" s="353">
        <v>2445.66215210172</v>
      </c>
      <c r="Z42" s="353">
        <v>2411.2162062974703</v>
      </c>
      <c r="AA42" s="353">
        <v>2376.770260493221</v>
      </c>
      <c r="AB42" s="353">
        <v>2342.3243146889713</v>
      </c>
      <c r="AC42" s="353">
        <v>2307.8783688847202</v>
      </c>
      <c r="AD42" s="353">
        <v>2273.4324230804714</v>
      </c>
      <c r="AE42" s="353">
        <v>2238.9864772762221</v>
      </c>
      <c r="AF42" s="353">
        <v>2204.5405314719728</v>
      </c>
      <c r="AG42" s="353">
        <v>2170.0945856677226</v>
      </c>
      <c r="AH42" s="353">
        <v>2135.6486398634747</v>
      </c>
      <c r="AI42" s="353">
        <v>2101.2026940592241</v>
      </c>
      <c r="AJ42" s="353">
        <v>2066.7567482549734</v>
      </c>
    </row>
    <row r="43" spans="1:74" x14ac:dyDescent="0.25">
      <c r="A43" s="325" t="str">
        <f t="shared" si="0"/>
        <v>Overnight Capital Cost ($/kW)_Residential Battery Storage - 5 kW - 12.5 kWh_Conservative</v>
      </c>
      <c r="B43" s="640"/>
      <c r="D43" s="609"/>
      <c r="E43" s="351" t="s">
        <v>289</v>
      </c>
      <c r="F43" s="352" t="s">
        <v>194</v>
      </c>
      <c r="G43" s="353">
        <v>3681.1684563500048</v>
      </c>
      <c r="H43" s="353">
        <v>3706.7094884006101</v>
      </c>
      <c r="I43" s="353">
        <v>3843.9950250080424</v>
      </c>
      <c r="J43" s="353">
        <v>3871.4521323295266</v>
      </c>
      <c r="K43" s="353">
        <v>3816.5379176865545</v>
      </c>
      <c r="L43" s="353">
        <v>3673.7609596148277</v>
      </c>
      <c r="M43" s="353">
        <v>3530.9840015431009</v>
      </c>
      <c r="N43" s="353">
        <v>3388.2070434713728</v>
      </c>
      <c r="O43" s="353">
        <v>3245.4300853996465</v>
      </c>
      <c r="P43" s="353">
        <v>3102.6531273279188</v>
      </c>
      <c r="Q43" s="353">
        <v>3093.7931918791555</v>
      </c>
      <c r="R43" s="353">
        <v>3084.9332564303918</v>
      </c>
      <c r="S43" s="353">
        <v>3076.073320981629</v>
      </c>
      <c r="T43" s="353">
        <v>3067.2133855328634</v>
      </c>
      <c r="U43" s="353">
        <v>3058.3534500841001</v>
      </c>
      <c r="V43" s="353">
        <v>3049.4935146353359</v>
      </c>
      <c r="W43" s="353">
        <v>3040.6335791865718</v>
      </c>
      <c r="X43" s="353">
        <v>3031.773643737808</v>
      </c>
      <c r="Y43" s="353">
        <v>3022.9137082890447</v>
      </c>
      <c r="Z43" s="353">
        <v>3014.053772840281</v>
      </c>
      <c r="AA43" s="353">
        <v>3005.1938373915173</v>
      </c>
      <c r="AB43" s="353">
        <v>2996.3339019427535</v>
      </c>
      <c r="AC43" s="353">
        <v>2987.4739664939912</v>
      </c>
      <c r="AD43" s="353">
        <v>2978.6140310452265</v>
      </c>
      <c r="AE43" s="353">
        <v>2969.7540955964619</v>
      </c>
      <c r="AF43" s="353">
        <v>2960.8941601476972</v>
      </c>
      <c r="AG43" s="353">
        <v>2952.0342246989358</v>
      </c>
      <c r="AH43" s="353">
        <v>2943.1742892501707</v>
      </c>
      <c r="AI43" s="353">
        <v>2934.3143538014065</v>
      </c>
      <c r="AJ43" s="353">
        <v>2925.4544183526405</v>
      </c>
    </row>
    <row r="44" spans="1:74" x14ac:dyDescent="0.25">
      <c r="A44" s="325" t="str">
        <f t="shared" si="0"/>
        <v>Overnight Capital Cost ($/kW)_Residential Battery Storage - 5 kW - 20 kWh_Advanced</v>
      </c>
      <c r="B44" s="640"/>
      <c r="D44" s="610"/>
      <c r="E44" s="351" t="s">
        <v>145</v>
      </c>
      <c r="F44" s="352" t="s">
        <v>233</v>
      </c>
      <c r="G44" s="353">
        <v>4758.084400429686</v>
      </c>
      <c r="H44" s="353">
        <v>4602.7101796421075</v>
      </c>
      <c r="I44" s="353">
        <v>3311.1797334959397</v>
      </c>
      <c r="J44" s="353">
        <v>3125.3072911974555</v>
      </c>
      <c r="K44" s="353">
        <v>2966.2896990817344</v>
      </c>
      <c r="L44" s="353">
        <v>2859.4140210038422</v>
      </c>
      <c r="M44" s="353">
        <v>2752.5383429259496</v>
      </c>
      <c r="N44" s="353">
        <v>2645.6626648480583</v>
      </c>
      <c r="O44" s="353">
        <v>2538.7869867701652</v>
      </c>
      <c r="P44" s="353">
        <v>2431.9113086922744</v>
      </c>
      <c r="Q44" s="353">
        <v>2386.1789973247696</v>
      </c>
      <c r="R44" s="353">
        <v>2340.4466859572653</v>
      </c>
      <c r="S44" s="353">
        <v>2294.714374589762</v>
      </c>
      <c r="T44" s="353">
        <v>2248.9820632222581</v>
      </c>
      <c r="U44" s="353">
        <v>2203.2497518547548</v>
      </c>
      <c r="V44" s="353">
        <v>2157.5174404872514</v>
      </c>
      <c r="W44" s="353">
        <v>2111.7851291197476</v>
      </c>
      <c r="X44" s="353">
        <v>2066.0528177522438</v>
      </c>
      <c r="Y44" s="353">
        <v>2020.3205063847404</v>
      </c>
      <c r="Z44" s="353">
        <v>1974.588195017237</v>
      </c>
      <c r="AA44" s="353">
        <v>1928.855883649733</v>
      </c>
      <c r="AB44" s="353">
        <v>1883.1235722822298</v>
      </c>
      <c r="AC44" s="353">
        <v>1837.3912609147258</v>
      </c>
      <c r="AD44" s="353">
        <v>1791.6589495472222</v>
      </c>
      <c r="AE44" s="353">
        <v>1745.9266381797192</v>
      </c>
      <c r="AF44" s="353">
        <v>1700.1943268122152</v>
      </c>
      <c r="AG44" s="353">
        <v>1654.4620154447111</v>
      </c>
      <c r="AH44" s="353">
        <v>1608.7297040772078</v>
      </c>
      <c r="AI44" s="353">
        <v>1562.9973927097042</v>
      </c>
      <c r="AJ44" s="353">
        <v>1517.2650813422001</v>
      </c>
      <c r="AP44" s="258"/>
      <c r="AQ44" s="258"/>
      <c r="AR44" s="258"/>
      <c r="AS44" s="258"/>
      <c r="AT44" s="258"/>
      <c r="AU44" s="258"/>
      <c r="AV44" s="258"/>
      <c r="AW44" s="258"/>
      <c r="AX44" s="258"/>
      <c r="AY44" s="258"/>
      <c r="AZ44" s="258"/>
      <c r="BA44" s="258"/>
      <c r="BB44" s="258"/>
      <c r="BC44" s="258"/>
      <c r="BD44" s="258"/>
      <c r="BE44" s="258"/>
      <c r="BF44" s="258"/>
      <c r="BG44" s="258"/>
      <c r="BH44" s="258"/>
      <c r="BI44" s="258"/>
      <c r="BJ44" s="258"/>
      <c r="BK44" s="258"/>
      <c r="BL44" s="258"/>
      <c r="BM44" s="258"/>
      <c r="BN44" s="258"/>
      <c r="BO44" s="258"/>
      <c r="BP44" s="258"/>
      <c r="BQ44" s="258"/>
      <c r="BR44" s="258"/>
      <c r="BS44" s="258"/>
      <c r="BT44" s="258"/>
      <c r="BU44" s="258"/>
      <c r="BV44" s="258"/>
    </row>
    <row r="45" spans="1:74" x14ac:dyDescent="0.25">
      <c r="A45" s="325" t="str">
        <f t="shared" si="0"/>
        <v>Overnight Capital Cost ($/kW)_Residential Battery Storage - 5 kW - 20 kWh_Moderate</v>
      </c>
      <c r="B45" s="640"/>
      <c r="D45" s="610"/>
      <c r="E45" s="351" t="s">
        <v>145</v>
      </c>
      <c r="F45" s="352" t="s">
        <v>232</v>
      </c>
      <c r="G45" s="353">
        <v>4758.084400429686</v>
      </c>
      <c r="H45" s="353">
        <v>4602.7101796421075</v>
      </c>
      <c r="I45" s="353">
        <v>4328.4307511951965</v>
      </c>
      <c r="J45" s="353">
        <v>4074.7533601047617</v>
      </c>
      <c r="K45" s="353">
        <v>3837.2720540324108</v>
      </c>
      <c r="L45" s="353">
        <v>3707.2377423117941</v>
      </c>
      <c r="M45" s="353">
        <v>3591.2423533157025</v>
      </c>
      <c r="N45" s="353">
        <v>3490.4582840235889</v>
      </c>
      <c r="O45" s="353">
        <v>3392.7585005580609</v>
      </c>
      <c r="P45" s="353">
        <v>3304.0941901783262</v>
      </c>
      <c r="Q45" s="353">
        <v>3262.7930128010971</v>
      </c>
      <c r="R45" s="353">
        <v>3221.4918354238694</v>
      </c>
      <c r="S45" s="353">
        <v>3180.1906580466398</v>
      </c>
      <c r="T45" s="353">
        <v>3138.8894806694107</v>
      </c>
      <c r="U45" s="353">
        <v>3097.5883032921815</v>
      </c>
      <c r="V45" s="353">
        <v>3056.287125914952</v>
      </c>
      <c r="W45" s="353">
        <v>3014.9859485377233</v>
      </c>
      <c r="X45" s="353">
        <v>2973.6847711604942</v>
      </c>
      <c r="Y45" s="353">
        <v>2932.3835937832664</v>
      </c>
      <c r="Z45" s="353">
        <v>2891.0824164060368</v>
      </c>
      <c r="AA45" s="353">
        <v>2849.7812390288077</v>
      </c>
      <c r="AB45" s="353">
        <v>2808.4800616515786</v>
      </c>
      <c r="AC45" s="353">
        <v>2767.1788842743481</v>
      </c>
      <c r="AD45" s="353">
        <v>2725.8777068971194</v>
      </c>
      <c r="AE45" s="353">
        <v>2684.5765295198908</v>
      </c>
      <c r="AF45" s="353">
        <v>2643.2753521426616</v>
      </c>
      <c r="AG45" s="353">
        <v>2601.9741747654325</v>
      </c>
      <c r="AH45" s="353">
        <v>2560.6729973882052</v>
      </c>
      <c r="AI45" s="353">
        <v>2519.3718200109752</v>
      </c>
      <c r="AJ45" s="353">
        <v>2478.0706426337447</v>
      </c>
      <c r="AP45" s="258"/>
      <c r="AQ45" s="258"/>
      <c r="AR45" s="258"/>
      <c r="AS45" s="258"/>
      <c r="AT45" s="258"/>
      <c r="AU45" s="258"/>
      <c r="AV45" s="258"/>
      <c r="AW45" s="258"/>
      <c r="AX45" s="258"/>
      <c r="AY45" s="258"/>
      <c r="AZ45" s="258"/>
      <c r="BA45" s="258"/>
      <c r="BB45" s="258"/>
      <c r="BC45" s="258"/>
      <c r="BD45" s="258"/>
      <c r="BE45" s="258"/>
      <c r="BF45" s="258"/>
      <c r="BG45" s="258"/>
      <c r="BH45" s="258"/>
      <c r="BI45" s="258"/>
      <c r="BJ45" s="258"/>
      <c r="BK45" s="258"/>
      <c r="BL45" s="258"/>
      <c r="BM45" s="258"/>
      <c r="BN45" s="258"/>
      <c r="BO45" s="258"/>
      <c r="BP45" s="258"/>
      <c r="BQ45" s="258"/>
      <c r="BR45" s="258"/>
      <c r="BS45" s="258"/>
      <c r="BT45" s="258"/>
      <c r="BU45" s="258"/>
      <c r="BV45" s="258"/>
    </row>
    <row r="46" spans="1:74" x14ac:dyDescent="0.25">
      <c r="A46" s="325" t="str">
        <f t="shared" si="0"/>
        <v>Overnight Capital Cost ($/kW)_Residential Battery Storage - 5 kW - 20 kWh_Conservative</v>
      </c>
      <c r="B46" s="640"/>
      <c r="D46" s="610"/>
      <c r="E46" s="351" t="s">
        <v>145</v>
      </c>
      <c r="F46" s="352" t="s">
        <v>194</v>
      </c>
      <c r="G46" s="353">
        <v>4758.084400429686</v>
      </c>
      <c r="H46" s="353">
        <v>4602.7101796421075</v>
      </c>
      <c r="I46" s="353">
        <v>4773.1809270362619</v>
      </c>
      <c r="J46" s="353">
        <v>4807.2750765150904</v>
      </c>
      <c r="K46" s="353">
        <v>4739.0867775574297</v>
      </c>
      <c r="L46" s="353">
        <v>4561.7972002675133</v>
      </c>
      <c r="M46" s="353">
        <v>4384.5076229775932</v>
      </c>
      <c r="N46" s="353">
        <v>4207.2180456876758</v>
      </c>
      <c r="O46" s="353">
        <v>4029.928468397758</v>
      </c>
      <c r="P46" s="353">
        <v>3852.6388911078393</v>
      </c>
      <c r="Q46" s="353">
        <v>3841.6372965106348</v>
      </c>
      <c r="R46" s="353">
        <v>3830.6357019134289</v>
      </c>
      <c r="S46" s="353">
        <v>3819.6341073162248</v>
      </c>
      <c r="T46" s="353">
        <v>3808.6325127190185</v>
      </c>
      <c r="U46" s="353">
        <v>3797.6309181218139</v>
      </c>
      <c r="V46" s="353">
        <v>3786.6293235246085</v>
      </c>
      <c r="W46" s="353">
        <v>3775.627728927403</v>
      </c>
      <c r="X46" s="353">
        <v>3764.6261343301971</v>
      </c>
      <c r="Y46" s="353">
        <v>3753.6245397329926</v>
      </c>
      <c r="Z46" s="353">
        <v>3742.6229451357881</v>
      </c>
      <c r="AA46" s="353">
        <v>3731.6213505385822</v>
      </c>
      <c r="AB46" s="353">
        <v>3720.6197559413777</v>
      </c>
      <c r="AC46" s="353">
        <v>3709.6181613441731</v>
      </c>
      <c r="AD46" s="353">
        <v>3698.6165667469677</v>
      </c>
      <c r="AE46" s="353">
        <v>3687.6149721497627</v>
      </c>
      <c r="AF46" s="353">
        <v>3676.6133775525568</v>
      </c>
      <c r="AG46" s="353">
        <v>3665.6117829553536</v>
      </c>
      <c r="AH46" s="353">
        <v>3654.6101883581478</v>
      </c>
      <c r="AI46" s="353">
        <v>3643.6085937609414</v>
      </c>
      <c r="AJ46" s="353">
        <v>3632.6069991637341</v>
      </c>
      <c r="AP46" s="258"/>
      <c r="AQ46" s="258"/>
      <c r="AR46" s="258"/>
      <c r="AS46" s="258"/>
      <c r="AT46" s="258"/>
      <c r="AU46" s="258"/>
      <c r="AV46" s="258"/>
      <c r="AW46" s="258"/>
      <c r="AX46" s="258"/>
      <c r="AY46" s="258"/>
      <c r="AZ46" s="258"/>
      <c r="BA46" s="258"/>
      <c r="BB46" s="258"/>
      <c r="BC46" s="258"/>
      <c r="BD46" s="258"/>
      <c r="BE46" s="258"/>
      <c r="BF46" s="258"/>
      <c r="BG46" s="258"/>
      <c r="BH46" s="258"/>
      <c r="BI46" s="258"/>
      <c r="BJ46" s="258"/>
      <c r="BK46" s="258"/>
      <c r="BL46" s="258"/>
      <c r="BM46" s="258"/>
      <c r="BN46" s="258"/>
      <c r="BO46" s="258"/>
      <c r="BP46" s="258"/>
      <c r="BQ46" s="258"/>
      <c r="BR46" s="258"/>
      <c r="BS46" s="258"/>
      <c r="BT46" s="258"/>
      <c r="BU46" s="258"/>
      <c r="BV46" s="258"/>
    </row>
    <row r="47" spans="1:74" x14ac:dyDescent="0.25">
      <c r="B47" s="640"/>
      <c r="D47" s="246"/>
      <c r="E47" s="354"/>
      <c r="F47" s="354"/>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P47" s="258"/>
      <c r="AQ47" s="258"/>
      <c r="AR47" s="258"/>
      <c r="AS47" s="258"/>
      <c r="AT47" s="258"/>
      <c r="AU47" s="258"/>
      <c r="AV47" s="258"/>
      <c r="AW47" s="258"/>
      <c r="AX47" s="258"/>
      <c r="AY47" s="258"/>
      <c r="AZ47" s="258"/>
      <c r="BA47" s="258"/>
      <c r="BB47" s="258"/>
      <c r="BC47" s="258"/>
      <c r="BD47" s="258"/>
      <c r="BE47" s="258"/>
      <c r="BF47" s="258"/>
      <c r="BG47" s="258"/>
      <c r="BH47" s="258"/>
      <c r="BI47" s="258"/>
      <c r="BJ47" s="258"/>
      <c r="BK47" s="258"/>
      <c r="BL47" s="258"/>
      <c r="BM47" s="258"/>
      <c r="BN47" s="258"/>
      <c r="BO47" s="258"/>
      <c r="BP47" s="258"/>
      <c r="BQ47" s="258"/>
      <c r="BR47" s="258"/>
      <c r="BS47" s="258"/>
      <c r="BT47" s="258"/>
      <c r="BU47" s="258"/>
      <c r="BV47" s="258"/>
    </row>
    <row r="48" spans="1:74" x14ac:dyDescent="0.25">
      <c r="B48" s="640"/>
      <c r="D48" s="246"/>
      <c r="E48" s="354"/>
      <c r="F48" s="354"/>
      <c r="G48" s="31">
        <v>2021</v>
      </c>
      <c r="H48" s="31">
        <v>2022</v>
      </c>
      <c r="I48" s="31">
        <v>2023</v>
      </c>
      <c r="J48" s="31">
        <v>2024</v>
      </c>
      <c r="K48" s="31">
        <v>2025</v>
      </c>
      <c r="L48" s="31">
        <v>2026</v>
      </c>
      <c r="M48" s="31">
        <v>2027</v>
      </c>
      <c r="N48" s="31">
        <v>2028</v>
      </c>
      <c r="O48" s="31">
        <v>2029</v>
      </c>
      <c r="P48" s="31">
        <v>2030</v>
      </c>
      <c r="Q48" s="31">
        <v>2031</v>
      </c>
      <c r="R48" s="31">
        <v>2032</v>
      </c>
      <c r="S48" s="31">
        <v>2033</v>
      </c>
      <c r="T48" s="31">
        <v>2034</v>
      </c>
      <c r="U48" s="31">
        <v>2035</v>
      </c>
      <c r="V48" s="31">
        <v>2036</v>
      </c>
      <c r="W48" s="31">
        <v>2037</v>
      </c>
      <c r="X48" s="31">
        <v>2038</v>
      </c>
      <c r="Y48" s="31">
        <v>2039</v>
      </c>
      <c r="Z48" s="31">
        <v>2040</v>
      </c>
      <c r="AA48" s="31">
        <v>2041</v>
      </c>
      <c r="AB48" s="31">
        <v>2042</v>
      </c>
      <c r="AC48" s="31">
        <v>2043</v>
      </c>
      <c r="AD48" s="31">
        <v>2044</v>
      </c>
      <c r="AE48" s="31">
        <v>2045</v>
      </c>
      <c r="AF48" s="31">
        <v>2046</v>
      </c>
      <c r="AG48" s="31">
        <v>2047</v>
      </c>
      <c r="AH48" s="31">
        <v>2048</v>
      </c>
      <c r="AI48" s="31">
        <v>2049</v>
      </c>
      <c r="AJ48" s="31">
        <v>2050</v>
      </c>
      <c r="AP48" s="258"/>
      <c r="AQ48" s="258"/>
      <c r="AR48" s="258"/>
      <c r="AS48" s="258"/>
      <c r="AT48" s="258"/>
      <c r="AU48" s="258"/>
      <c r="AV48" s="258"/>
      <c r="AW48" s="258"/>
      <c r="AX48" s="258"/>
      <c r="AY48" s="258"/>
      <c r="AZ48" s="258"/>
      <c r="BA48" s="258"/>
      <c r="BB48" s="258"/>
      <c r="BC48" s="258"/>
      <c r="BD48" s="258"/>
      <c r="BE48" s="258"/>
      <c r="BF48" s="258"/>
      <c r="BG48" s="258"/>
      <c r="BH48" s="258"/>
      <c r="BI48" s="258"/>
      <c r="BJ48" s="258"/>
      <c r="BK48" s="258"/>
      <c r="BL48" s="258"/>
      <c r="BM48" s="258"/>
      <c r="BN48" s="258"/>
      <c r="BO48" s="258"/>
      <c r="BP48" s="258"/>
      <c r="BQ48" s="258"/>
      <c r="BR48" s="258"/>
      <c r="BS48" s="258"/>
      <c r="BT48" s="258"/>
      <c r="BU48" s="258"/>
      <c r="BV48" s="258"/>
    </row>
    <row r="49" spans="1:74" x14ac:dyDescent="0.25">
      <c r="B49" s="640"/>
      <c r="D49" s="608" t="s">
        <v>278</v>
      </c>
      <c r="E49" s="351" t="s">
        <v>289</v>
      </c>
      <c r="F49" s="352" t="s">
        <v>233</v>
      </c>
      <c r="G49" s="353">
        <v>18405.842281750025</v>
      </c>
      <c r="H49" s="353">
        <v>18533.547442003051</v>
      </c>
      <c r="I49" s="353">
        <v>13332.993885032705</v>
      </c>
      <c r="J49" s="353">
        <v>12584.54881831165</v>
      </c>
      <c r="K49" s="353">
        <v>11944.239093700882</v>
      </c>
      <c r="L49" s="353">
        <v>11513.887111337554</v>
      </c>
      <c r="M49" s="353">
        <v>11083.535128974221</v>
      </c>
      <c r="N49" s="353">
        <v>10653.183146610896</v>
      </c>
      <c r="O49" s="353">
        <v>10222.83116424756</v>
      </c>
      <c r="P49" s="353">
        <v>9792.479181884235</v>
      </c>
      <c r="Q49" s="353">
        <v>9608.3307281947164</v>
      </c>
      <c r="R49" s="353">
        <v>9424.1822745052013</v>
      </c>
      <c r="S49" s="353">
        <v>9240.0338208156863</v>
      </c>
      <c r="T49" s="353">
        <v>9055.8853671261713</v>
      </c>
      <c r="U49" s="353">
        <v>8871.7369134366563</v>
      </c>
      <c r="V49" s="353">
        <v>8687.5884597471413</v>
      </c>
      <c r="W49" s="353">
        <v>8503.4400060576245</v>
      </c>
      <c r="X49" s="353">
        <v>8319.2915523681113</v>
      </c>
      <c r="Y49" s="353">
        <v>8135.1430986785972</v>
      </c>
      <c r="Z49" s="353">
        <v>7950.9946449890822</v>
      </c>
      <c r="AA49" s="353">
        <v>7766.8461912995672</v>
      </c>
      <c r="AB49" s="353">
        <v>7582.6977376100522</v>
      </c>
      <c r="AC49" s="353">
        <v>7398.5492839205363</v>
      </c>
      <c r="AD49" s="353">
        <v>7214.4008302310203</v>
      </c>
      <c r="AE49" s="353">
        <v>7030.2523765415081</v>
      </c>
      <c r="AF49" s="353">
        <v>6846.103922851993</v>
      </c>
      <c r="AG49" s="353">
        <v>6661.9554691624771</v>
      </c>
      <c r="AH49" s="353">
        <v>6477.8070154729603</v>
      </c>
      <c r="AI49" s="353">
        <v>6293.6585617834462</v>
      </c>
      <c r="AJ49" s="353">
        <v>6109.5101080939303</v>
      </c>
      <c r="AP49" s="258"/>
      <c r="AQ49" s="258"/>
      <c r="AR49" s="258"/>
      <c r="AS49" s="258"/>
      <c r="AT49" s="258"/>
      <c r="AU49" s="258"/>
      <c r="AV49" s="258"/>
      <c r="AW49" s="258"/>
      <c r="AX49" s="258"/>
      <c r="AY49" s="258"/>
      <c r="AZ49" s="258"/>
      <c r="BA49" s="258"/>
      <c r="BB49" s="258"/>
      <c r="BC49" s="258"/>
      <c r="BD49" s="258"/>
      <c r="BE49" s="258"/>
      <c r="BF49" s="258"/>
      <c r="BG49" s="258"/>
      <c r="BH49" s="258"/>
      <c r="BI49" s="258"/>
      <c r="BJ49" s="258"/>
      <c r="BK49" s="258"/>
      <c r="BL49" s="258"/>
      <c r="BM49" s="258"/>
      <c r="BN49" s="258"/>
      <c r="BO49" s="258"/>
      <c r="BP49" s="258"/>
      <c r="BQ49" s="258"/>
      <c r="BR49" s="258"/>
      <c r="BS49" s="258"/>
      <c r="BT49" s="258"/>
      <c r="BU49" s="258"/>
      <c r="BV49" s="258"/>
    </row>
    <row r="50" spans="1:74" x14ac:dyDescent="0.25">
      <c r="B50" s="640"/>
      <c r="D50" s="609"/>
      <c r="E50" s="351" t="s">
        <v>289</v>
      </c>
      <c r="F50" s="352" t="s">
        <v>232</v>
      </c>
      <c r="G50" s="353">
        <v>18405.842281750025</v>
      </c>
      <c r="H50" s="353">
        <v>18533.547442003051</v>
      </c>
      <c r="I50" s="353">
        <v>17538.886285576122</v>
      </c>
      <c r="J50" s="353">
        <v>16630.029596519453</v>
      </c>
      <c r="K50" s="353">
        <v>15788.757975608252</v>
      </c>
      <c r="L50" s="353">
        <v>15303.484549557466</v>
      </c>
      <c r="M50" s="353">
        <v>14869.139444637351</v>
      </c>
      <c r="N50" s="353">
        <v>14488.656625529848</v>
      </c>
      <c r="O50" s="353">
        <v>14116.564096737155</v>
      </c>
      <c r="P50" s="353">
        <v>13778.378321699827</v>
      </c>
      <c r="Q50" s="353">
        <v>13606.148592678575</v>
      </c>
      <c r="R50" s="353">
        <v>13433.918863657333</v>
      </c>
      <c r="S50" s="353">
        <v>13261.689134636083</v>
      </c>
      <c r="T50" s="353">
        <v>13089.459405614833</v>
      </c>
      <c r="U50" s="353">
        <v>12917.229676593586</v>
      </c>
      <c r="V50" s="353">
        <v>12744.999947572338</v>
      </c>
      <c r="W50" s="353">
        <v>12572.770218551092</v>
      </c>
      <c r="X50" s="353">
        <v>12400.540489529842</v>
      </c>
      <c r="Y50" s="353">
        <v>12228.310760508601</v>
      </c>
      <c r="Z50" s="353">
        <v>12056.081031487352</v>
      </c>
      <c r="AA50" s="353">
        <v>11883.851302466104</v>
      </c>
      <c r="AB50" s="353">
        <v>11711.621573444856</v>
      </c>
      <c r="AC50" s="353">
        <v>11539.391844423601</v>
      </c>
      <c r="AD50" s="353">
        <v>11367.162115402356</v>
      </c>
      <c r="AE50" s="353">
        <v>11194.93238638111</v>
      </c>
      <c r="AF50" s="353">
        <v>11022.702657359863</v>
      </c>
      <c r="AG50" s="353">
        <v>10850.472928338613</v>
      </c>
      <c r="AH50" s="353">
        <v>10678.243199317374</v>
      </c>
      <c r="AI50" s="353">
        <v>10506.01347029612</v>
      </c>
      <c r="AJ50" s="353">
        <v>10333.783741274867</v>
      </c>
      <c r="AP50" s="258"/>
      <c r="AQ50" s="258"/>
      <c r="AR50" s="258"/>
      <c r="AS50" s="258"/>
      <c r="AT50" s="258"/>
      <c r="AU50" s="258"/>
      <c r="AV50" s="258"/>
      <c r="AW50" s="258"/>
      <c r="AX50" s="258"/>
      <c r="AY50" s="258"/>
      <c r="AZ50" s="258"/>
      <c r="BA50" s="258"/>
      <c r="BB50" s="258"/>
      <c r="BC50" s="258"/>
      <c r="BD50" s="258"/>
      <c r="BE50" s="258"/>
      <c r="BF50" s="258"/>
      <c r="BG50" s="258"/>
      <c r="BH50" s="258"/>
      <c r="BI50" s="258"/>
      <c r="BJ50" s="258"/>
      <c r="BK50" s="258"/>
      <c r="BL50" s="258"/>
      <c r="BM50" s="258"/>
      <c r="BN50" s="258"/>
      <c r="BO50" s="258"/>
      <c r="BP50" s="258"/>
      <c r="BQ50" s="258"/>
      <c r="BR50" s="258"/>
      <c r="BS50" s="258"/>
      <c r="BT50" s="258"/>
      <c r="BU50" s="258"/>
      <c r="BV50" s="258"/>
    </row>
    <row r="51" spans="1:74" x14ac:dyDescent="0.25">
      <c r="B51" s="640"/>
      <c r="D51" s="609"/>
      <c r="E51" s="351" t="s">
        <v>289</v>
      </c>
      <c r="F51" s="352" t="s">
        <v>194</v>
      </c>
      <c r="G51" s="353">
        <v>18405.842281750025</v>
      </c>
      <c r="H51" s="353">
        <v>18533.547442003051</v>
      </c>
      <c r="I51" s="353">
        <v>19219.975125040211</v>
      </c>
      <c r="J51" s="353">
        <v>19357.260661647633</v>
      </c>
      <c r="K51" s="353">
        <v>19082.689588432771</v>
      </c>
      <c r="L51" s="353">
        <v>18368.804798074139</v>
      </c>
      <c r="M51" s="353">
        <v>17654.920007715504</v>
      </c>
      <c r="N51" s="353">
        <v>16941.035217356864</v>
      </c>
      <c r="O51" s="353">
        <v>16227.150426998232</v>
      </c>
      <c r="P51" s="353">
        <v>15513.265636639595</v>
      </c>
      <c r="Q51" s="353">
        <v>15468.965959395779</v>
      </c>
      <c r="R51" s="353">
        <v>15424.666282151959</v>
      </c>
      <c r="S51" s="353">
        <v>15380.366604908144</v>
      </c>
      <c r="T51" s="353">
        <v>15336.066927664317</v>
      </c>
      <c r="U51" s="353">
        <v>15291.7672504205</v>
      </c>
      <c r="V51" s="353">
        <v>15247.46757317668</v>
      </c>
      <c r="W51" s="353">
        <v>15203.167895932858</v>
      </c>
      <c r="X51" s="353">
        <v>15158.86821868904</v>
      </c>
      <c r="Y51" s="353">
        <v>15114.568541445224</v>
      </c>
      <c r="Z51" s="353">
        <v>15070.268864201405</v>
      </c>
      <c r="AA51" s="353">
        <v>15025.969186957585</v>
      </c>
      <c r="AB51" s="353">
        <v>14981.669509713767</v>
      </c>
      <c r="AC51" s="353">
        <v>14937.369832469956</v>
      </c>
      <c r="AD51" s="353">
        <v>14893.070155226133</v>
      </c>
      <c r="AE51" s="353">
        <v>14848.770477982309</v>
      </c>
      <c r="AF51" s="353">
        <v>14804.470800738485</v>
      </c>
      <c r="AG51" s="353">
        <v>14760.171123494678</v>
      </c>
      <c r="AH51" s="353">
        <v>14715.871446250852</v>
      </c>
      <c r="AI51" s="353">
        <v>14671.571769007032</v>
      </c>
      <c r="AJ51" s="353">
        <v>14627.272091763203</v>
      </c>
      <c r="AP51" s="258"/>
      <c r="AQ51" s="258"/>
      <c r="AR51" s="258"/>
      <c r="AS51" s="258"/>
      <c r="AT51" s="258"/>
      <c r="AU51" s="258"/>
      <c r="AV51" s="258"/>
      <c r="AW51" s="258"/>
      <c r="AX51" s="258"/>
      <c r="AY51" s="258"/>
      <c r="AZ51" s="258"/>
      <c r="BA51" s="258"/>
      <c r="BB51" s="258"/>
      <c r="BC51" s="258"/>
      <c r="BD51" s="258"/>
      <c r="BE51" s="258"/>
      <c r="BF51" s="258"/>
      <c r="BG51" s="258"/>
      <c r="BH51" s="258"/>
      <c r="BI51" s="258"/>
      <c r="BJ51" s="258"/>
      <c r="BK51" s="258"/>
      <c r="BL51" s="258"/>
      <c r="BM51" s="258"/>
      <c r="BN51" s="258"/>
      <c r="BO51" s="258"/>
      <c r="BP51" s="258"/>
      <c r="BQ51" s="258"/>
      <c r="BR51" s="258"/>
      <c r="BS51" s="258"/>
      <c r="BT51" s="258"/>
      <c r="BU51" s="258"/>
      <c r="BV51" s="258"/>
    </row>
    <row r="52" spans="1:74" x14ac:dyDescent="0.25">
      <c r="B52" s="640"/>
      <c r="D52" s="610"/>
      <c r="E52" s="351" t="s">
        <v>145</v>
      </c>
      <c r="F52" s="352" t="s">
        <v>233</v>
      </c>
      <c r="G52" s="353">
        <v>23790.422002148429</v>
      </c>
      <c r="H52" s="353">
        <v>23013.550898210538</v>
      </c>
      <c r="I52" s="353">
        <v>16555.898667479698</v>
      </c>
      <c r="J52" s="353">
        <v>15626.536455987278</v>
      </c>
      <c r="K52" s="353">
        <v>14831.448495408671</v>
      </c>
      <c r="L52" s="353">
        <v>14297.070105019211</v>
      </c>
      <c r="M52" s="353">
        <v>13762.691714629747</v>
      </c>
      <c r="N52" s="353">
        <v>13228.313324240291</v>
      </c>
      <c r="O52" s="353">
        <v>12693.934933850825</v>
      </c>
      <c r="P52" s="353">
        <v>12159.556543461371</v>
      </c>
      <c r="Q52" s="353">
        <v>11930.894986623847</v>
      </c>
      <c r="R52" s="353">
        <v>11702.233429786327</v>
      </c>
      <c r="S52" s="353">
        <v>11473.571872948811</v>
      </c>
      <c r="T52" s="353">
        <v>11244.910316111291</v>
      </c>
      <c r="U52" s="353">
        <v>11016.248759273774</v>
      </c>
      <c r="V52" s="353">
        <v>10787.587202436258</v>
      </c>
      <c r="W52" s="353">
        <v>10558.925645598738</v>
      </c>
      <c r="X52" s="353">
        <v>10330.264088761218</v>
      </c>
      <c r="Y52" s="353">
        <v>10101.602531923701</v>
      </c>
      <c r="Z52" s="353">
        <v>9872.9409750861851</v>
      </c>
      <c r="AA52" s="353">
        <v>9644.279418248665</v>
      </c>
      <c r="AB52" s="353">
        <v>9415.6178614111486</v>
      </c>
      <c r="AC52" s="353">
        <v>9186.9563045736286</v>
      </c>
      <c r="AD52" s="353">
        <v>8958.2947477361104</v>
      </c>
      <c r="AE52" s="353">
        <v>8729.6331908985958</v>
      </c>
      <c r="AF52" s="353">
        <v>8500.9716340610757</v>
      </c>
      <c r="AG52" s="353">
        <v>8272.3100772235557</v>
      </c>
      <c r="AH52" s="353">
        <v>8043.6485203860384</v>
      </c>
      <c r="AI52" s="353">
        <v>7814.9869635485211</v>
      </c>
      <c r="AJ52" s="353">
        <v>7586.3254067110011</v>
      </c>
      <c r="AP52" s="258"/>
      <c r="AQ52" s="258"/>
      <c r="AR52" s="258"/>
      <c r="AS52" s="258"/>
      <c r="AT52" s="258"/>
      <c r="AU52" s="258"/>
      <c r="AV52" s="258"/>
      <c r="AW52" s="258"/>
      <c r="AX52" s="258"/>
      <c r="AY52" s="258"/>
      <c r="AZ52" s="258"/>
      <c r="BA52" s="258"/>
      <c r="BB52" s="258"/>
      <c r="BC52" s="258"/>
      <c r="BD52" s="258"/>
      <c r="BE52" s="258"/>
      <c r="BF52" s="258"/>
      <c r="BG52" s="258"/>
      <c r="BH52" s="258"/>
      <c r="BI52" s="258"/>
      <c r="BJ52" s="258"/>
      <c r="BK52" s="258"/>
      <c r="BL52" s="258"/>
      <c r="BM52" s="258"/>
      <c r="BN52" s="258"/>
      <c r="BO52" s="258"/>
      <c r="BP52" s="258"/>
      <c r="BQ52" s="258"/>
      <c r="BR52" s="258"/>
      <c r="BS52" s="258"/>
      <c r="BT52" s="258"/>
      <c r="BU52" s="258"/>
      <c r="BV52" s="258"/>
    </row>
    <row r="53" spans="1:74" x14ac:dyDescent="0.25">
      <c r="B53" s="640"/>
      <c r="D53" s="610"/>
      <c r="E53" s="351" t="s">
        <v>145</v>
      </c>
      <c r="F53" s="352" t="s">
        <v>232</v>
      </c>
      <c r="G53" s="353">
        <v>23790.422002148429</v>
      </c>
      <c r="H53" s="353">
        <v>23013.550898210538</v>
      </c>
      <c r="I53" s="353">
        <v>21642.153755975982</v>
      </c>
      <c r="J53" s="353">
        <v>20373.766800523808</v>
      </c>
      <c r="K53" s="353">
        <v>19186.360270162055</v>
      </c>
      <c r="L53" s="353">
        <v>18536.188711558971</v>
      </c>
      <c r="M53" s="353">
        <v>17956.211766578512</v>
      </c>
      <c r="N53" s="353">
        <v>17452.291420117945</v>
      </c>
      <c r="O53" s="353">
        <v>16963.792502790304</v>
      </c>
      <c r="P53" s="353">
        <v>16520.470950891631</v>
      </c>
      <c r="Q53" s="353">
        <v>16313.965064005486</v>
      </c>
      <c r="R53" s="353">
        <v>16107.459177119346</v>
      </c>
      <c r="S53" s="353">
        <v>15900.953290233199</v>
      </c>
      <c r="T53" s="353">
        <v>15694.447403347052</v>
      </c>
      <c r="U53" s="353">
        <v>15487.941516460907</v>
      </c>
      <c r="V53" s="353">
        <v>15281.43562957476</v>
      </c>
      <c r="W53" s="353">
        <v>15074.929742688617</v>
      </c>
      <c r="X53" s="353">
        <v>14868.42385580247</v>
      </c>
      <c r="Y53" s="353">
        <v>14661.917968916332</v>
      </c>
      <c r="Z53" s="353">
        <v>14455.412082030183</v>
      </c>
      <c r="AA53" s="353">
        <v>14248.906195144038</v>
      </c>
      <c r="AB53" s="353">
        <v>14042.400308257893</v>
      </c>
      <c r="AC53" s="353">
        <v>13835.89442137174</v>
      </c>
      <c r="AD53" s="353">
        <v>13629.388534485597</v>
      </c>
      <c r="AE53" s="353">
        <v>13422.882647599454</v>
      </c>
      <c r="AF53" s="353">
        <v>13216.376760713309</v>
      </c>
      <c r="AG53" s="353">
        <v>13009.870873827163</v>
      </c>
      <c r="AH53" s="353">
        <v>12803.364986941026</v>
      </c>
      <c r="AI53" s="353">
        <v>12596.859100054875</v>
      </c>
      <c r="AJ53" s="353">
        <v>12390.353213168723</v>
      </c>
      <c r="AP53" s="258"/>
      <c r="AQ53" s="258"/>
      <c r="AR53" s="258"/>
      <c r="AS53" s="258"/>
      <c r="AT53" s="258"/>
      <c r="AU53" s="258"/>
      <c r="AV53" s="258"/>
      <c r="AW53" s="258"/>
      <c r="AX53" s="258"/>
      <c r="AY53" s="258"/>
      <c r="AZ53" s="258"/>
      <c r="BA53" s="258"/>
      <c r="BB53" s="258"/>
      <c r="BC53" s="258"/>
      <c r="BD53" s="258"/>
      <c r="BE53" s="258"/>
      <c r="BF53" s="258"/>
      <c r="BG53" s="258"/>
      <c r="BH53" s="258"/>
      <c r="BI53" s="258"/>
      <c r="BJ53" s="258"/>
      <c r="BK53" s="258"/>
      <c r="BL53" s="258"/>
      <c r="BM53" s="258"/>
      <c r="BN53" s="258"/>
      <c r="BO53" s="258"/>
      <c r="BP53" s="258"/>
      <c r="BQ53" s="258"/>
      <c r="BR53" s="258"/>
      <c r="BS53" s="258"/>
      <c r="BT53" s="258"/>
      <c r="BU53" s="258"/>
      <c r="BV53" s="258"/>
    </row>
    <row r="54" spans="1:74" x14ac:dyDescent="0.25">
      <c r="B54" s="640"/>
      <c r="D54" s="610"/>
      <c r="E54" s="351" t="s">
        <v>145</v>
      </c>
      <c r="F54" s="352" t="s">
        <v>194</v>
      </c>
      <c r="G54" s="353">
        <v>23790.422002148429</v>
      </c>
      <c r="H54" s="353">
        <v>23013.550898210538</v>
      </c>
      <c r="I54" s="353">
        <v>23865.904635181309</v>
      </c>
      <c r="J54" s="353">
        <v>24036.37538257545</v>
      </c>
      <c r="K54" s="353">
        <v>23695.433887787149</v>
      </c>
      <c r="L54" s="353">
        <v>22808.986001337566</v>
      </c>
      <c r="M54" s="353">
        <v>21922.538114887968</v>
      </c>
      <c r="N54" s="353">
        <v>21036.090228438377</v>
      </c>
      <c r="O54" s="353">
        <v>20149.642341988791</v>
      </c>
      <c r="P54" s="353">
        <v>19263.194455539196</v>
      </c>
      <c r="Q54" s="353">
        <v>19208.186482553174</v>
      </c>
      <c r="R54" s="353">
        <v>19153.178509567144</v>
      </c>
      <c r="S54" s="353">
        <v>19098.170536581125</v>
      </c>
      <c r="T54" s="353">
        <v>19043.162563595091</v>
      </c>
      <c r="U54" s="353">
        <v>18988.154590609069</v>
      </c>
      <c r="V54" s="353">
        <v>18933.146617623042</v>
      </c>
      <c r="W54" s="353">
        <v>18878.138644637016</v>
      </c>
      <c r="X54" s="353">
        <v>18823.130671650986</v>
      </c>
      <c r="Y54" s="353">
        <v>18768.122698664964</v>
      </c>
      <c r="Z54" s="353">
        <v>18713.114725678941</v>
      </c>
      <c r="AA54" s="353">
        <v>18658.106752692911</v>
      </c>
      <c r="AB54" s="353">
        <v>18603.098779706888</v>
      </c>
      <c r="AC54" s="353">
        <v>18548.090806720866</v>
      </c>
      <c r="AD54" s="353">
        <v>18493.082833734839</v>
      </c>
      <c r="AE54" s="353">
        <v>18438.074860748813</v>
      </c>
      <c r="AF54" s="353">
        <v>18383.066887762783</v>
      </c>
      <c r="AG54" s="353">
        <v>18328.058914776768</v>
      </c>
      <c r="AH54" s="353">
        <v>18273.050941790738</v>
      </c>
      <c r="AI54" s="353">
        <v>18218.042968804708</v>
      </c>
      <c r="AJ54" s="353">
        <v>18163.034995818671</v>
      </c>
      <c r="AP54" s="258"/>
      <c r="AQ54" s="258"/>
      <c r="AR54" s="258"/>
      <c r="AS54" s="258"/>
      <c r="AT54" s="258"/>
      <c r="AU54" s="258"/>
      <c r="AV54" s="258"/>
      <c r="AW54" s="258"/>
      <c r="AX54" s="258"/>
      <c r="AY54" s="258"/>
      <c r="AZ54" s="258"/>
      <c r="BA54" s="258"/>
      <c r="BB54" s="258"/>
      <c r="BC54" s="258"/>
      <c r="BD54" s="258"/>
      <c r="BE54" s="258"/>
      <c r="BF54" s="258"/>
      <c r="BG54" s="258"/>
      <c r="BH54" s="258"/>
      <c r="BI54" s="258"/>
      <c r="BJ54" s="258"/>
      <c r="BK54" s="258"/>
      <c r="BL54" s="258"/>
      <c r="BM54" s="258"/>
      <c r="BN54" s="258"/>
      <c r="BO54" s="258"/>
      <c r="BP54" s="258"/>
      <c r="BQ54" s="258"/>
      <c r="BR54" s="258"/>
      <c r="BS54" s="258"/>
      <c r="BT54" s="258"/>
      <c r="BU54" s="258"/>
      <c r="BV54" s="258"/>
    </row>
    <row r="55" spans="1:74" x14ac:dyDescent="0.25">
      <c r="B55" s="640"/>
      <c r="D55" s="246"/>
      <c r="E55" s="354"/>
      <c r="F55" s="354"/>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58"/>
      <c r="AE55" s="258"/>
      <c r="AF55" s="258"/>
      <c r="AG55" s="258"/>
      <c r="AH55" s="258"/>
      <c r="AI55" s="258"/>
      <c r="AJ55" s="258"/>
      <c r="AP55" s="258"/>
      <c r="AQ55" s="258"/>
      <c r="AR55" s="258"/>
      <c r="AS55" s="258"/>
      <c r="AT55" s="258"/>
      <c r="AU55" s="258"/>
      <c r="AV55" s="258"/>
      <c r="AW55" s="258"/>
      <c r="AX55" s="258"/>
      <c r="AY55" s="258"/>
      <c r="AZ55" s="258"/>
      <c r="BA55" s="258"/>
      <c r="BB55" s="258"/>
      <c r="BC55" s="258"/>
      <c r="BD55" s="258"/>
      <c r="BE55" s="258"/>
      <c r="BF55" s="258"/>
      <c r="BG55" s="258"/>
      <c r="BH55" s="258"/>
      <c r="BI55" s="258"/>
      <c r="BJ55" s="258"/>
      <c r="BK55" s="258"/>
      <c r="BL55" s="258"/>
      <c r="BM55" s="258"/>
      <c r="BN55" s="258"/>
      <c r="BO55" s="258"/>
      <c r="BP55" s="258"/>
      <c r="BQ55" s="258"/>
      <c r="BR55" s="258"/>
      <c r="BS55" s="258"/>
      <c r="BT55" s="258"/>
      <c r="BU55" s="258"/>
      <c r="BV55" s="258"/>
    </row>
    <row r="56" spans="1:74" x14ac:dyDescent="0.25">
      <c r="B56" s="640"/>
      <c r="D56" s="355"/>
      <c r="E56" s="354"/>
      <c r="F56" s="354"/>
      <c r="G56" s="31">
        <v>2021</v>
      </c>
      <c r="H56" s="31">
        <v>2022</v>
      </c>
      <c r="I56" s="31">
        <v>2023</v>
      </c>
      <c r="J56" s="31">
        <v>2024</v>
      </c>
      <c r="K56" s="31">
        <v>2025</v>
      </c>
      <c r="L56" s="31">
        <v>2026</v>
      </c>
      <c r="M56" s="31">
        <v>2027</v>
      </c>
      <c r="N56" s="31">
        <v>2028</v>
      </c>
      <c r="O56" s="31">
        <v>2029</v>
      </c>
      <c r="P56" s="31">
        <v>2030</v>
      </c>
      <c r="Q56" s="31">
        <v>2031</v>
      </c>
      <c r="R56" s="31">
        <v>2032</v>
      </c>
      <c r="S56" s="31">
        <v>2033</v>
      </c>
      <c r="T56" s="31">
        <v>2034</v>
      </c>
      <c r="U56" s="31">
        <v>2035</v>
      </c>
      <c r="V56" s="31">
        <v>2036</v>
      </c>
      <c r="W56" s="31">
        <v>2037</v>
      </c>
      <c r="X56" s="31">
        <v>2038</v>
      </c>
      <c r="Y56" s="31">
        <v>2039</v>
      </c>
      <c r="Z56" s="31">
        <v>2040</v>
      </c>
      <c r="AA56" s="31">
        <v>2041</v>
      </c>
      <c r="AB56" s="31">
        <v>2042</v>
      </c>
      <c r="AC56" s="31">
        <v>2043</v>
      </c>
      <c r="AD56" s="31">
        <v>2044</v>
      </c>
      <c r="AE56" s="31">
        <v>2045</v>
      </c>
      <c r="AF56" s="31">
        <v>2046</v>
      </c>
      <c r="AG56" s="31">
        <v>2047</v>
      </c>
      <c r="AH56" s="31">
        <v>2048</v>
      </c>
      <c r="AI56" s="31">
        <v>2049</v>
      </c>
      <c r="AJ56" s="31">
        <v>2050</v>
      </c>
    </row>
    <row r="57" spans="1:74" x14ac:dyDescent="0.25">
      <c r="A57" s="325" t="str">
        <f t="shared" ref="A57:A62" si="1">$D$57&amp;"_"&amp;E57&amp;"_"&amp;F57</f>
        <v>Fixed Operation and Maintenance Expenses ($/kW-yr)_Residential Battery Storage - 5 kW - 12.5 kWh_Advanced</v>
      </c>
      <c r="B57" s="640"/>
      <c r="D57" s="608" t="s">
        <v>136</v>
      </c>
      <c r="E57" s="351" t="s">
        <v>289</v>
      </c>
      <c r="F57" s="352" t="s">
        <v>233</v>
      </c>
      <c r="G57" s="353">
        <v>92.029211408750129</v>
      </c>
      <c r="H57" s="353">
        <v>92.667737210015261</v>
      </c>
      <c r="I57" s="353">
        <v>66.664969425163534</v>
      </c>
      <c r="J57" s="353">
        <v>62.922744091558258</v>
      </c>
      <c r="K57" s="353">
        <v>59.721195468504419</v>
      </c>
      <c r="L57" s="353">
        <v>57.569435556687772</v>
      </c>
      <c r="M57" s="353">
        <v>55.41767564487111</v>
      </c>
      <c r="N57" s="353">
        <v>53.265915733054477</v>
      </c>
      <c r="O57" s="353">
        <v>51.114155821237802</v>
      </c>
      <c r="P57" s="353">
        <v>48.962395909421176</v>
      </c>
      <c r="Q57" s="353">
        <v>48.041653640973585</v>
      </c>
      <c r="R57" s="353">
        <v>47.12091137252601</v>
      </c>
      <c r="S57" s="353">
        <v>46.200169104078434</v>
      </c>
      <c r="T57" s="353">
        <v>45.279426835630858</v>
      </c>
      <c r="U57" s="353">
        <v>44.358684567183282</v>
      </c>
      <c r="V57" s="353">
        <v>43.437942298735713</v>
      </c>
      <c r="W57" s="353">
        <v>42.517200030288123</v>
      </c>
      <c r="X57" s="353">
        <v>41.596457761840554</v>
      </c>
      <c r="Y57" s="353">
        <v>40.675715493392993</v>
      </c>
      <c r="Z57" s="353">
        <v>39.754973224945417</v>
      </c>
      <c r="AA57" s="353">
        <v>38.834230956497834</v>
      </c>
      <c r="AB57" s="353">
        <v>37.913488688050265</v>
      </c>
      <c r="AC57" s="353">
        <v>36.992746419602682</v>
      </c>
      <c r="AD57" s="353">
        <v>36.072004151155106</v>
      </c>
      <c r="AE57" s="353">
        <v>35.151261882707544</v>
      </c>
      <c r="AF57" s="353">
        <v>34.230519614259968</v>
      </c>
      <c r="AG57" s="353">
        <v>33.309777345812385</v>
      </c>
      <c r="AH57" s="353">
        <v>32.389035077364802</v>
      </c>
      <c r="AI57" s="353">
        <v>31.468292808917234</v>
      </c>
      <c r="AJ57" s="353">
        <v>30.547550540469651</v>
      </c>
    </row>
    <row r="58" spans="1:74" x14ac:dyDescent="0.25">
      <c r="A58" s="325" t="str">
        <f t="shared" si="1"/>
        <v>Fixed Operation and Maintenance Expenses ($/kW-yr)_Residential Battery Storage - 5 kW - 12.5 kWh_Moderate</v>
      </c>
      <c r="B58" s="640"/>
      <c r="D58" s="609"/>
      <c r="E58" s="351" t="s">
        <v>289</v>
      </c>
      <c r="F58" s="352" t="s">
        <v>232</v>
      </c>
      <c r="G58" s="353">
        <v>92.029211408750129</v>
      </c>
      <c r="H58" s="353">
        <v>92.667737210015261</v>
      </c>
      <c r="I58" s="353">
        <v>87.694431427880616</v>
      </c>
      <c r="J58" s="353">
        <v>83.150147982597275</v>
      </c>
      <c r="K58" s="353">
        <v>78.943789878041272</v>
      </c>
      <c r="L58" s="353">
        <v>76.517422747787336</v>
      </c>
      <c r="M58" s="353">
        <v>74.345697223186761</v>
      </c>
      <c r="N58" s="353">
        <v>72.443283127649238</v>
      </c>
      <c r="O58" s="353">
        <v>70.582820483685779</v>
      </c>
      <c r="P58" s="353">
        <v>68.891891608499137</v>
      </c>
      <c r="Q58" s="353">
        <v>68.030742963392882</v>
      </c>
      <c r="R58" s="353">
        <v>67.169594318286656</v>
      </c>
      <c r="S58" s="353">
        <v>66.308445673180415</v>
      </c>
      <c r="T58" s="353">
        <v>65.447297028074161</v>
      </c>
      <c r="U58" s="353">
        <v>64.586148382967934</v>
      </c>
      <c r="V58" s="353">
        <v>63.724999737861687</v>
      </c>
      <c r="W58" s="353">
        <v>62.863851092755453</v>
      </c>
      <c r="X58" s="353">
        <v>62.002702447649213</v>
      </c>
      <c r="Y58" s="353">
        <v>61.141553802543001</v>
      </c>
      <c r="Z58" s="353">
        <v>60.280405157436761</v>
      </c>
      <c r="AA58" s="353">
        <v>59.419256512330527</v>
      </c>
      <c r="AB58" s="353">
        <v>58.558107867224287</v>
      </c>
      <c r="AC58" s="353">
        <v>57.696959222118011</v>
      </c>
      <c r="AD58" s="353">
        <v>56.835810577011785</v>
      </c>
      <c r="AE58" s="353">
        <v>55.974661931905558</v>
      </c>
      <c r="AF58" s="353">
        <v>55.113513286799325</v>
      </c>
      <c r="AG58" s="353">
        <v>54.25236464169307</v>
      </c>
      <c r="AH58" s="353">
        <v>53.391215996586872</v>
      </c>
      <c r="AI58" s="353">
        <v>52.530067351480604</v>
      </c>
      <c r="AJ58" s="353">
        <v>51.668918706374342</v>
      </c>
    </row>
    <row r="59" spans="1:74" x14ac:dyDescent="0.25">
      <c r="A59" s="325" t="str">
        <f t="shared" si="1"/>
        <v>Fixed Operation and Maintenance Expenses ($/kW-yr)_Residential Battery Storage - 5 kW - 12.5 kWh_Conservative</v>
      </c>
      <c r="B59" s="640"/>
      <c r="D59" s="609"/>
      <c r="E59" s="351" t="s">
        <v>289</v>
      </c>
      <c r="F59" s="352" t="s">
        <v>194</v>
      </c>
      <c r="G59" s="353">
        <v>92.029211408750129</v>
      </c>
      <c r="H59" s="353">
        <v>92.667737210015261</v>
      </c>
      <c r="I59" s="353">
        <v>96.099875625201065</v>
      </c>
      <c r="J59" s="353">
        <v>96.786303308238175</v>
      </c>
      <c r="K59" s="353">
        <v>95.41344794216387</v>
      </c>
      <c r="L59" s="353">
        <v>91.844023990370701</v>
      </c>
      <c r="M59" s="353">
        <v>88.274600038577532</v>
      </c>
      <c r="N59" s="353">
        <v>84.70517608678432</v>
      </c>
      <c r="O59" s="353">
        <v>81.135752134991165</v>
      </c>
      <c r="P59" s="353">
        <v>77.566328183197982</v>
      </c>
      <c r="Q59" s="353">
        <v>77.3448297969789</v>
      </c>
      <c r="R59" s="353">
        <v>77.123331410759803</v>
      </c>
      <c r="S59" s="353">
        <v>76.901833024540736</v>
      </c>
      <c r="T59" s="353">
        <v>76.680334638321582</v>
      </c>
      <c r="U59" s="353">
        <v>76.4588362521025</v>
      </c>
      <c r="V59" s="353">
        <v>76.237337865883404</v>
      </c>
      <c r="W59" s="353">
        <v>76.015839479664294</v>
      </c>
      <c r="X59" s="353">
        <v>75.794341093445198</v>
      </c>
      <c r="Y59" s="353">
        <v>75.572842707226116</v>
      </c>
      <c r="Z59" s="353">
        <v>75.351344321007033</v>
      </c>
      <c r="AA59" s="353">
        <v>75.129845934787937</v>
      </c>
      <c r="AB59" s="353">
        <v>74.908347548568841</v>
      </c>
      <c r="AC59" s="353">
        <v>74.686849162349787</v>
      </c>
      <c r="AD59" s="353">
        <v>74.465350776130663</v>
      </c>
      <c r="AE59" s="353">
        <v>74.243852389911552</v>
      </c>
      <c r="AF59" s="353">
        <v>74.022354003692428</v>
      </c>
      <c r="AG59" s="353">
        <v>73.800855617473403</v>
      </c>
      <c r="AH59" s="353">
        <v>73.579357231254264</v>
      </c>
      <c r="AI59" s="353">
        <v>73.357858845035167</v>
      </c>
      <c r="AJ59" s="353">
        <v>73.136360458816014</v>
      </c>
    </row>
    <row r="60" spans="1:74" x14ac:dyDescent="0.25">
      <c r="A60" s="325" t="str">
        <f t="shared" si="1"/>
        <v>Fixed Operation and Maintenance Expenses ($/kW-yr)_Residential Battery Storage - 5 kW - 20 kWh_Advanced</v>
      </c>
      <c r="B60" s="640"/>
      <c r="D60" s="610"/>
      <c r="E60" s="351" t="s">
        <v>145</v>
      </c>
      <c r="F60" s="352" t="s">
        <v>233</v>
      </c>
      <c r="G60" s="353">
        <v>118.95211001074216</v>
      </c>
      <c r="H60" s="353">
        <v>115.0677544910527</v>
      </c>
      <c r="I60" s="353">
        <v>82.779493337398492</v>
      </c>
      <c r="J60" s="353">
        <v>78.13268227993639</v>
      </c>
      <c r="K60" s="353">
        <v>74.157242477043368</v>
      </c>
      <c r="L60" s="353">
        <v>71.485350525096052</v>
      </c>
      <c r="M60" s="353">
        <v>68.813458573148736</v>
      </c>
      <c r="N60" s="353">
        <v>66.141566621201463</v>
      </c>
      <c r="O60" s="353">
        <v>63.469674669254132</v>
      </c>
      <c r="P60" s="353">
        <v>60.797782717306859</v>
      </c>
      <c r="Q60" s="353">
        <v>59.654474933119246</v>
      </c>
      <c r="R60" s="353">
        <v>58.511167148931634</v>
      </c>
      <c r="S60" s="353">
        <v>57.367859364744049</v>
      </c>
      <c r="T60" s="353">
        <v>56.224551580556458</v>
      </c>
      <c r="U60" s="353">
        <v>55.081243796368874</v>
      </c>
      <c r="V60" s="353">
        <v>53.937936012181289</v>
      </c>
      <c r="W60" s="353">
        <v>52.794628227993691</v>
      </c>
      <c r="X60" s="353">
        <v>51.6513204438061</v>
      </c>
      <c r="Y60" s="353">
        <v>50.508012659618515</v>
      </c>
      <c r="Z60" s="353">
        <v>49.364704875430931</v>
      </c>
      <c r="AA60" s="353">
        <v>48.221397091243325</v>
      </c>
      <c r="AB60" s="353">
        <v>47.078089307055748</v>
      </c>
      <c r="AC60" s="353">
        <v>45.93478152286815</v>
      </c>
      <c r="AD60" s="353">
        <v>44.791473738680558</v>
      </c>
      <c r="AE60" s="353">
        <v>43.648165954492981</v>
      </c>
      <c r="AF60" s="353">
        <v>42.504858170305383</v>
      </c>
      <c r="AG60" s="353">
        <v>41.361550386117784</v>
      </c>
      <c r="AH60" s="353">
        <v>40.2182426019302</v>
      </c>
      <c r="AI60" s="353">
        <v>39.074934817742609</v>
      </c>
      <c r="AJ60" s="353">
        <v>37.931627033555003</v>
      </c>
    </row>
    <row r="61" spans="1:74" x14ac:dyDescent="0.25">
      <c r="A61" s="325" t="str">
        <f t="shared" si="1"/>
        <v>Fixed Operation and Maintenance Expenses ($/kW-yr)_Residential Battery Storage - 5 kW - 20 kWh_Moderate</v>
      </c>
      <c r="B61" s="640"/>
      <c r="D61" s="610"/>
      <c r="E61" s="351" t="s">
        <v>145</v>
      </c>
      <c r="F61" s="352" t="s">
        <v>232</v>
      </c>
      <c r="G61" s="353">
        <v>118.95211001074216</v>
      </c>
      <c r="H61" s="353">
        <v>115.0677544910527</v>
      </c>
      <c r="I61" s="353">
        <v>108.21076877987991</v>
      </c>
      <c r="J61" s="353">
        <v>101.86883400261905</v>
      </c>
      <c r="K61" s="353">
        <v>95.931801350810275</v>
      </c>
      <c r="L61" s="353">
        <v>92.680943557794862</v>
      </c>
      <c r="M61" s="353">
        <v>89.781058832892569</v>
      </c>
      <c r="N61" s="353">
        <v>87.261457100589723</v>
      </c>
      <c r="O61" s="353">
        <v>84.818962513951533</v>
      </c>
      <c r="P61" s="353">
        <v>82.602354754458162</v>
      </c>
      <c r="Q61" s="353">
        <v>81.569825320027434</v>
      </c>
      <c r="R61" s="353">
        <v>80.537295885596734</v>
      </c>
      <c r="S61" s="353">
        <v>79.504766451166006</v>
      </c>
      <c r="T61" s="353">
        <v>78.472237016735278</v>
      </c>
      <c r="U61" s="353">
        <v>77.43970758230455</v>
      </c>
      <c r="V61" s="353">
        <v>76.407178147873807</v>
      </c>
      <c r="W61" s="353">
        <v>75.374648713443079</v>
      </c>
      <c r="X61" s="353">
        <v>74.342119279012351</v>
      </c>
      <c r="Y61" s="353">
        <v>73.309589844581666</v>
      </c>
      <c r="Z61" s="353">
        <v>72.277060410150924</v>
      </c>
      <c r="AA61" s="353">
        <v>71.244530975720195</v>
      </c>
      <c r="AB61" s="353">
        <v>70.212001541289467</v>
      </c>
      <c r="AC61" s="353">
        <v>69.179472106858711</v>
      </c>
      <c r="AD61" s="353">
        <v>68.146942672427983</v>
      </c>
      <c r="AE61" s="353">
        <v>67.114413237997269</v>
      </c>
      <c r="AF61" s="353">
        <v>66.081883803566541</v>
      </c>
      <c r="AG61" s="353">
        <v>65.049354369135813</v>
      </c>
      <c r="AH61" s="353">
        <v>64.016824934705127</v>
      </c>
      <c r="AI61" s="353">
        <v>62.984295500274385</v>
      </c>
      <c r="AJ61" s="353">
        <v>61.951766065843621</v>
      </c>
    </row>
    <row r="62" spans="1:74" x14ac:dyDescent="0.25">
      <c r="A62" s="325" t="str">
        <f t="shared" si="1"/>
        <v>Fixed Operation and Maintenance Expenses ($/kW-yr)_Residential Battery Storage - 5 kW - 20 kWh_Conservative</v>
      </c>
      <c r="B62" s="640"/>
      <c r="D62" s="610"/>
      <c r="E62" s="351" t="s">
        <v>145</v>
      </c>
      <c r="F62" s="352" t="s">
        <v>194</v>
      </c>
      <c r="G62" s="353">
        <v>118.95211001074216</v>
      </c>
      <c r="H62" s="353">
        <v>115.0677544910527</v>
      </c>
      <c r="I62" s="353">
        <v>119.32952317590656</v>
      </c>
      <c r="J62" s="353">
        <v>120.18187691287727</v>
      </c>
      <c r="K62" s="353">
        <v>118.47716943893575</v>
      </c>
      <c r="L62" s="353">
        <v>114.04493000668784</v>
      </c>
      <c r="M62" s="353">
        <v>109.61269057443984</v>
      </c>
      <c r="N62" s="353">
        <v>105.1804511421919</v>
      </c>
      <c r="O62" s="353">
        <v>100.74821170994396</v>
      </c>
      <c r="P62" s="353">
        <v>96.315972277695991</v>
      </c>
      <c r="Q62" s="353">
        <v>96.040932412765869</v>
      </c>
      <c r="R62" s="353">
        <v>95.765892547835733</v>
      </c>
      <c r="S62" s="353">
        <v>95.490852682905626</v>
      </c>
      <c r="T62" s="353">
        <v>95.215812817975461</v>
      </c>
      <c r="U62" s="353">
        <v>94.940772953045354</v>
      </c>
      <c r="V62" s="353">
        <v>94.665733088115218</v>
      </c>
      <c r="W62" s="353">
        <v>94.390693223185082</v>
      </c>
      <c r="X62" s="353">
        <v>94.115653358254932</v>
      </c>
      <c r="Y62" s="353">
        <v>93.840613493324824</v>
      </c>
      <c r="Z62" s="353">
        <v>93.565573628394702</v>
      </c>
      <c r="AA62" s="353">
        <v>93.290533763464566</v>
      </c>
      <c r="AB62" s="353">
        <v>93.015493898534444</v>
      </c>
      <c r="AC62" s="353">
        <v>92.740454033604337</v>
      </c>
      <c r="AD62" s="353">
        <v>92.465414168674201</v>
      </c>
      <c r="AE62" s="353">
        <v>92.190374303744079</v>
      </c>
      <c r="AF62" s="353">
        <v>91.915334438813929</v>
      </c>
      <c r="AG62" s="353">
        <v>91.64029457388385</v>
      </c>
      <c r="AH62" s="353">
        <v>91.365254708953699</v>
      </c>
      <c r="AI62" s="353">
        <v>91.090214844023535</v>
      </c>
      <c r="AJ62" s="353">
        <v>90.815174979093356</v>
      </c>
    </row>
    <row r="63" spans="1:74" x14ac:dyDescent="0.25">
      <c r="B63" s="640"/>
      <c r="D63" s="355"/>
      <c r="E63" s="354"/>
      <c r="F63" s="354"/>
    </row>
    <row r="64" spans="1:74" x14ac:dyDescent="0.25">
      <c r="B64" s="640"/>
      <c r="D64" s="325"/>
      <c r="E64" s="356"/>
      <c r="F64" s="356"/>
      <c r="G64" s="31">
        <v>2021</v>
      </c>
      <c r="H64" s="31">
        <v>2022</v>
      </c>
      <c r="I64" s="31">
        <v>2023</v>
      </c>
      <c r="J64" s="31">
        <v>2024</v>
      </c>
      <c r="K64" s="31">
        <v>2025</v>
      </c>
      <c r="L64" s="31">
        <v>2026</v>
      </c>
      <c r="M64" s="31">
        <v>2027</v>
      </c>
      <c r="N64" s="31">
        <v>2028</v>
      </c>
      <c r="O64" s="31">
        <v>2029</v>
      </c>
      <c r="P64" s="31">
        <v>2030</v>
      </c>
      <c r="Q64" s="31">
        <v>2031</v>
      </c>
      <c r="R64" s="31">
        <v>2032</v>
      </c>
      <c r="S64" s="31">
        <v>2033</v>
      </c>
      <c r="T64" s="31">
        <v>2034</v>
      </c>
      <c r="U64" s="31">
        <v>2035</v>
      </c>
      <c r="V64" s="31">
        <v>2036</v>
      </c>
      <c r="W64" s="31">
        <v>2037</v>
      </c>
      <c r="X64" s="31">
        <v>2038</v>
      </c>
      <c r="Y64" s="31">
        <v>2039</v>
      </c>
      <c r="Z64" s="31">
        <v>2040</v>
      </c>
      <c r="AA64" s="31">
        <v>2041</v>
      </c>
      <c r="AB64" s="31">
        <v>2042</v>
      </c>
      <c r="AC64" s="31">
        <v>2043</v>
      </c>
      <c r="AD64" s="31">
        <v>2044</v>
      </c>
      <c r="AE64" s="31">
        <v>2045</v>
      </c>
      <c r="AF64" s="31">
        <v>2046</v>
      </c>
      <c r="AG64" s="31">
        <v>2047</v>
      </c>
      <c r="AH64" s="31">
        <v>2048</v>
      </c>
      <c r="AI64" s="31">
        <v>2049</v>
      </c>
      <c r="AJ64" s="31">
        <v>2050</v>
      </c>
    </row>
    <row r="65" spans="2:41" x14ac:dyDescent="0.25">
      <c r="B65" s="640"/>
      <c r="D65" s="608" t="s">
        <v>239</v>
      </c>
      <c r="E65" s="351" t="s">
        <v>289</v>
      </c>
      <c r="F65" s="352" t="s">
        <v>233</v>
      </c>
      <c r="G65" s="342">
        <v>0</v>
      </c>
      <c r="H65" s="342">
        <v>0</v>
      </c>
      <c r="I65" s="342">
        <v>0</v>
      </c>
      <c r="J65" s="342">
        <v>0</v>
      </c>
      <c r="K65" s="342">
        <v>0</v>
      </c>
      <c r="L65" s="342">
        <v>0</v>
      </c>
      <c r="M65" s="342">
        <v>0</v>
      </c>
      <c r="N65" s="342">
        <v>0</v>
      </c>
      <c r="O65" s="342">
        <v>0</v>
      </c>
      <c r="P65" s="342">
        <v>0</v>
      </c>
      <c r="Q65" s="342">
        <v>0</v>
      </c>
      <c r="R65" s="342">
        <v>0</v>
      </c>
      <c r="S65" s="342">
        <v>0</v>
      </c>
      <c r="T65" s="342">
        <v>0</v>
      </c>
      <c r="U65" s="342">
        <v>0</v>
      </c>
      <c r="V65" s="342">
        <v>0</v>
      </c>
      <c r="W65" s="342">
        <v>0</v>
      </c>
      <c r="X65" s="342">
        <v>0</v>
      </c>
      <c r="Y65" s="342">
        <v>0</v>
      </c>
      <c r="Z65" s="342">
        <v>0</v>
      </c>
      <c r="AA65" s="342">
        <v>0</v>
      </c>
      <c r="AB65" s="342">
        <v>0</v>
      </c>
      <c r="AC65" s="342">
        <v>0</v>
      </c>
      <c r="AD65" s="342">
        <v>0</v>
      </c>
      <c r="AE65" s="342">
        <v>0</v>
      </c>
      <c r="AF65" s="342">
        <v>0</v>
      </c>
      <c r="AG65" s="342">
        <v>0</v>
      </c>
      <c r="AH65" s="342">
        <v>0</v>
      </c>
      <c r="AI65" s="342">
        <v>0</v>
      </c>
      <c r="AJ65" s="342">
        <v>0</v>
      </c>
      <c r="AO65" s="31"/>
    </row>
    <row r="66" spans="2:41" x14ac:dyDescent="0.25">
      <c r="B66" s="640"/>
      <c r="D66" s="609"/>
      <c r="E66" s="351" t="s">
        <v>289</v>
      </c>
      <c r="F66" s="352" t="s">
        <v>232</v>
      </c>
      <c r="G66" s="342">
        <v>0</v>
      </c>
      <c r="H66" s="342">
        <v>0</v>
      </c>
      <c r="I66" s="342">
        <v>0</v>
      </c>
      <c r="J66" s="342">
        <v>0</v>
      </c>
      <c r="K66" s="342">
        <v>0</v>
      </c>
      <c r="L66" s="342">
        <v>0</v>
      </c>
      <c r="M66" s="342">
        <v>0</v>
      </c>
      <c r="N66" s="342">
        <v>0</v>
      </c>
      <c r="O66" s="342">
        <v>0</v>
      </c>
      <c r="P66" s="342">
        <v>0</v>
      </c>
      <c r="Q66" s="342">
        <v>0</v>
      </c>
      <c r="R66" s="342">
        <v>0</v>
      </c>
      <c r="S66" s="342">
        <v>0</v>
      </c>
      <c r="T66" s="342">
        <v>0</v>
      </c>
      <c r="U66" s="342">
        <v>0</v>
      </c>
      <c r="V66" s="342">
        <v>0</v>
      </c>
      <c r="W66" s="342">
        <v>0</v>
      </c>
      <c r="X66" s="342">
        <v>0</v>
      </c>
      <c r="Y66" s="342">
        <v>0</v>
      </c>
      <c r="Z66" s="342">
        <v>0</v>
      </c>
      <c r="AA66" s="342">
        <v>0</v>
      </c>
      <c r="AB66" s="342">
        <v>0</v>
      </c>
      <c r="AC66" s="342">
        <v>0</v>
      </c>
      <c r="AD66" s="342">
        <v>0</v>
      </c>
      <c r="AE66" s="342">
        <v>0</v>
      </c>
      <c r="AF66" s="342">
        <v>0</v>
      </c>
      <c r="AG66" s="342">
        <v>0</v>
      </c>
      <c r="AH66" s="342">
        <v>0</v>
      </c>
      <c r="AI66" s="342">
        <v>0</v>
      </c>
      <c r="AJ66" s="342">
        <v>0</v>
      </c>
      <c r="AO66" s="31"/>
    </row>
    <row r="67" spans="2:41" x14ac:dyDescent="0.25">
      <c r="B67" s="640"/>
      <c r="D67" s="609"/>
      <c r="E67" s="351" t="s">
        <v>289</v>
      </c>
      <c r="F67" s="352" t="s">
        <v>194</v>
      </c>
      <c r="G67" s="342">
        <v>0</v>
      </c>
      <c r="H67" s="342">
        <v>0</v>
      </c>
      <c r="I67" s="342">
        <v>0</v>
      </c>
      <c r="J67" s="342">
        <v>0</v>
      </c>
      <c r="K67" s="342">
        <v>0</v>
      </c>
      <c r="L67" s="342">
        <v>0</v>
      </c>
      <c r="M67" s="342">
        <v>0</v>
      </c>
      <c r="N67" s="342">
        <v>0</v>
      </c>
      <c r="O67" s="342">
        <v>0</v>
      </c>
      <c r="P67" s="342">
        <v>0</v>
      </c>
      <c r="Q67" s="342">
        <v>0</v>
      </c>
      <c r="R67" s="342">
        <v>0</v>
      </c>
      <c r="S67" s="342">
        <v>0</v>
      </c>
      <c r="T67" s="342">
        <v>0</v>
      </c>
      <c r="U67" s="342">
        <v>0</v>
      </c>
      <c r="V67" s="342">
        <v>0</v>
      </c>
      <c r="W67" s="342">
        <v>0</v>
      </c>
      <c r="X67" s="342">
        <v>0</v>
      </c>
      <c r="Y67" s="342">
        <v>0</v>
      </c>
      <c r="Z67" s="342">
        <v>0</v>
      </c>
      <c r="AA67" s="342">
        <v>0</v>
      </c>
      <c r="AB67" s="342">
        <v>0</v>
      </c>
      <c r="AC67" s="342">
        <v>0</v>
      </c>
      <c r="AD67" s="342">
        <v>0</v>
      </c>
      <c r="AE67" s="342">
        <v>0</v>
      </c>
      <c r="AF67" s="342">
        <v>0</v>
      </c>
      <c r="AG67" s="342">
        <v>0</v>
      </c>
      <c r="AH67" s="342">
        <v>0</v>
      </c>
      <c r="AI67" s="342">
        <v>0</v>
      </c>
      <c r="AJ67" s="342">
        <v>0</v>
      </c>
      <c r="AO67" s="31"/>
    </row>
    <row r="68" spans="2:41" x14ac:dyDescent="0.25">
      <c r="B68" s="641"/>
      <c r="D68" s="610"/>
      <c r="E68" s="351" t="s">
        <v>145</v>
      </c>
      <c r="F68" s="352" t="s">
        <v>233</v>
      </c>
      <c r="G68" s="342">
        <v>0</v>
      </c>
      <c r="H68" s="342">
        <v>0</v>
      </c>
      <c r="I68" s="342">
        <v>0</v>
      </c>
      <c r="J68" s="342">
        <v>0</v>
      </c>
      <c r="K68" s="342">
        <v>0</v>
      </c>
      <c r="L68" s="342">
        <v>0</v>
      </c>
      <c r="M68" s="342">
        <v>0</v>
      </c>
      <c r="N68" s="342">
        <v>0</v>
      </c>
      <c r="O68" s="342">
        <v>0</v>
      </c>
      <c r="P68" s="342">
        <v>0</v>
      </c>
      <c r="Q68" s="342">
        <v>0</v>
      </c>
      <c r="R68" s="342">
        <v>0</v>
      </c>
      <c r="S68" s="342">
        <v>0</v>
      </c>
      <c r="T68" s="342">
        <v>0</v>
      </c>
      <c r="U68" s="342">
        <v>0</v>
      </c>
      <c r="V68" s="342">
        <v>0</v>
      </c>
      <c r="W68" s="342">
        <v>0</v>
      </c>
      <c r="X68" s="342">
        <v>0</v>
      </c>
      <c r="Y68" s="342">
        <v>0</v>
      </c>
      <c r="Z68" s="342">
        <v>0</v>
      </c>
      <c r="AA68" s="342">
        <v>0</v>
      </c>
      <c r="AB68" s="342">
        <v>0</v>
      </c>
      <c r="AC68" s="342">
        <v>0</v>
      </c>
      <c r="AD68" s="342">
        <v>0</v>
      </c>
      <c r="AE68" s="342">
        <v>0</v>
      </c>
      <c r="AF68" s="342">
        <v>0</v>
      </c>
      <c r="AG68" s="342">
        <v>0</v>
      </c>
      <c r="AH68" s="342">
        <v>0</v>
      </c>
      <c r="AI68" s="342">
        <v>0</v>
      </c>
      <c r="AJ68" s="342">
        <v>0</v>
      </c>
    </row>
    <row r="69" spans="2:41" x14ac:dyDescent="0.25">
      <c r="B69" s="641"/>
      <c r="D69" s="610"/>
      <c r="E69" s="351" t="s">
        <v>145</v>
      </c>
      <c r="F69" s="352" t="s">
        <v>232</v>
      </c>
      <c r="G69" s="342">
        <v>0</v>
      </c>
      <c r="H69" s="342">
        <v>0</v>
      </c>
      <c r="I69" s="342">
        <v>0</v>
      </c>
      <c r="J69" s="342">
        <v>0</v>
      </c>
      <c r="K69" s="342">
        <v>0</v>
      </c>
      <c r="L69" s="342">
        <v>0</v>
      </c>
      <c r="M69" s="342">
        <v>0</v>
      </c>
      <c r="N69" s="342">
        <v>0</v>
      </c>
      <c r="O69" s="342">
        <v>0</v>
      </c>
      <c r="P69" s="342">
        <v>0</v>
      </c>
      <c r="Q69" s="342">
        <v>0</v>
      </c>
      <c r="R69" s="342">
        <v>0</v>
      </c>
      <c r="S69" s="342">
        <v>0</v>
      </c>
      <c r="T69" s="342">
        <v>0</v>
      </c>
      <c r="U69" s="342">
        <v>0</v>
      </c>
      <c r="V69" s="342">
        <v>0</v>
      </c>
      <c r="W69" s="342">
        <v>0</v>
      </c>
      <c r="X69" s="342">
        <v>0</v>
      </c>
      <c r="Y69" s="342">
        <v>0</v>
      </c>
      <c r="Z69" s="342">
        <v>0</v>
      </c>
      <c r="AA69" s="342">
        <v>0</v>
      </c>
      <c r="AB69" s="342">
        <v>0</v>
      </c>
      <c r="AC69" s="342">
        <v>0</v>
      </c>
      <c r="AD69" s="342">
        <v>0</v>
      </c>
      <c r="AE69" s="342">
        <v>0</v>
      </c>
      <c r="AF69" s="342">
        <v>0</v>
      </c>
      <c r="AG69" s="342">
        <v>0</v>
      </c>
      <c r="AH69" s="342">
        <v>0</v>
      </c>
      <c r="AI69" s="342">
        <v>0</v>
      </c>
      <c r="AJ69" s="342">
        <v>0</v>
      </c>
    </row>
    <row r="70" spans="2:41" x14ac:dyDescent="0.25">
      <c r="B70" s="641"/>
      <c r="D70" s="610"/>
      <c r="E70" s="351" t="s">
        <v>145</v>
      </c>
      <c r="F70" s="352" t="s">
        <v>194</v>
      </c>
      <c r="G70" s="342">
        <v>0</v>
      </c>
      <c r="H70" s="342">
        <v>0</v>
      </c>
      <c r="I70" s="342">
        <v>0</v>
      </c>
      <c r="J70" s="342">
        <v>0</v>
      </c>
      <c r="K70" s="342">
        <v>0</v>
      </c>
      <c r="L70" s="342">
        <v>0</v>
      </c>
      <c r="M70" s="342">
        <v>0</v>
      </c>
      <c r="N70" s="342">
        <v>0</v>
      </c>
      <c r="O70" s="342">
        <v>0</v>
      </c>
      <c r="P70" s="342">
        <v>0</v>
      </c>
      <c r="Q70" s="342">
        <v>0</v>
      </c>
      <c r="R70" s="342">
        <v>0</v>
      </c>
      <c r="S70" s="342">
        <v>0</v>
      </c>
      <c r="T70" s="342">
        <v>0</v>
      </c>
      <c r="U70" s="342">
        <v>0</v>
      </c>
      <c r="V70" s="342">
        <v>0</v>
      </c>
      <c r="W70" s="342">
        <v>0</v>
      </c>
      <c r="X70" s="342">
        <v>0</v>
      </c>
      <c r="Y70" s="342">
        <v>0</v>
      </c>
      <c r="Z70" s="342">
        <v>0</v>
      </c>
      <c r="AA70" s="342">
        <v>0</v>
      </c>
      <c r="AB70" s="342">
        <v>0</v>
      </c>
      <c r="AC70" s="342">
        <v>0</v>
      </c>
      <c r="AD70" s="342">
        <v>0</v>
      </c>
      <c r="AE70" s="342">
        <v>0</v>
      </c>
      <c r="AF70" s="342">
        <v>0</v>
      </c>
      <c r="AG70" s="342">
        <v>0</v>
      </c>
      <c r="AH70" s="342">
        <v>0</v>
      </c>
      <c r="AI70" s="342">
        <v>0</v>
      </c>
      <c r="AJ70" s="342">
        <v>0</v>
      </c>
      <c r="AK70" s="258"/>
      <c r="AL70" s="258"/>
    </row>
    <row r="71" spans="2:41" x14ac:dyDescent="0.25">
      <c r="B71" s="641"/>
    </row>
    <row r="72" spans="2:41" ht="15" customHeight="1" x14ac:dyDescent="0.25">
      <c r="B72" s="641"/>
      <c r="G72" s="31">
        <v>2021</v>
      </c>
      <c r="H72" s="31">
        <v>2022</v>
      </c>
      <c r="I72" s="31">
        <v>2023</v>
      </c>
      <c r="J72" s="31">
        <v>2024</v>
      </c>
      <c r="K72" s="31">
        <v>2025</v>
      </c>
      <c r="L72" s="31">
        <v>2026</v>
      </c>
      <c r="M72" s="31">
        <v>2027</v>
      </c>
      <c r="N72" s="31">
        <v>2028</v>
      </c>
      <c r="O72" s="31">
        <v>2029</v>
      </c>
      <c r="P72" s="31">
        <v>2030</v>
      </c>
      <c r="Q72" s="31">
        <v>2031</v>
      </c>
      <c r="R72" s="31">
        <v>2032</v>
      </c>
      <c r="S72" s="31">
        <v>2033</v>
      </c>
      <c r="T72" s="31">
        <v>2034</v>
      </c>
      <c r="U72" s="31">
        <v>2035</v>
      </c>
      <c r="V72" s="31">
        <v>2036</v>
      </c>
      <c r="W72" s="31">
        <v>2037</v>
      </c>
      <c r="X72" s="31">
        <v>2038</v>
      </c>
      <c r="Y72" s="31">
        <v>2039</v>
      </c>
      <c r="Z72" s="31">
        <v>2040</v>
      </c>
      <c r="AA72" s="31">
        <v>2041</v>
      </c>
      <c r="AB72" s="31">
        <v>2042</v>
      </c>
      <c r="AC72" s="31">
        <v>2043</v>
      </c>
      <c r="AD72" s="31">
        <v>2044</v>
      </c>
      <c r="AE72" s="31">
        <v>2045</v>
      </c>
      <c r="AF72" s="31">
        <v>2046</v>
      </c>
      <c r="AG72" s="31">
        <v>2047</v>
      </c>
      <c r="AH72" s="31">
        <v>2048</v>
      </c>
      <c r="AI72" s="31">
        <v>2049</v>
      </c>
      <c r="AJ72" s="31">
        <v>2050</v>
      </c>
    </row>
    <row r="73" spans="2:41" x14ac:dyDescent="0.25">
      <c r="B73" s="641"/>
      <c r="D73" s="608" t="s">
        <v>238</v>
      </c>
      <c r="E73" s="351" t="s">
        <v>289</v>
      </c>
      <c r="F73" s="352" t="s">
        <v>233</v>
      </c>
      <c r="G73" s="357">
        <v>0.85</v>
      </c>
      <c r="H73" s="357">
        <v>0.85</v>
      </c>
      <c r="I73" s="357">
        <v>0.85</v>
      </c>
      <c r="J73" s="357">
        <v>0.85</v>
      </c>
      <c r="K73" s="357">
        <v>0.85</v>
      </c>
      <c r="L73" s="357">
        <v>0.85</v>
      </c>
      <c r="M73" s="357">
        <v>0.85</v>
      </c>
      <c r="N73" s="357">
        <v>0.85</v>
      </c>
      <c r="O73" s="357">
        <v>0.85</v>
      </c>
      <c r="P73" s="357">
        <v>0.85</v>
      </c>
      <c r="Q73" s="357">
        <v>0.85</v>
      </c>
      <c r="R73" s="357">
        <v>0.85</v>
      </c>
      <c r="S73" s="357">
        <v>0.85</v>
      </c>
      <c r="T73" s="357">
        <v>0.85</v>
      </c>
      <c r="U73" s="357">
        <v>0.85</v>
      </c>
      <c r="V73" s="357">
        <v>0.85</v>
      </c>
      <c r="W73" s="357">
        <v>0.85</v>
      </c>
      <c r="X73" s="357">
        <v>0.85</v>
      </c>
      <c r="Y73" s="357">
        <v>0.85</v>
      </c>
      <c r="Z73" s="357">
        <v>0.85</v>
      </c>
      <c r="AA73" s="357">
        <v>0.85</v>
      </c>
      <c r="AB73" s="357">
        <v>0.85</v>
      </c>
      <c r="AC73" s="357">
        <v>0.85</v>
      </c>
      <c r="AD73" s="357">
        <v>0.85</v>
      </c>
      <c r="AE73" s="357">
        <v>0.85</v>
      </c>
      <c r="AF73" s="357">
        <v>0.85</v>
      </c>
      <c r="AG73" s="357">
        <v>0.85</v>
      </c>
      <c r="AH73" s="357">
        <v>0.85</v>
      </c>
      <c r="AI73" s="357">
        <v>0.85</v>
      </c>
      <c r="AJ73" s="357">
        <v>0.85</v>
      </c>
    </row>
    <row r="74" spans="2:41" x14ac:dyDescent="0.25">
      <c r="B74" s="641"/>
      <c r="D74" s="609"/>
      <c r="E74" s="351" t="s">
        <v>289</v>
      </c>
      <c r="F74" s="352" t="s">
        <v>232</v>
      </c>
      <c r="G74" s="357">
        <v>0.85</v>
      </c>
      <c r="H74" s="357">
        <v>0.85</v>
      </c>
      <c r="I74" s="357">
        <v>0.85</v>
      </c>
      <c r="J74" s="357">
        <v>0.85</v>
      </c>
      <c r="K74" s="357">
        <v>0.85</v>
      </c>
      <c r="L74" s="357">
        <v>0.85</v>
      </c>
      <c r="M74" s="357">
        <v>0.85</v>
      </c>
      <c r="N74" s="357">
        <v>0.85</v>
      </c>
      <c r="O74" s="357">
        <v>0.85</v>
      </c>
      <c r="P74" s="357">
        <v>0.85</v>
      </c>
      <c r="Q74" s="357">
        <v>0.85</v>
      </c>
      <c r="R74" s="357">
        <v>0.85</v>
      </c>
      <c r="S74" s="357">
        <v>0.85</v>
      </c>
      <c r="T74" s="357">
        <v>0.85</v>
      </c>
      <c r="U74" s="357">
        <v>0.85</v>
      </c>
      <c r="V74" s="357">
        <v>0.85</v>
      </c>
      <c r="W74" s="357">
        <v>0.85</v>
      </c>
      <c r="X74" s="357">
        <v>0.85</v>
      </c>
      <c r="Y74" s="357">
        <v>0.85</v>
      </c>
      <c r="Z74" s="357">
        <v>0.85</v>
      </c>
      <c r="AA74" s="357">
        <v>0.85</v>
      </c>
      <c r="AB74" s="357">
        <v>0.85</v>
      </c>
      <c r="AC74" s="357">
        <v>0.85</v>
      </c>
      <c r="AD74" s="357">
        <v>0.85</v>
      </c>
      <c r="AE74" s="357">
        <v>0.85</v>
      </c>
      <c r="AF74" s="357">
        <v>0.85</v>
      </c>
      <c r="AG74" s="357">
        <v>0.85</v>
      </c>
      <c r="AH74" s="357">
        <v>0.85</v>
      </c>
      <c r="AI74" s="357">
        <v>0.85</v>
      </c>
      <c r="AJ74" s="357">
        <v>0.85</v>
      </c>
    </row>
    <row r="75" spans="2:41" x14ac:dyDescent="0.25">
      <c r="B75" s="641"/>
      <c r="D75" s="609"/>
      <c r="E75" s="351" t="s">
        <v>289</v>
      </c>
      <c r="F75" s="352" t="s">
        <v>194</v>
      </c>
      <c r="G75" s="357">
        <v>0.85</v>
      </c>
      <c r="H75" s="357">
        <v>0.85</v>
      </c>
      <c r="I75" s="357">
        <v>0.85</v>
      </c>
      <c r="J75" s="357">
        <v>0.85</v>
      </c>
      <c r="K75" s="357">
        <v>0.85</v>
      </c>
      <c r="L75" s="357">
        <v>0.85</v>
      </c>
      <c r="M75" s="357">
        <v>0.85</v>
      </c>
      <c r="N75" s="357">
        <v>0.85</v>
      </c>
      <c r="O75" s="357">
        <v>0.85</v>
      </c>
      <c r="P75" s="357">
        <v>0.85</v>
      </c>
      <c r="Q75" s="357">
        <v>0.85</v>
      </c>
      <c r="R75" s="357">
        <v>0.85</v>
      </c>
      <c r="S75" s="357">
        <v>0.85</v>
      </c>
      <c r="T75" s="357">
        <v>0.85</v>
      </c>
      <c r="U75" s="357">
        <v>0.85</v>
      </c>
      <c r="V75" s="357">
        <v>0.85</v>
      </c>
      <c r="W75" s="357">
        <v>0.85</v>
      </c>
      <c r="X75" s="357">
        <v>0.85</v>
      </c>
      <c r="Y75" s="357">
        <v>0.85</v>
      </c>
      <c r="Z75" s="357">
        <v>0.85</v>
      </c>
      <c r="AA75" s="357">
        <v>0.85</v>
      </c>
      <c r="AB75" s="357">
        <v>0.85</v>
      </c>
      <c r="AC75" s="357">
        <v>0.85</v>
      </c>
      <c r="AD75" s="357">
        <v>0.85</v>
      </c>
      <c r="AE75" s="357">
        <v>0.85</v>
      </c>
      <c r="AF75" s="357">
        <v>0.85</v>
      </c>
      <c r="AG75" s="357">
        <v>0.85</v>
      </c>
      <c r="AH75" s="357">
        <v>0.85</v>
      </c>
      <c r="AI75" s="357">
        <v>0.85</v>
      </c>
      <c r="AJ75" s="357">
        <v>0.85</v>
      </c>
    </row>
    <row r="76" spans="2:41" x14ac:dyDescent="0.25">
      <c r="B76" s="641"/>
      <c r="D76" s="610"/>
      <c r="E76" s="351" t="s">
        <v>145</v>
      </c>
      <c r="F76" s="352" t="s">
        <v>233</v>
      </c>
      <c r="G76" s="357">
        <v>0.85</v>
      </c>
      <c r="H76" s="357">
        <v>0.85</v>
      </c>
      <c r="I76" s="357">
        <v>0.85</v>
      </c>
      <c r="J76" s="357">
        <v>0.85</v>
      </c>
      <c r="K76" s="357">
        <v>0.85</v>
      </c>
      <c r="L76" s="357">
        <v>0.85</v>
      </c>
      <c r="M76" s="357">
        <v>0.85</v>
      </c>
      <c r="N76" s="357">
        <v>0.85</v>
      </c>
      <c r="O76" s="357">
        <v>0.85</v>
      </c>
      <c r="P76" s="357">
        <v>0.85</v>
      </c>
      <c r="Q76" s="357">
        <v>0.85</v>
      </c>
      <c r="R76" s="357">
        <v>0.85</v>
      </c>
      <c r="S76" s="357">
        <v>0.85</v>
      </c>
      <c r="T76" s="357">
        <v>0.85</v>
      </c>
      <c r="U76" s="357">
        <v>0.85</v>
      </c>
      <c r="V76" s="357">
        <v>0.85</v>
      </c>
      <c r="W76" s="357">
        <v>0.85</v>
      </c>
      <c r="X76" s="357">
        <v>0.85</v>
      </c>
      <c r="Y76" s="357">
        <v>0.85</v>
      </c>
      <c r="Z76" s="357">
        <v>0.85</v>
      </c>
      <c r="AA76" s="357">
        <v>0.85</v>
      </c>
      <c r="AB76" s="357">
        <v>0.85</v>
      </c>
      <c r="AC76" s="357">
        <v>0.85</v>
      </c>
      <c r="AD76" s="357">
        <v>0.85</v>
      </c>
      <c r="AE76" s="357">
        <v>0.85</v>
      </c>
      <c r="AF76" s="357">
        <v>0.85</v>
      </c>
      <c r="AG76" s="357">
        <v>0.85</v>
      </c>
      <c r="AH76" s="357">
        <v>0.85</v>
      </c>
      <c r="AI76" s="357">
        <v>0.85</v>
      </c>
      <c r="AJ76" s="357">
        <v>0.85</v>
      </c>
    </row>
    <row r="77" spans="2:41" x14ac:dyDescent="0.25">
      <c r="B77" s="641"/>
      <c r="D77" s="610"/>
      <c r="E77" s="351" t="s">
        <v>145</v>
      </c>
      <c r="F77" s="352" t="s">
        <v>232</v>
      </c>
      <c r="G77" s="357">
        <v>0.85</v>
      </c>
      <c r="H77" s="357">
        <v>0.85</v>
      </c>
      <c r="I77" s="357">
        <v>0.85</v>
      </c>
      <c r="J77" s="357">
        <v>0.85</v>
      </c>
      <c r="K77" s="357">
        <v>0.85</v>
      </c>
      <c r="L77" s="357">
        <v>0.85</v>
      </c>
      <c r="M77" s="357">
        <v>0.85</v>
      </c>
      <c r="N77" s="357">
        <v>0.85</v>
      </c>
      <c r="O77" s="357">
        <v>0.85</v>
      </c>
      <c r="P77" s="357">
        <v>0.85</v>
      </c>
      <c r="Q77" s="357">
        <v>0.85</v>
      </c>
      <c r="R77" s="357">
        <v>0.85</v>
      </c>
      <c r="S77" s="357">
        <v>0.85</v>
      </c>
      <c r="T77" s="357">
        <v>0.85</v>
      </c>
      <c r="U77" s="357">
        <v>0.85</v>
      </c>
      <c r="V77" s="357">
        <v>0.85</v>
      </c>
      <c r="W77" s="357">
        <v>0.85</v>
      </c>
      <c r="X77" s="357">
        <v>0.85</v>
      </c>
      <c r="Y77" s="357">
        <v>0.85</v>
      </c>
      <c r="Z77" s="357">
        <v>0.85</v>
      </c>
      <c r="AA77" s="357">
        <v>0.85</v>
      </c>
      <c r="AB77" s="357">
        <v>0.85</v>
      </c>
      <c r="AC77" s="357">
        <v>0.85</v>
      </c>
      <c r="AD77" s="357">
        <v>0.85</v>
      </c>
      <c r="AE77" s="357">
        <v>0.85</v>
      </c>
      <c r="AF77" s="357">
        <v>0.85</v>
      </c>
      <c r="AG77" s="357">
        <v>0.85</v>
      </c>
      <c r="AH77" s="357">
        <v>0.85</v>
      </c>
      <c r="AI77" s="357">
        <v>0.85</v>
      </c>
      <c r="AJ77" s="357">
        <v>0.85</v>
      </c>
    </row>
    <row r="78" spans="2:41" x14ac:dyDescent="0.25">
      <c r="B78" s="641"/>
      <c r="D78" s="610"/>
      <c r="E78" s="351" t="s">
        <v>145</v>
      </c>
      <c r="F78" s="352" t="s">
        <v>194</v>
      </c>
      <c r="G78" s="357">
        <v>0.85</v>
      </c>
      <c r="H78" s="357">
        <v>0.85</v>
      </c>
      <c r="I78" s="357">
        <v>0.85</v>
      </c>
      <c r="J78" s="357">
        <v>0.85</v>
      </c>
      <c r="K78" s="357">
        <v>0.85</v>
      </c>
      <c r="L78" s="357">
        <v>0.85</v>
      </c>
      <c r="M78" s="357">
        <v>0.85</v>
      </c>
      <c r="N78" s="357">
        <v>0.85</v>
      </c>
      <c r="O78" s="357">
        <v>0.85</v>
      </c>
      <c r="P78" s="357">
        <v>0.85</v>
      </c>
      <c r="Q78" s="357">
        <v>0.85</v>
      </c>
      <c r="R78" s="357">
        <v>0.85</v>
      </c>
      <c r="S78" s="357">
        <v>0.85</v>
      </c>
      <c r="T78" s="357">
        <v>0.85</v>
      </c>
      <c r="U78" s="357">
        <v>0.85</v>
      </c>
      <c r="V78" s="357">
        <v>0.85</v>
      </c>
      <c r="W78" s="357">
        <v>0.85</v>
      </c>
      <c r="X78" s="357">
        <v>0.85</v>
      </c>
      <c r="Y78" s="357">
        <v>0.85</v>
      </c>
      <c r="Z78" s="357">
        <v>0.85</v>
      </c>
      <c r="AA78" s="357">
        <v>0.85</v>
      </c>
      <c r="AB78" s="357">
        <v>0.85</v>
      </c>
      <c r="AC78" s="357">
        <v>0.85</v>
      </c>
      <c r="AD78" s="357">
        <v>0.85</v>
      </c>
      <c r="AE78" s="357">
        <v>0.85</v>
      </c>
      <c r="AF78" s="357">
        <v>0.85</v>
      </c>
      <c r="AG78" s="357">
        <v>0.85</v>
      </c>
      <c r="AH78" s="357">
        <v>0.85</v>
      </c>
      <c r="AI78" s="357">
        <v>0.85</v>
      </c>
      <c r="AJ78" s="357">
        <v>0.85</v>
      </c>
    </row>
    <row r="79" spans="2:41" x14ac:dyDescent="0.25">
      <c r="B79" s="641"/>
    </row>
    <row r="80" spans="2:41" x14ac:dyDescent="0.25">
      <c r="B80" s="641"/>
      <c r="G80" s="31">
        <v>2021</v>
      </c>
      <c r="H80" s="31">
        <v>2022</v>
      </c>
      <c r="I80" s="31">
        <v>2023</v>
      </c>
      <c r="J80" s="31">
        <v>2024</v>
      </c>
      <c r="K80" s="31">
        <v>2025</v>
      </c>
      <c r="L80" s="31">
        <v>2026</v>
      </c>
      <c r="M80" s="31">
        <v>2027</v>
      </c>
      <c r="N80" s="31">
        <v>2028</v>
      </c>
      <c r="O80" s="31">
        <v>2029</v>
      </c>
      <c r="P80" s="31">
        <v>2030</v>
      </c>
      <c r="Q80" s="31">
        <v>2031</v>
      </c>
      <c r="R80" s="31">
        <v>2032</v>
      </c>
      <c r="S80" s="31">
        <v>2033</v>
      </c>
      <c r="T80" s="31">
        <v>2034</v>
      </c>
      <c r="U80" s="31">
        <v>2035</v>
      </c>
      <c r="V80" s="31">
        <v>2036</v>
      </c>
      <c r="W80" s="31">
        <v>2037</v>
      </c>
      <c r="X80" s="31">
        <v>2038</v>
      </c>
      <c r="Y80" s="31">
        <v>2039</v>
      </c>
      <c r="Z80" s="31">
        <v>2040</v>
      </c>
      <c r="AA80" s="31">
        <v>2041</v>
      </c>
      <c r="AB80" s="31">
        <v>2042</v>
      </c>
      <c r="AC80" s="31">
        <v>2043</v>
      </c>
      <c r="AD80" s="31">
        <v>2044</v>
      </c>
      <c r="AE80" s="31">
        <v>2045</v>
      </c>
      <c r="AF80" s="31">
        <v>2046</v>
      </c>
      <c r="AG80" s="31">
        <v>2047</v>
      </c>
      <c r="AH80" s="31">
        <v>2048</v>
      </c>
      <c r="AI80" s="31">
        <v>2049</v>
      </c>
      <c r="AJ80" s="31">
        <v>2050</v>
      </c>
    </row>
    <row r="81" spans="1:36" x14ac:dyDescent="0.25">
      <c r="A81" s="325" t="str">
        <f t="shared" ref="A81:A86" si="2">$D$81&amp;"_"&amp;E81&amp;"_"&amp;F81</f>
        <v>Capacity Factor (%)_Residential Battery Storage - 5 kW - 12.5 kWh_Advanced</v>
      </c>
      <c r="B81" s="641"/>
      <c r="D81" s="608" t="s">
        <v>237</v>
      </c>
      <c r="E81" s="351" t="s">
        <v>289</v>
      </c>
      <c r="F81" s="352" t="s">
        <v>233</v>
      </c>
      <c r="G81" s="357">
        <v>0.104</v>
      </c>
      <c r="H81" s="357">
        <v>0.104</v>
      </c>
      <c r="I81" s="357">
        <v>0.104</v>
      </c>
      <c r="J81" s="357">
        <v>0.104</v>
      </c>
      <c r="K81" s="357">
        <v>0.104</v>
      </c>
      <c r="L81" s="357">
        <v>0.104</v>
      </c>
      <c r="M81" s="357">
        <v>0.104</v>
      </c>
      <c r="N81" s="357">
        <v>0.104</v>
      </c>
      <c r="O81" s="357">
        <v>0.104</v>
      </c>
      <c r="P81" s="357">
        <v>0.104</v>
      </c>
      <c r="Q81" s="357">
        <v>0.104</v>
      </c>
      <c r="R81" s="357">
        <v>0.104</v>
      </c>
      <c r="S81" s="357">
        <v>0.104</v>
      </c>
      <c r="T81" s="357">
        <v>0.104</v>
      </c>
      <c r="U81" s="357">
        <v>0.104</v>
      </c>
      <c r="V81" s="357">
        <v>0.104</v>
      </c>
      <c r="W81" s="357">
        <v>0.104</v>
      </c>
      <c r="X81" s="357">
        <v>0.104</v>
      </c>
      <c r="Y81" s="357">
        <v>0.104</v>
      </c>
      <c r="Z81" s="357">
        <v>0.104</v>
      </c>
      <c r="AA81" s="357">
        <v>0.104</v>
      </c>
      <c r="AB81" s="357">
        <v>0.104</v>
      </c>
      <c r="AC81" s="357">
        <v>0.104</v>
      </c>
      <c r="AD81" s="357">
        <v>0.104</v>
      </c>
      <c r="AE81" s="357">
        <v>0.104</v>
      </c>
      <c r="AF81" s="357">
        <v>0.104</v>
      </c>
      <c r="AG81" s="357">
        <v>0.104</v>
      </c>
      <c r="AH81" s="357">
        <v>0.104</v>
      </c>
      <c r="AI81" s="357">
        <v>0.104</v>
      </c>
      <c r="AJ81" s="357">
        <v>0.104</v>
      </c>
    </row>
    <row r="82" spans="1:36" x14ac:dyDescent="0.25">
      <c r="A82" s="325" t="str">
        <f t="shared" si="2"/>
        <v>Capacity Factor (%)_Residential Battery Storage - 5 kW - 12.5 kWh_Moderate</v>
      </c>
      <c r="B82" s="641"/>
      <c r="D82" s="609"/>
      <c r="E82" s="351" t="s">
        <v>289</v>
      </c>
      <c r="F82" s="352" t="s">
        <v>232</v>
      </c>
      <c r="G82" s="357">
        <v>0.104</v>
      </c>
      <c r="H82" s="357">
        <v>0.104</v>
      </c>
      <c r="I82" s="357">
        <v>0.104</v>
      </c>
      <c r="J82" s="357">
        <v>0.104</v>
      </c>
      <c r="K82" s="357">
        <v>0.104</v>
      </c>
      <c r="L82" s="357">
        <v>0.104</v>
      </c>
      <c r="M82" s="357">
        <v>0.104</v>
      </c>
      <c r="N82" s="357">
        <v>0.104</v>
      </c>
      <c r="O82" s="357">
        <v>0.104</v>
      </c>
      <c r="P82" s="357">
        <v>0.104</v>
      </c>
      <c r="Q82" s="357">
        <v>0.104</v>
      </c>
      <c r="R82" s="357">
        <v>0.104</v>
      </c>
      <c r="S82" s="357">
        <v>0.104</v>
      </c>
      <c r="T82" s="357">
        <v>0.104</v>
      </c>
      <c r="U82" s="357">
        <v>0.104</v>
      </c>
      <c r="V82" s="357">
        <v>0.104</v>
      </c>
      <c r="W82" s="357">
        <v>0.104</v>
      </c>
      <c r="X82" s="357">
        <v>0.104</v>
      </c>
      <c r="Y82" s="357">
        <v>0.104</v>
      </c>
      <c r="Z82" s="357">
        <v>0.104</v>
      </c>
      <c r="AA82" s="357">
        <v>0.104</v>
      </c>
      <c r="AB82" s="357">
        <v>0.104</v>
      </c>
      <c r="AC82" s="357">
        <v>0.104</v>
      </c>
      <c r="AD82" s="357">
        <v>0.104</v>
      </c>
      <c r="AE82" s="357">
        <v>0.104</v>
      </c>
      <c r="AF82" s="357">
        <v>0.104</v>
      </c>
      <c r="AG82" s="357">
        <v>0.104</v>
      </c>
      <c r="AH82" s="357">
        <v>0.104</v>
      </c>
      <c r="AI82" s="357">
        <v>0.104</v>
      </c>
      <c r="AJ82" s="357">
        <v>0.104</v>
      </c>
    </row>
    <row r="83" spans="1:36" x14ac:dyDescent="0.25">
      <c r="A83" s="325" t="str">
        <f t="shared" si="2"/>
        <v>Capacity Factor (%)_Residential Battery Storage - 5 kW - 12.5 kWh_Conservative</v>
      </c>
      <c r="B83" s="641"/>
      <c r="D83" s="609"/>
      <c r="E83" s="351" t="s">
        <v>289</v>
      </c>
      <c r="F83" s="352" t="s">
        <v>194</v>
      </c>
      <c r="G83" s="357">
        <v>0.104</v>
      </c>
      <c r="H83" s="357">
        <v>0.104</v>
      </c>
      <c r="I83" s="357">
        <v>0.104</v>
      </c>
      <c r="J83" s="357">
        <v>0.104</v>
      </c>
      <c r="K83" s="357">
        <v>0.104</v>
      </c>
      <c r="L83" s="357">
        <v>0.104</v>
      </c>
      <c r="M83" s="357">
        <v>0.104</v>
      </c>
      <c r="N83" s="357">
        <v>0.104</v>
      </c>
      <c r="O83" s="357">
        <v>0.104</v>
      </c>
      <c r="P83" s="357">
        <v>0.104</v>
      </c>
      <c r="Q83" s="357">
        <v>0.104</v>
      </c>
      <c r="R83" s="357">
        <v>0.104</v>
      </c>
      <c r="S83" s="357">
        <v>0.104</v>
      </c>
      <c r="T83" s="357">
        <v>0.104</v>
      </c>
      <c r="U83" s="357">
        <v>0.104</v>
      </c>
      <c r="V83" s="357">
        <v>0.104</v>
      </c>
      <c r="W83" s="357">
        <v>0.104</v>
      </c>
      <c r="X83" s="357">
        <v>0.104</v>
      </c>
      <c r="Y83" s="357">
        <v>0.104</v>
      </c>
      <c r="Z83" s="357">
        <v>0.104</v>
      </c>
      <c r="AA83" s="357">
        <v>0.104</v>
      </c>
      <c r="AB83" s="357">
        <v>0.104</v>
      </c>
      <c r="AC83" s="357">
        <v>0.104</v>
      </c>
      <c r="AD83" s="357">
        <v>0.104</v>
      </c>
      <c r="AE83" s="357">
        <v>0.104</v>
      </c>
      <c r="AF83" s="357">
        <v>0.104</v>
      </c>
      <c r="AG83" s="357">
        <v>0.104</v>
      </c>
      <c r="AH83" s="357">
        <v>0.104</v>
      </c>
      <c r="AI83" s="357">
        <v>0.104</v>
      </c>
      <c r="AJ83" s="357">
        <v>0.104</v>
      </c>
    </row>
    <row r="84" spans="1:36" x14ac:dyDescent="0.25">
      <c r="A84" s="325" t="str">
        <f t="shared" si="2"/>
        <v>Capacity Factor (%)_Residential Battery Storage - 5 kW - 20 kWh_Advanced</v>
      </c>
      <c r="B84" s="641"/>
      <c r="D84" s="610"/>
      <c r="E84" s="351" t="s">
        <v>145</v>
      </c>
      <c r="F84" s="352" t="s">
        <v>233</v>
      </c>
      <c r="G84" s="357">
        <v>0.16699999999999998</v>
      </c>
      <c r="H84" s="357">
        <v>0.16699999999999998</v>
      </c>
      <c r="I84" s="357">
        <v>0.16699999999999998</v>
      </c>
      <c r="J84" s="357">
        <v>0.16699999999999998</v>
      </c>
      <c r="K84" s="357">
        <v>0.16699999999999998</v>
      </c>
      <c r="L84" s="357">
        <v>0.16699999999999998</v>
      </c>
      <c r="M84" s="357">
        <v>0.16699999999999998</v>
      </c>
      <c r="N84" s="357">
        <v>0.16699999999999998</v>
      </c>
      <c r="O84" s="357">
        <v>0.16699999999999998</v>
      </c>
      <c r="P84" s="357">
        <v>0.16699999999999998</v>
      </c>
      <c r="Q84" s="357">
        <v>0.16699999999999998</v>
      </c>
      <c r="R84" s="357">
        <v>0.16699999999999998</v>
      </c>
      <c r="S84" s="357">
        <v>0.16699999999999998</v>
      </c>
      <c r="T84" s="357">
        <v>0.16699999999999998</v>
      </c>
      <c r="U84" s="357">
        <v>0.16699999999999998</v>
      </c>
      <c r="V84" s="357">
        <v>0.16699999999999998</v>
      </c>
      <c r="W84" s="357">
        <v>0.16699999999999998</v>
      </c>
      <c r="X84" s="357">
        <v>0.16699999999999998</v>
      </c>
      <c r="Y84" s="357">
        <v>0.16699999999999998</v>
      </c>
      <c r="Z84" s="357">
        <v>0.16699999999999998</v>
      </c>
      <c r="AA84" s="357">
        <v>0.16699999999999998</v>
      </c>
      <c r="AB84" s="357">
        <v>0.16699999999999998</v>
      </c>
      <c r="AC84" s="357">
        <v>0.16699999999999998</v>
      </c>
      <c r="AD84" s="357">
        <v>0.16699999999999998</v>
      </c>
      <c r="AE84" s="357">
        <v>0.16699999999999998</v>
      </c>
      <c r="AF84" s="357">
        <v>0.16699999999999998</v>
      </c>
      <c r="AG84" s="357">
        <v>0.16699999999999998</v>
      </c>
      <c r="AH84" s="357">
        <v>0.16699999999999998</v>
      </c>
      <c r="AI84" s="357">
        <v>0.16699999999999998</v>
      </c>
      <c r="AJ84" s="357">
        <v>0.16699999999999998</v>
      </c>
    </row>
    <row r="85" spans="1:36" x14ac:dyDescent="0.25">
      <c r="A85" s="325" t="str">
        <f t="shared" si="2"/>
        <v>Capacity Factor (%)_Residential Battery Storage - 5 kW - 20 kWh_Moderate</v>
      </c>
      <c r="B85" s="641"/>
      <c r="D85" s="610"/>
      <c r="E85" s="351" t="s">
        <v>145</v>
      </c>
      <c r="F85" s="352" t="s">
        <v>232</v>
      </c>
      <c r="G85" s="357">
        <v>0.16699999999999998</v>
      </c>
      <c r="H85" s="357">
        <v>0.16699999999999998</v>
      </c>
      <c r="I85" s="357">
        <v>0.16699999999999998</v>
      </c>
      <c r="J85" s="357">
        <v>0.16699999999999998</v>
      </c>
      <c r="K85" s="357">
        <v>0.16699999999999998</v>
      </c>
      <c r="L85" s="357">
        <v>0.16699999999999998</v>
      </c>
      <c r="M85" s="357">
        <v>0.16699999999999998</v>
      </c>
      <c r="N85" s="357">
        <v>0.16699999999999998</v>
      </c>
      <c r="O85" s="357">
        <v>0.16699999999999998</v>
      </c>
      <c r="P85" s="357">
        <v>0.16699999999999998</v>
      </c>
      <c r="Q85" s="357">
        <v>0.16699999999999998</v>
      </c>
      <c r="R85" s="357">
        <v>0.16699999999999998</v>
      </c>
      <c r="S85" s="357">
        <v>0.16699999999999998</v>
      </c>
      <c r="T85" s="357">
        <v>0.16699999999999998</v>
      </c>
      <c r="U85" s="357">
        <v>0.16699999999999998</v>
      </c>
      <c r="V85" s="357">
        <v>0.16699999999999998</v>
      </c>
      <c r="W85" s="357">
        <v>0.16699999999999998</v>
      </c>
      <c r="X85" s="357">
        <v>0.16699999999999998</v>
      </c>
      <c r="Y85" s="357">
        <v>0.16699999999999998</v>
      </c>
      <c r="Z85" s="357">
        <v>0.16699999999999998</v>
      </c>
      <c r="AA85" s="357">
        <v>0.16699999999999998</v>
      </c>
      <c r="AB85" s="357">
        <v>0.16699999999999998</v>
      </c>
      <c r="AC85" s="357">
        <v>0.16699999999999998</v>
      </c>
      <c r="AD85" s="357">
        <v>0.16699999999999998</v>
      </c>
      <c r="AE85" s="357">
        <v>0.16699999999999998</v>
      </c>
      <c r="AF85" s="357">
        <v>0.16699999999999998</v>
      </c>
      <c r="AG85" s="357">
        <v>0.16699999999999998</v>
      </c>
      <c r="AH85" s="357">
        <v>0.16699999999999998</v>
      </c>
      <c r="AI85" s="357">
        <v>0.16699999999999998</v>
      </c>
      <c r="AJ85" s="357">
        <v>0.16699999999999998</v>
      </c>
    </row>
    <row r="86" spans="1:36" x14ac:dyDescent="0.25">
      <c r="A86" s="325" t="str">
        <f t="shared" si="2"/>
        <v>Capacity Factor (%)_Residential Battery Storage - 5 kW - 20 kWh_Conservative</v>
      </c>
      <c r="B86" s="641"/>
      <c r="D86" s="610"/>
      <c r="E86" s="351" t="s">
        <v>145</v>
      </c>
      <c r="F86" s="352" t="s">
        <v>194</v>
      </c>
      <c r="G86" s="357">
        <v>0.16699999999999998</v>
      </c>
      <c r="H86" s="357">
        <v>0.16699999999999998</v>
      </c>
      <c r="I86" s="357">
        <v>0.16699999999999998</v>
      </c>
      <c r="J86" s="357">
        <v>0.16699999999999998</v>
      </c>
      <c r="K86" s="357">
        <v>0.16699999999999998</v>
      </c>
      <c r="L86" s="357">
        <v>0.16699999999999998</v>
      </c>
      <c r="M86" s="357">
        <v>0.16699999999999998</v>
      </c>
      <c r="N86" s="357">
        <v>0.16699999999999998</v>
      </c>
      <c r="O86" s="357">
        <v>0.16699999999999998</v>
      </c>
      <c r="P86" s="357">
        <v>0.16699999999999998</v>
      </c>
      <c r="Q86" s="357">
        <v>0.16699999999999998</v>
      </c>
      <c r="R86" s="357">
        <v>0.16699999999999998</v>
      </c>
      <c r="S86" s="357">
        <v>0.16699999999999998</v>
      </c>
      <c r="T86" s="357">
        <v>0.16699999999999998</v>
      </c>
      <c r="U86" s="357">
        <v>0.16699999999999998</v>
      </c>
      <c r="V86" s="357">
        <v>0.16699999999999998</v>
      </c>
      <c r="W86" s="357">
        <v>0.16699999999999998</v>
      </c>
      <c r="X86" s="357">
        <v>0.16699999999999998</v>
      </c>
      <c r="Y86" s="357">
        <v>0.16699999999999998</v>
      </c>
      <c r="Z86" s="357">
        <v>0.16699999999999998</v>
      </c>
      <c r="AA86" s="357">
        <v>0.16699999999999998</v>
      </c>
      <c r="AB86" s="357">
        <v>0.16699999999999998</v>
      </c>
      <c r="AC86" s="357">
        <v>0.16699999999999998</v>
      </c>
      <c r="AD86" s="357">
        <v>0.16699999999999998</v>
      </c>
      <c r="AE86" s="357">
        <v>0.16699999999999998</v>
      </c>
      <c r="AF86" s="357">
        <v>0.16699999999999998</v>
      </c>
      <c r="AG86" s="357">
        <v>0.16699999999999998</v>
      </c>
      <c r="AH86" s="357">
        <v>0.16699999999999998</v>
      </c>
      <c r="AI86" s="357">
        <v>0.16699999999999998</v>
      </c>
      <c r="AJ86" s="357">
        <v>0.16699999999999998</v>
      </c>
    </row>
    <row r="87" spans="1:36" x14ac:dyDescent="0.25">
      <c r="B87" s="43"/>
    </row>
    <row r="88" spans="1:36" x14ac:dyDescent="0.25">
      <c r="B88" s="637" t="s">
        <v>231</v>
      </c>
      <c r="C88" s="614"/>
      <c r="D88" s="614"/>
      <c r="E88" s="614"/>
      <c r="F88" s="614"/>
      <c r="G88" s="614"/>
      <c r="H88" s="614"/>
      <c r="I88" s="614"/>
      <c r="J88" s="614"/>
      <c r="K88" s="614"/>
      <c r="L88" s="614"/>
      <c r="M88" s="614"/>
      <c r="N88" s="614"/>
      <c r="O88" s="614"/>
      <c r="P88" s="614"/>
      <c r="Q88" s="335"/>
      <c r="R88" s="335"/>
      <c r="S88" s="335"/>
      <c r="T88" s="335"/>
      <c r="U88" s="335"/>
      <c r="V88" s="335"/>
      <c r="W88" s="335"/>
    </row>
    <row r="89" spans="1:36" ht="15.75" thickBot="1" x14ac:dyDescent="0.3">
      <c r="B89" s="325"/>
      <c r="C89" s="325"/>
      <c r="D89" s="325"/>
      <c r="E89" s="325"/>
      <c r="F89" s="325"/>
      <c r="G89" s="325"/>
      <c r="H89" s="325"/>
      <c r="I89" s="325"/>
      <c r="J89" s="325"/>
      <c r="K89" s="325"/>
      <c r="L89" s="325"/>
      <c r="M89" s="325"/>
      <c r="N89" s="358"/>
      <c r="O89" s="358"/>
      <c r="P89" s="325"/>
      <c r="Q89" s="325"/>
      <c r="R89" s="325"/>
      <c r="S89" s="325"/>
      <c r="T89" s="325"/>
      <c r="U89" s="325"/>
      <c r="V89" s="325"/>
      <c r="W89" s="325"/>
    </row>
    <row r="90" spans="1:36" x14ac:dyDescent="0.25">
      <c r="B90" s="325"/>
      <c r="C90" s="638" t="s">
        <v>230</v>
      </c>
      <c r="D90" s="639"/>
      <c r="E90" s="639"/>
      <c r="F90" s="639"/>
      <c r="G90" s="639"/>
      <c r="H90" s="639"/>
      <c r="I90" s="655" t="s">
        <v>224</v>
      </c>
      <c r="J90" s="656"/>
      <c r="K90" s="656"/>
      <c r="L90" s="656"/>
      <c r="M90" s="657"/>
      <c r="N90" s="359" t="s">
        <v>223</v>
      </c>
      <c r="O90" s="359" t="s">
        <v>222</v>
      </c>
      <c r="P90" s="360"/>
      <c r="Q90" s="360"/>
      <c r="R90" s="360"/>
      <c r="S90" s="360"/>
      <c r="T90" s="360"/>
      <c r="U90" s="360"/>
      <c r="V90" s="360"/>
      <c r="W90" s="361"/>
    </row>
    <row r="91" spans="1:36" x14ac:dyDescent="0.25">
      <c r="B91" s="325"/>
      <c r="C91" s="631" t="s">
        <v>229</v>
      </c>
      <c r="D91" s="632"/>
      <c r="E91" s="632"/>
      <c r="F91" s="632"/>
      <c r="G91" s="632"/>
      <c r="H91" s="633"/>
      <c r="I91" s="3" t="s">
        <v>213</v>
      </c>
      <c r="N91" s="365"/>
      <c r="O91" s="365"/>
      <c r="W91" s="366"/>
    </row>
    <row r="92" spans="1:36" x14ac:dyDescent="0.25">
      <c r="B92" s="325"/>
      <c r="C92" s="631" t="s">
        <v>221</v>
      </c>
      <c r="D92" s="632"/>
      <c r="E92" s="632"/>
      <c r="F92" s="632"/>
      <c r="G92" s="632"/>
      <c r="H92" s="633"/>
      <c r="I92" s="367" t="s">
        <v>213</v>
      </c>
      <c r="J92" s="368"/>
      <c r="K92" s="368"/>
      <c r="L92" s="368"/>
      <c r="M92" s="368"/>
      <c r="N92" s="369"/>
      <c r="O92" s="369"/>
      <c r="P92" s="368"/>
      <c r="Q92" s="368"/>
      <c r="R92" s="368"/>
      <c r="S92" s="368"/>
      <c r="T92" s="368"/>
      <c r="U92" s="368"/>
      <c r="V92" s="368"/>
      <c r="W92" s="370"/>
    </row>
    <row r="93" spans="1:36" ht="14.65" customHeight="1" x14ac:dyDescent="0.25">
      <c r="B93" s="325"/>
      <c r="C93" s="631" t="s">
        <v>129</v>
      </c>
      <c r="D93" s="632"/>
      <c r="E93" s="632"/>
      <c r="F93" s="632"/>
      <c r="G93" s="632"/>
      <c r="H93" s="633"/>
      <c r="I93" s="634" t="s">
        <v>227</v>
      </c>
      <c r="J93" s="635"/>
      <c r="K93" s="635"/>
      <c r="L93" s="635"/>
      <c r="M93" s="636"/>
      <c r="N93" s="365"/>
      <c r="O93" s="365"/>
    </row>
    <row r="94" spans="1:36" ht="14.65" customHeight="1" x14ac:dyDescent="0.25">
      <c r="B94" s="325"/>
      <c r="C94" s="631" t="s">
        <v>217</v>
      </c>
      <c r="D94" s="632"/>
      <c r="E94" s="632"/>
      <c r="F94" s="632"/>
      <c r="G94" s="632"/>
      <c r="H94" s="633"/>
      <c r="I94" s="634" t="s">
        <v>227</v>
      </c>
      <c r="J94" s="635"/>
      <c r="K94" s="635"/>
      <c r="L94" s="635"/>
      <c r="M94" s="636"/>
      <c r="N94" s="371"/>
      <c r="O94" s="371"/>
    </row>
    <row r="95" spans="1:36" x14ac:dyDescent="0.25">
      <c r="B95" s="325"/>
      <c r="C95" s="631" t="s">
        <v>216</v>
      </c>
      <c r="D95" s="632"/>
      <c r="E95" s="632"/>
      <c r="F95" s="632"/>
      <c r="G95" s="632"/>
      <c r="H95" s="633"/>
      <c r="I95" s="367" t="s">
        <v>213</v>
      </c>
      <c r="J95" s="368"/>
      <c r="K95" s="368"/>
      <c r="L95" s="368"/>
      <c r="M95" s="368"/>
      <c r="N95" s="369"/>
      <c r="O95" s="369"/>
      <c r="P95" s="368"/>
      <c r="Q95" s="368"/>
      <c r="R95" s="368"/>
      <c r="S95" s="368"/>
      <c r="T95" s="368"/>
      <c r="U95" s="368"/>
      <c r="V95" s="368"/>
      <c r="W95" s="370"/>
    </row>
    <row r="96" spans="1:36" ht="15.75" thickBot="1" x14ac:dyDescent="0.3">
      <c r="B96" s="325"/>
      <c r="C96" s="642" t="s">
        <v>226</v>
      </c>
      <c r="D96" s="643"/>
      <c r="E96" s="643"/>
      <c r="F96" s="643"/>
      <c r="G96" s="643"/>
      <c r="H96" s="644"/>
      <c r="I96" s="372" t="s">
        <v>213</v>
      </c>
      <c r="J96" s="373"/>
      <c r="K96" s="373"/>
      <c r="L96" s="373"/>
      <c r="M96" s="373"/>
      <c r="N96" s="374"/>
      <c r="O96" s="374"/>
      <c r="P96" s="373"/>
      <c r="Q96" s="373"/>
      <c r="R96" s="373"/>
      <c r="S96" s="373"/>
      <c r="T96" s="373"/>
      <c r="U96" s="373"/>
      <c r="V96" s="373"/>
      <c r="W96" s="375"/>
    </row>
    <row r="97" spans="2:28" ht="15.75" thickBot="1" x14ac:dyDescent="0.3">
      <c r="B97" s="325"/>
      <c r="C97" s="645"/>
      <c r="D97" s="645"/>
      <c r="E97" s="645"/>
      <c r="F97" s="645"/>
      <c r="G97" s="645"/>
      <c r="H97" s="645"/>
      <c r="I97" s="376"/>
      <c r="J97" s="376"/>
      <c r="K97" s="376"/>
      <c r="L97" s="376"/>
      <c r="M97" s="376"/>
      <c r="N97" s="376"/>
      <c r="O97" s="376"/>
      <c r="P97" s="377"/>
      <c r="Q97" s="377"/>
      <c r="R97" s="377"/>
      <c r="S97" s="377"/>
      <c r="T97" s="377"/>
      <c r="U97" s="377"/>
      <c r="V97" s="377"/>
      <c r="W97" s="377"/>
    </row>
    <row r="98" spans="2:28" x14ac:dyDescent="0.25">
      <c r="B98" s="325"/>
      <c r="C98" s="638" t="s">
        <v>225</v>
      </c>
      <c r="D98" s="639"/>
      <c r="E98" s="639"/>
      <c r="F98" s="639"/>
      <c r="G98" s="639"/>
      <c r="H98" s="646"/>
      <c r="I98" s="628" t="s">
        <v>224</v>
      </c>
      <c r="J98" s="629"/>
      <c r="K98" s="629"/>
      <c r="L98" s="629"/>
      <c r="M98" s="630"/>
      <c r="N98" s="359" t="s">
        <v>223</v>
      </c>
      <c r="O98" s="359" t="s">
        <v>222</v>
      </c>
      <c r="P98" s="378"/>
      <c r="Q98" s="378"/>
      <c r="R98" s="378"/>
      <c r="S98" s="378"/>
      <c r="T98" s="378"/>
      <c r="U98" s="378"/>
      <c r="V98" s="378"/>
      <c r="W98" s="379"/>
    </row>
    <row r="99" spans="2:28" x14ac:dyDescent="0.25">
      <c r="B99" s="325"/>
      <c r="C99" s="631" t="s">
        <v>221</v>
      </c>
      <c r="D99" s="632"/>
      <c r="E99" s="632"/>
      <c r="F99" s="632"/>
      <c r="G99" s="632"/>
      <c r="H99" s="633"/>
      <c r="I99" s="380" t="s">
        <v>213</v>
      </c>
      <c r="J99" s="381"/>
      <c r="K99" s="381"/>
      <c r="L99" s="381"/>
      <c r="M99" s="381"/>
      <c r="N99" s="382"/>
      <c r="O99" s="382"/>
      <c r="P99" s="381"/>
      <c r="Q99" s="381"/>
      <c r="R99" s="381"/>
      <c r="S99" s="381"/>
      <c r="T99" s="381"/>
      <c r="U99" s="381"/>
      <c r="V99" s="381"/>
      <c r="W99" s="383"/>
    </row>
    <row r="100" spans="2:28" x14ac:dyDescent="0.25">
      <c r="B100" s="325"/>
      <c r="C100" s="631" t="s">
        <v>129</v>
      </c>
      <c r="D100" s="632"/>
      <c r="E100" s="632"/>
      <c r="F100" s="632"/>
      <c r="G100" s="632"/>
      <c r="H100" s="633"/>
      <c r="I100" s="652" t="s">
        <v>273</v>
      </c>
      <c r="J100" s="653"/>
      <c r="K100" s="653"/>
      <c r="L100" s="653"/>
      <c r="M100" s="654"/>
      <c r="N100" s="384"/>
      <c r="O100" s="384"/>
      <c r="P100" s="385"/>
      <c r="Q100" s="385"/>
      <c r="R100" s="385"/>
      <c r="S100" s="385"/>
      <c r="T100" s="385"/>
      <c r="U100" s="385"/>
      <c r="V100" s="385"/>
      <c r="W100" s="386"/>
    </row>
    <row r="101" spans="2:28" s="325" customFormat="1" ht="14.25" customHeight="1" x14ac:dyDescent="0.25">
      <c r="C101" s="362" t="s">
        <v>219</v>
      </c>
      <c r="I101" s="387"/>
      <c r="J101" s="387"/>
      <c r="K101" s="387"/>
      <c r="L101" s="387"/>
      <c r="M101" s="387"/>
      <c r="O101" s="388"/>
      <c r="P101" s="388"/>
      <c r="Q101" s="363"/>
      <c r="R101" s="364"/>
      <c r="S101" s="363"/>
      <c r="T101" s="389"/>
      <c r="U101" s="363"/>
      <c r="V101" s="363"/>
      <c r="W101" s="363"/>
      <c r="X101" s="363"/>
      <c r="Y101" s="363"/>
      <c r="Z101" s="363"/>
      <c r="AA101" s="363"/>
      <c r="AB101" s="364"/>
    </row>
    <row r="102" spans="2:28" x14ac:dyDescent="0.25">
      <c r="B102" s="325"/>
      <c r="C102" s="631" t="s">
        <v>217</v>
      </c>
      <c r="D102" s="632"/>
      <c r="E102" s="632"/>
      <c r="F102" s="632"/>
      <c r="G102" s="632"/>
      <c r="H102" s="633"/>
      <c r="I102" s="652" t="s">
        <v>273</v>
      </c>
      <c r="J102" s="653"/>
      <c r="K102" s="653"/>
      <c r="L102" s="653"/>
      <c r="M102" s="654"/>
      <c r="N102" s="390"/>
      <c r="O102" s="390"/>
      <c r="P102" s="391"/>
      <c r="Q102" s="391"/>
      <c r="R102" s="391"/>
      <c r="S102" s="391"/>
      <c r="T102" s="391"/>
      <c r="U102" s="391"/>
      <c r="V102" s="391"/>
      <c r="W102" s="392"/>
    </row>
    <row r="103" spans="2:28" x14ac:dyDescent="0.25">
      <c r="B103" s="325"/>
      <c r="C103" s="631" t="s">
        <v>216</v>
      </c>
      <c r="D103" s="632"/>
      <c r="E103" s="632"/>
      <c r="F103" s="632"/>
      <c r="G103" s="632"/>
      <c r="H103" s="633"/>
      <c r="I103" s="367" t="s">
        <v>213</v>
      </c>
      <c r="J103" s="368"/>
      <c r="K103" s="368"/>
      <c r="L103" s="368"/>
      <c r="M103" s="368"/>
      <c r="N103" s="369"/>
      <c r="O103" s="369"/>
      <c r="P103" s="368"/>
      <c r="Q103" s="368"/>
      <c r="R103" s="368"/>
      <c r="S103" s="368"/>
      <c r="T103" s="368"/>
      <c r="U103" s="368"/>
      <c r="V103" s="368"/>
      <c r="W103" s="370"/>
    </row>
    <row r="104" spans="2:28" ht="15.75" thickBot="1" x14ac:dyDescent="0.3">
      <c r="B104" s="325"/>
      <c r="C104" s="642" t="s">
        <v>214</v>
      </c>
      <c r="D104" s="643"/>
      <c r="E104" s="643"/>
      <c r="F104" s="643"/>
      <c r="G104" s="643"/>
      <c r="H104" s="644"/>
      <c r="I104" s="372" t="s">
        <v>213</v>
      </c>
      <c r="J104" s="373"/>
      <c r="K104" s="373"/>
      <c r="L104" s="373"/>
      <c r="M104" s="373"/>
      <c r="N104" s="372"/>
      <c r="O104" s="374"/>
      <c r="P104" s="373"/>
      <c r="Q104" s="373"/>
      <c r="R104" s="373"/>
      <c r="S104" s="373"/>
      <c r="T104" s="373"/>
      <c r="U104" s="373"/>
      <c r="V104" s="373"/>
      <c r="W104" s="375"/>
    </row>
    <row r="105" spans="2:28" x14ac:dyDescent="0.25">
      <c r="B105" s="43"/>
    </row>
    <row r="106" spans="2:28" x14ac:dyDescent="0.25">
      <c r="B106" s="43"/>
    </row>
    <row r="107" spans="2:28" x14ac:dyDescent="0.25">
      <c r="B107" s="43"/>
    </row>
    <row r="108" spans="2:28" x14ac:dyDescent="0.25">
      <c r="B108" s="43"/>
    </row>
    <row r="109" spans="2:28" x14ac:dyDescent="0.25">
      <c r="B109" s="43"/>
    </row>
    <row r="110" spans="2:28" x14ac:dyDescent="0.25">
      <c r="B110" s="43"/>
    </row>
    <row r="111" spans="2:28" x14ac:dyDescent="0.25">
      <c r="B111" s="43"/>
    </row>
    <row r="112" spans="2:28" x14ac:dyDescent="0.25">
      <c r="B112" s="43"/>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43"/>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39" spans="2:2" x14ac:dyDescent="0.25">
      <c r="B139" s="43"/>
    </row>
    <row r="140" spans="2:2" x14ac:dyDescent="0.25">
      <c r="B140" s="43"/>
    </row>
    <row r="141" spans="2:2" x14ac:dyDescent="0.25">
      <c r="B141" s="43"/>
    </row>
    <row r="142" spans="2:2" x14ac:dyDescent="0.25">
      <c r="B142" s="43"/>
    </row>
    <row r="143" spans="2:2" x14ac:dyDescent="0.25">
      <c r="B143" s="43"/>
    </row>
    <row r="144" spans="2:2" x14ac:dyDescent="0.25">
      <c r="B144" s="43"/>
    </row>
    <row r="145" spans="2:2" x14ac:dyDescent="0.25">
      <c r="B145" s="43"/>
    </row>
    <row r="146" spans="2:2" x14ac:dyDescent="0.25">
      <c r="B146" s="43"/>
    </row>
    <row r="147" spans="2:2" x14ac:dyDescent="0.25">
      <c r="B147" s="43"/>
    </row>
    <row r="148" spans="2:2" x14ac:dyDescent="0.25">
      <c r="B148" s="43"/>
    </row>
    <row r="149" spans="2:2" x14ac:dyDescent="0.25">
      <c r="B149" s="43"/>
    </row>
    <row r="150" spans="2:2" x14ac:dyDescent="0.25">
      <c r="B150" s="43"/>
    </row>
    <row r="151" spans="2:2" x14ac:dyDescent="0.25">
      <c r="B151" s="43"/>
    </row>
    <row r="152" spans="2:2" x14ac:dyDescent="0.25">
      <c r="B152" s="43"/>
    </row>
    <row r="153" spans="2:2" x14ac:dyDescent="0.25">
      <c r="B153" s="43"/>
    </row>
    <row r="154" spans="2:2" x14ac:dyDescent="0.25">
      <c r="B154" s="43"/>
    </row>
    <row r="155" spans="2:2" x14ac:dyDescent="0.25">
      <c r="B155" s="43"/>
    </row>
    <row r="156" spans="2:2" x14ac:dyDescent="0.25">
      <c r="B156"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169" spans="2:2" x14ac:dyDescent="0.25">
      <c r="B169" s="43"/>
    </row>
    <row r="170" spans="2:2" x14ac:dyDescent="0.25">
      <c r="B170" s="43"/>
    </row>
    <row r="171" spans="2:2" x14ac:dyDescent="0.25">
      <c r="B171" s="43"/>
    </row>
    <row r="172" spans="2:2" x14ac:dyDescent="0.25">
      <c r="B172" s="43"/>
    </row>
    <row r="173" spans="2:2" x14ac:dyDescent="0.25">
      <c r="B173" s="43"/>
    </row>
    <row r="174" spans="2:2" x14ac:dyDescent="0.25">
      <c r="B174" s="43"/>
    </row>
    <row r="175" spans="2:2" x14ac:dyDescent="0.25">
      <c r="B175" s="43"/>
    </row>
    <row r="176" spans="2:2" x14ac:dyDescent="0.25">
      <c r="B176" s="43"/>
    </row>
    <row r="177" spans="2:2" x14ac:dyDescent="0.25">
      <c r="B177" s="43"/>
    </row>
    <row r="178" spans="2:2" x14ac:dyDescent="0.25">
      <c r="B178" s="43"/>
    </row>
    <row r="179" spans="2:2" x14ac:dyDescent="0.25">
      <c r="B179" s="43"/>
    </row>
    <row r="180" spans="2:2" x14ac:dyDescent="0.25">
      <c r="B180" s="43"/>
    </row>
    <row r="181" spans="2:2" x14ac:dyDescent="0.25">
      <c r="B181" s="43"/>
    </row>
  </sheetData>
  <mergeCells count="42">
    <mergeCell ref="C102:H102"/>
    <mergeCell ref="I102:M102"/>
    <mergeCell ref="C103:H103"/>
    <mergeCell ref="C104:H104"/>
    <mergeCell ref="C97:H97"/>
    <mergeCell ref="C98:H98"/>
    <mergeCell ref="I98:M98"/>
    <mergeCell ref="C99:H99"/>
    <mergeCell ref="C100:H100"/>
    <mergeCell ref="B41:B86"/>
    <mergeCell ref="D41:D46"/>
    <mergeCell ref="D49:D54"/>
    <mergeCell ref="I100:M100"/>
    <mergeCell ref="C93:H93"/>
    <mergeCell ref="I93:M93"/>
    <mergeCell ref="C94:H94"/>
    <mergeCell ref="I94:M94"/>
    <mergeCell ref="C95:H95"/>
    <mergeCell ref="C96:H96"/>
    <mergeCell ref="B88:P88"/>
    <mergeCell ref="C90:H90"/>
    <mergeCell ref="I90:M90"/>
    <mergeCell ref="C91:H91"/>
    <mergeCell ref="C92:H92"/>
    <mergeCell ref="D57:D62"/>
    <mergeCell ref="A1:K1"/>
    <mergeCell ref="L4:L5"/>
    <mergeCell ref="C7:Q7"/>
    <mergeCell ref="B9:B28"/>
    <mergeCell ref="D9:F9"/>
    <mergeCell ref="G9:L9"/>
    <mergeCell ref="D18:D28"/>
    <mergeCell ref="D11:L11"/>
    <mergeCell ref="D12:L12"/>
    <mergeCell ref="D13:L13"/>
    <mergeCell ref="D14:L14"/>
    <mergeCell ref="C16:P17"/>
    <mergeCell ref="D65:D70"/>
    <mergeCell ref="D73:D78"/>
    <mergeCell ref="D81:D86"/>
    <mergeCell ref="D32:D34"/>
    <mergeCell ref="C36:Q36"/>
  </mergeCells>
  <hyperlinks>
    <hyperlink ref="M1" r:id="rId1" display="https://atb.nrel.gov/electricity/2022/residential_battery_storage" xr:uid="{C2FBDB73-E865-4989-8349-9AA2122565E2}"/>
    <hyperlink ref="I100:W100" r:id="rId2" display="Reference: Battery Storage cost values from C. Augustine and N. Blair, “Energy Storage Futures Study Storage Technology Modeling Input Data Report,” NREL/TP-5700-78694. Golden, CO: National Renewable Energy Laboratory. https://www.nrel.gov/docs/fy21osti/78694.pdf." xr:uid="{E23EED40-6753-4051-A88B-6C14D9CCBFDB}"/>
    <hyperlink ref="I102:W102" r:id="rId3" display="Reference: Battery Storage cost values from C. Augustine and N. Blair, “Energy Storage Futures Study Storage Technology Modeling Input Data Report,” NREL/TP-5700-78694. Golden, CO: National Renewable Energy Laboratory. https://www.nrel.gov/docs/fy21osti/78694.pdf." xr:uid="{0F4E1D8B-FDF0-47CC-B906-380AF85BA02D}"/>
    <hyperlink ref="I93:M93" r:id="rId4" display="V. Ramasamy, D. Feldman, J. Desai, and R. Margolis. 2022. U.S. Solar Photovoltaic System and Energy Storage Cost Benchmark: Q1 2022. Golden, CO: National Renewable Energy Laboratory" xr:uid="{9D54C65E-3130-4453-A143-ACB249E47AB8}"/>
    <hyperlink ref="I94:M94" r:id="rId5" display="V. Ramasamy, D. Feldman, J. Desai, and R. Margolis. 2022. U.S. Solar Photovoltaic System and Energy Storage Cost Benchmark: Q1 2022. Golden, CO: National Renewable Energy Laboratory" xr:uid="{17E430D5-A9CB-43AF-AE95-279088818798}"/>
    <hyperlink ref="I100:M100" r:id="rId6" display="Battery Storage cost values from C. Augustine and N. Blair, “Energy Storage Futures Study Storage Technology Modeling Input Data Report,” NREL/TP-5700-78694. Golden, CO: National Renewable Energy Laboratory. 2021 " xr:uid="{AEBE1DCC-4A7C-4F18-88F7-72B4C10976A2}"/>
    <hyperlink ref="I102:M102" r:id="rId7" display="Battery Storage cost values from C. Augustine and N. Blair, “Energy Storage Futures Study Storage Technology Modeling Input Data Report,” NREL/TP-5700-78694. Golden, CO: National Renewable Energy Laboratory. 2021 " xr:uid="{8996BC2F-647C-4E66-A616-C7617ED697C9}"/>
  </hyperlinks>
  <pageMargins left="0.7" right="0.7" top="0.75" bottom="0.75" header="0.3" footer="0.3"/>
  <pageSetup orientation="portrait" r:id="rId8"/>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89CB1-C708-4463-8BB9-3775900E1F0A}">
  <sheetPr codeName="Sheet47">
    <tabColor theme="5" tint="0.39997558519241921"/>
  </sheetPr>
  <dimension ref="A1:D317"/>
  <sheetViews>
    <sheetView workbookViewId="0">
      <pane xSplit="1" ySplit="11" topLeftCell="B12" activePane="bottomRight" state="frozen"/>
      <selection pane="topRight"/>
      <selection pane="bottomLeft"/>
      <selection pane="bottomRight"/>
    </sheetView>
  </sheetViews>
  <sheetFormatPr defaultColWidth="20.7109375" defaultRowHeight="12.75" x14ac:dyDescent="0.2"/>
  <cols>
    <col min="1" max="3" width="20.7109375" style="48" customWidth="1"/>
    <col min="4" max="4" width="24.140625" style="48" bestFit="1" customWidth="1"/>
    <col min="5" max="5" width="20.7109375" style="48" customWidth="1"/>
    <col min="6" max="16384" width="20.7109375" style="48"/>
  </cols>
  <sheetData>
    <row r="1" spans="1:2" x14ac:dyDescent="0.2">
      <c r="A1" s="48" t="s">
        <v>307</v>
      </c>
    </row>
    <row r="2" spans="1:2" x14ac:dyDescent="0.2">
      <c r="A2" s="48" t="s">
        <v>306</v>
      </c>
    </row>
    <row r="3" spans="1:2" x14ac:dyDescent="0.2">
      <c r="A3" s="48" t="s">
        <v>305</v>
      </c>
    </row>
    <row r="4" spans="1:2" x14ac:dyDescent="0.2">
      <c r="A4" s="48" t="s">
        <v>304</v>
      </c>
    </row>
    <row r="5" spans="1:2" x14ac:dyDescent="0.2">
      <c r="A5" s="48" t="s">
        <v>303</v>
      </c>
    </row>
    <row r="6" spans="1:2" x14ac:dyDescent="0.2">
      <c r="A6" s="48" t="s">
        <v>302</v>
      </c>
    </row>
    <row r="8" spans="1:2" x14ac:dyDescent="0.2">
      <c r="A8" s="48" t="s">
        <v>298</v>
      </c>
      <c r="B8" s="48" t="s">
        <v>301</v>
      </c>
    </row>
    <row r="10" spans="1:2" x14ac:dyDescent="0.2">
      <c r="A10" s="48" t="s">
        <v>300</v>
      </c>
    </row>
    <row r="11" spans="1:2" x14ac:dyDescent="0.2">
      <c r="A11" s="48" t="s">
        <v>299</v>
      </c>
      <c r="B11" s="48" t="s">
        <v>298</v>
      </c>
    </row>
    <row r="12" spans="1:2" x14ac:dyDescent="0.2">
      <c r="A12" s="321">
        <v>17168</v>
      </c>
      <c r="B12" s="322">
        <v>11.141</v>
      </c>
    </row>
    <row r="13" spans="1:2" x14ac:dyDescent="0.2">
      <c r="A13" s="321">
        <v>17258</v>
      </c>
      <c r="B13" s="322">
        <v>11.298999999999999</v>
      </c>
    </row>
    <row r="14" spans="1:2" x14ac:dyDescent="0.2">
      <c r="A14" s="321">
        <v>17349</v>
      </c>
      <c r="B14" s="322">
        <v>11.489000000000001</v>
      </c>
    </row>
    <row r="15" spans="1:2" x14ac:dyDescent="0.2">
      <c r="A15" s="321">
        <v>17441</v>
      </c>
      <c r="B15" s="322">
        <v>11.772</v>
      </c>
    </row>
    <row r="16" spans="1:2" x14ac:dyDescent="0.2">
      <c r="A16" s="321">
        <v>17533</v>
      </c>
      <c r="B16" s="322">
        <v>11.865</v>
      </c>
    </row>
    <row r="17" spans="1:2" x14ac:dyDescent="0.2">
      <c r="A17" s="321">
        <v>17624</v>
      </c>
      <c r="B17" s="322">
        <v>11.972</v>
      </c>
    </row>
    <row r="18" spans="1:2" x14ac:dyDescent="0.2">
      <c r="A18" s="321">
        <v>17715</v>
      </c>
      <c r="B18" s="322">
        <v>12.193</v>
      </c>
    </row>
    <row r="19" spans="1:2" x14ac:dyDescent="0.2">
      <c r="A19" s="321">
        <v>17807</v>
      </c>
      <c r="B19" s="322">
        <v>12.23</v>
      </c>
    </row>
    <row r="20" spans="1:2" x14ac:dyDescent="0.2">
      <c r="A20" s="321">
        <v>17899</v>
      </c>
      <c r="B20" s="322">
        <v>12.164999999999999</v>
      </c>
    </row>
    <row r="21" spans="1:2" x14ac:dyDescent="0.2">
      <c r="A21" s="321">
        <v>17989</v>
      </c>
      <c r="B21" s="322">
        <v>12.042999999999999</v>
      </c>
    </row>
    <row r="22" spans="1:2" x14ac:dyDescent="0.2">
      <c r="A22" s="321">
        <v>18080</v>
      </c>
      <c r="B22" s="322">
        <v>11.988</v>
      </c>
    </row>
    <row r="23" spans="1:2" x14ac:dyDescent="0.2">
      <c r="A23" s="321">
        <v>18172</v>
      </c>
      <c r="B23" s="322">
        <v>11.989000000000001</v>
      </c>
    </row>
    <row r="24" spans="1:2" x14ac:dyDescent="0.2">
      <c r="A24" s="321">
        <v>18264</v>
      </c>
      <c r="B24" s="322">
        <v>11.97</v>
      </c>
    </row>
    <row r="25" spans="1:2" x14ac:dyDescent="0.2">
      <c r="A25" s="321">
        <v>18354</v>
      </c>
      <c r="B25" s="322">
        <v>12.010999999999999</v>
      </c>
    </row>
    <row r="26" spans="1:2" x14ac:dyDescent="0.2">
      <c r="A26" s="321">
        <v>18445</v>
      </c>
      <c r="B26" s="322">
        <v>12.272</v>
      </c>
    </row>
    <row r="27" spans="1:2" x14ac:dyDescent="0.2">
      <c r="A27" s="321">
        <v>18537</v>
      </c>
      <c r="B27" s="322">
        <v>12.502000000000001</v>
      </c>
    </row>
    <row r="28" spans="1:2" x14ac:dyDescent="0.2">
      <c r="A28" s="321">
        <v>18629</v>
      </c>
      <c r="B28" s="322">
        <v>12.952999999999999</v>
      </c>
    </row>
    <row r="29" spans="1:2" x14ac:dyDescent="0.2">
      <c r="A29" s="321">
        <v>18719</v>
      </c>
      <c r="B29" s="322">
        <v>13.039</v>
      </c>
    </row>
    <row r="30" spans="1:2" x14ac:dyDescent="0.2">
      <c r="A30" s="321">
        <v>18810</v>
      </c>
      <c r="B30" s="322">
        <v>13.047000000000001</v>
      </c>
    </row>
    <row r="31" spans="1:2" x14ac:dyDescent="0.2">
      <c r="A31" s="321">
        <v>18902</v>
      </c>
      <c r="B31" s="322">
        <v>13.196</v>
      </c>
    </row>
    <row r="32" spans="1:2" x14ac:dyDescent="0.2">
      <c r="A32" s="321">
        <v>18994</v>
      </c>
      <c r="B32" s="322">
        <v>13.19</v>
      </c>
    </row>
    <row r="33" spans="1:2" x14ac:dyDescent="0.2">
      <c r="A33" s="321">
        <v>19085</v>
      </c>
      <c r="B33" s="322">
        <v>13.206</v>
      </c>
    </row>
    <row r="34" spans="1:2" x14ac:dyDescent="0.2">
      <c r="A34" s="321">
        <v>19176</v>
      </c>
      <c r="B34" s="322">
        <v>13.353999999999999</v>
      </c>
    </row>
    <row r="35" spans="1:2" x14ac:dyDescent="0.2">
      <c r="A35" s="321">
        <v>19268</v>
      </c>
      <c r="B35" s="322">
        <v>13.39</v>
      </c>
    </row>
    <row r="36" spans="1:2" x14ac:dyDescent="0.2">
      <c r="A36" s="321">
        <v>19360</v>
      </c>
      <c r="B36" s="322">
        <v>13.393000000000001</v>
      </c>
    </row>
    <row r="37" spans="1:2" x14ac:dyDescent="0.2">
      <c r="A37" s="321">
        <v>19450</v>
      </c>
      <c r="B37" s="322">
        <v>13.42</v>
      </c>
    </row>
    <row r="38" spans="1:2" x14ac:dyDescent="0.2">
      <c r="A38" s="321">
        <v>19541</v>
      </c>
      <c r="B38" s="322">
        <v>13.476000000000001</v>
      </c>
    </row>
    <row r="39" spans="1:2" x14ac:dyDescent="0.2">
      <c r="A39" s="321">
        <v>19633</v>
      </c>
      <c r="B39" s="322">
        <v>13.500999999999999</v>
      </c>
    </row>
    <row r="40" spans="1:2" x14ac:dyDescent="0.2">
      <c r="A40" s="321">
        <v>19725</v>
      </c>
      <c r="B40" s="322">
        <v>13.544</v>
      </c>
    </row>
    <row r="41" spans="1:2" x14ac:dyDescent="0.2">
      <c r="A41" s="321">
        <v>19815</v>
      </c>
      <c r="B41" s="322">
        <v>13.555999999999999</v>
      </c>
    </row>
    <row r="42" spans="1:2" x14ac:dyDescent="0.2">
      <c r="A42" s="321">
        <v>19906</v>
      </c>
      <c r="B42" s="322">
        <v>13.574</v>
      </c>
    </row>
    <row r="43" spans="1:2" x14ac:dyDescent="0.2">
      <c r="A43" s="321">
        <v>19998</v>
      </c>
      <c r="B43" s="322">
        <v>13.611000000000001</v>
      </c>
    </row>
    <row r="44" spans="1:2" x14ac:dyDescent="0.2">
      <c r="A44" s="321">
        <v>20090</v>
      </c>
      <c r="B44" s="322">
        <v>13.675000000000001</v>
      </c>
    </row>
    <row r="45" spans="1:2" x14ac:dyDescent="0.2">
      <c r="A45" s="321">
        <v>20180</v>
      </c>
      <c r="B45" s="322">
        <v>13.731</v>
      </c>
    </row>
    <row r="46" spans="1:2" x14ac:dyDescent="0.2">
      <c r="A46" s="321">
        <v>20271</v>
      </c>
      <c r="B46" s="322">
        <v>13.827</v>
      </c>
    </row>
    <row r="47" spans="1:2" x14ac:dyDescent="0.2">
      <c r="A47" s="321">
        <v>20363</v>
      </c>
      <c r="B47" s="322">
        <v>13.964</v>
      </c>
    </row>
    <row r="48" spans="1:2" x14ac:dyDescent="0.2">
      <c r="A48" s="321">
        <v>20455</v>
      </c>
      <c r="B48" s="322">
        <v>14.103999999999999</v>
      </c>
    </row>
    <row r="49" spans="1:2" x14ac:dyDescent="0.2">
      <c r="A49" s="321">
        <v>20546</v>
      </c>
      <c r="B49" s="322">
        <v>14.186999999999999</v>
      </c>
    </row>
    <row r="50" spans="1:2" x14ac:dyDescent="0.2">
      <c r="A50" s="321">
        <v>20637</v>
      </c>
      <c r="B50" s="322">
        <v>14.365</v>
      </c>
    </row>
    <row r="51" spans="1:2" x14ac:dyDescent="0.2">
      <c r="A51" s="321">
        <v>20729</v>
      </c>
      <c r="B51" s="322">
        <v>14.423</v>
      </c>
    </row>
    <row r="52" spans="1:2" x14ac:dyDescent="0.2">
      <c r="A52" s="321">
        <v>20821</v>
      </c>
      <c r="B52" s="322">
        <v>14.621</v>
      </c>
    </row>
    <row r="53" spans="1:2" x14ac:dyDescent="0.2">
      <c r="A53" s="321">
        <v>20911</v>
      </c>
      <c r="B53" s="322">
        <v>14.723000000000001</v>
      </c>
    </row>
    <row r="54" spans="1:2" x14ac:dyDescent="0.2">
      <c r="A54" s="321">
        <v>21002</v>
      </c>
      <c r="B54" s="322">
        <v>14.811</v>
      </c>
    </row>
    <row r="55" spans="1:2" x14ac:dyDescent="0.2">
      <c r="A55" s="321">
        <v>21094</v>
      </c>
      <c r="B55" s="322">
        <v>14.821</v>
      </c>
    </row>
    <row r="56" spans="1:2" x14ac:dyDescent="0.2">
      <c r="A56" s="321">
        <v>21186</v>
      </c>
      <c r="B56" s="322">
        <v>14.981999999999999</v>
      </c>
    </row>
    <row r="57" spans="1:2" x14ac:dyDescent="0.2">
      <c r="A57" s="321">
        <v>21276</v>
      </c>
      <c r="B57" s="322">
        <v>15.025</v>
      </c>
    </row>
    <row r="58" spans="1:2" x14ac:dyDescent="0.2">
      <c r="A58" s="321">
        <v>21367</v>
      </c>
      <c r="B58" s="322">
        <v>15.117000000000001</v>
      </c>
    </row>
    <row r="59" spans="1:2" x14ac:dyDescent="0.2">
      <c r="A59" s="321">
        <v>21459</v>
      </c>
      <c r="B59" s="322">
        <v>15.189</v>
      </c>
    </row>
    <row r="60" spans="1:2" x14ac:dyDescent="0.2">
      <c r="A60" s="321">
        <v>21551</v>
      </c>
      <c r="B60" s="322">
        <v>15.224</v>
      </c>
    </row>
    <row r="61" spans="1:2" x14ac:dyDescent="0.2">
      <c r="A61" s="321">
        <v>21641</v>
      </c>
      <c r="B61" s="322">
        <v>15.247999999999999</v>
      </c>
    </row>
    <row r="62" spans="1:2" x14ac:dyDescent="0.2">
      <c r="A62" s="321">
        <v>21732</v>
      </c>
      <c r="B62" s="322">
        <v>15.307</v>
      </c>
    </row>
    <row r="63" spans="1:2" x14ac:dyDescent="0.2">
      <c r="A63" s="321">
        <v>21824</v>
      </c>
      <c r="B63" s="322">
        <v>15.367000000000001</v>
      </c>
    </row>
    <row r="64" spans="1:2" x14ac:dyDescent="0.2">
      <c r="A64" s="321">
        <v>21916</v>
      </c>
      <c r="B64" s="322">
        <v>15.428000000000001</v>
      </c>
    </row>
    <row r="65" spans="1:2" x14ac:dyDescent="0.2">
      <c r="A65" s="321">
        <v>22007</v>
      </c>
      <c r="B65" s="322">
        <v>15.467000000000001</v>
      </c>
    </row>
    <row r="66" spans="1:2" x14ac:dyDescent="0.2">
      <c r="A66" s="321">
        <v>22098</v>
      </c>
      <c r="B66" s="322">
        <v>15.52</v>
      </c>
    </row>
    <row r="67" spans="1:2" x14ac:dyDescent="0.2">
      <c r="A67" s="321">
        <v>22190</v>
      </c>
      <c r="B67" s="322">
        <v>15.566000000000001</v>
      </c>
    </row>
    <row r="68" spans="1:2" x14ac:dyDescent="0.2">
      <c r="A68" s="321">
        <v>22282</v>
      </c>
      <c r="B68" s="322">
        <v>15.6</v>
      </c>
    </row>
    <row r="69" spans="1:2" x14ac:dyDescent="0.2">
      <c r="A69" s="321">
        <v>22372</v>
      </c>
      <c r="B69" s="322">
        <v>15.635999999999999</v>
      </c>
    </row>
    <row r="70" spans="1:2" x14ac:dyDescent="0.2">
      <c r="A70" s="321">
        <v>22463</v>
      </c>
      <c r="B70" s="322">
        <v>15.676</v>
      </c>
    </row>
    <row r="71" spans="1:2" x14ac:dyDescent="0.2">
      <c r="A71" s="321">
        <v>22555</v>
      </c>
      <c r="B71" s="322">
        <v>15.725</v>
      </c>
    </row>
    <row r="72" spans="1:2" x14ac:dyDescent="0.2">
      <c r="A72" s="321">
        <v>22647</v>
      </c>
      <c r="B72" s="322">
        <v>15.805999999999999</v>
      </c>
    </row>
    <row r="73" spans="1:2" x14ac:dyDescent="0.2">
      <c r="A73" s="321">
        <v>22737</v>
      </c>
      <c r="B73" s="322">
        <v>15.832000000000001</v>
      </c>
    </row>
    <row r="74" spans="1:2" x14ac:dyDescent="0.2">
      <c r="A74" s="321">
        <v>22828</v>
      </c>
      <c r="B74" s="322">
        <v>15.865</v>
      </c>
    </row>
    <row r="75" spans="1:2" x14ac:dyDescent="0.2">
      <c r="A75" s="321">
        <v>22920</v>
      </c>
      <c r="B75" s="322">
        <v>15.898</v>
      </c>
    </row>
    <row r="76" spans="1:2" x14ac:dyDescent="0.2">
      <c r="A76" s="321">
        <v>23012</v>
      </c>
      <c r="B76" s="322">
        <v>15.967000000000001</v>
      </c>
    </row>
    <row r="77" spans="1:2" x14ac:dyDescent="0.2">
      <c r="A77" s="321">
        <v>23102</v>
      </c>
      <c r="B77" s="322">
        <v>15.994999999999999</v>
      </c>
    </row>
    <row r="78" spans="1:2" x14ac:dyDescent="0.2">
      <c r="A78" s="321">
        <v>23193</v>
      </c>
      <c r="B78" s="322">
        <v>16.015999999999998</v>
      </c>
    </row>
    <row r="79" spans="1:2" x14ac:dyDescent="0.2">
      <c r="A79" s="321">
        <v>23285</v>
      </c>
      <c r="B79" s="322">
        <v>16.146000000000001</v>
      </c>
    </row>
    <row r="80" spans="1:2" x14ac:dyDescent="0.2">
      <c r="A80" s="321">
        <v>23377</v>
      </c>
      <c r="B80" s="322">
        <v>16.196999999999999</v>
      </c>
    </row>
    <row r="81" spans="1:2" x14ac:dyDescent="0.2">
      <c r="A81" s="321">
        <v>23468</v>
      </c>
      <c r="B81" s="322">
        <v>16.234000000000002</v>
      </c>
    </row>
    <row r="82" spans="1:2" x14ac:dyDescent="0.2">
      <c r="A82" s="321">
        <v>23559</v>
      </c>
      <c r="B82" s="322">
        <v>16.298999999999999</v>
      </c>
    </row>
    <row r="83" spans="1:2" x14ac:dyDescent="0.2">
      <c r="A83" s="321">
        <v>23651</v>
      </c>
      <c r="B83" s="322">
        <v>16.373000000000001</v>
      </c>
    </row>
    <row r="84" spans="1:2" x14ac:dyDescent="0.2">
      <c r="A84" s="321">
        <v>23743</v>
      </c>
      <c r="B84" s="322">
        <v>16.454999999999998</v>
      </c>
    </row>
    <row r="85" spans="1:2" x14ac:dyDescent="0.2">
      <c r="A85" s="321">
        <v>23833</v>
      </c>
      <c r="B85" s="322">
        <v>16.530999999999999</v>
      </c>
    </row>
    <row r="86" spans="1:2" x14ac:dyDescent="0.2">
      <c r="A86" s="321">
        <v>23924</v>
      </c>
      <c r="B86" s="322">
        <v>16.594999999999999</v>
      </c>
    </row>
    <row r="87" spans="1:2" x14ac:dyDescent="0.2">
      <c r="A87" s="321">
        <v>24016</v>
      </c>
      <c r="B87" s="322">
        <v>16.709</v>
      </c>
    </row>
    <row r="88" spans="1:2" x14ac:dyDescent="0.2">
      <c r="A88" s="321">
        <v>24108</v>
      </c>
      <c r="B88" s="322">
        <v>16.815999999999999</v>
      </c>
    </row>
    <row r="89" spans="1:2" x14ac:dyDescent="0.2">
      <c r="A89" s="321">
        <v>24198</v>
      </c>
      <c r="B89" s="322">
        <v>16.954000000000001</v>
      </c>
    </row>
    <row r="90" spans="1:2" x14ac:dyDescent="0.2">
      <c r="A90" s="321">
        <v>24289</v>
      </c>
      <c r="B90" s="322">
        <v>17.117999999999999</v>
      </c>
    </row>
    <row r="91" spans="1:2" x14ac:dyDescent="0.2">
      <c r="A91" s="321">
        <v>24381</v>
      </c>
      <c r="B91" s="322">
        <v>17.260999999999999</v>
      </c>
    </row>
    <row r="92" spans="1:2" x14ac:dyDescent="0.2">
      <c r="A92" s="321">
        <v>24473</v>
      </c>
      <c r="B92" s="322">
        <v>17.332999999999998</v>
      </c>
    </row>
    <row r="93" spans="1:2" x14ac:dyDescent="0.2">
      <c r="A93" s="321">
        <v>24563</v>
      </c>
      <c r="B93" s="322">
        <v>17.420999999999999</v>
      </c>
    </row>
    <row r="94" spans="1:2" x14ac:dyDescent="0.2">
      <c r="A94" s="321">
        <v>24654</v>
      </c>
      <c r="B94" s="322">
        <v>17.588000000000001</v>
      </c>
    </row>
    <row r="95" spans="1:2" x14ac:dyDescent="0.2">
      <c r="A95" s="321">
        <v>24746</v>
      </c>
      <c r="B95" s="322">
        <v>17.783999999999999</v>
      </c>
    </row>
    <row r="96" spans="1:2" x14ac:dyDescent="0.2">
      <c r="A96" s="321">
        <v>24838</v>
      </c>
      <c r="B96" s="322">
        <v>17.981000000000002</v>
      </c>
    </row>
    <row r="97" spans="1:2" x14ac:dyDescent="0.2">
      <c r="A97" s="321">
        <v>24929</v>
      </c>
      <c r="B97" s="322">
        <v>18.170999999999999</v>
      </c>
    </row>
    <row r="98" spans="1:2" x14ac:dyDescent="0.2">
      <c r="A98" s="321">
        <v>25020</v>
      </c>
      <c r="B98" s="322">
        <v>18.349</v>
      </c>
    </row>
    <row r="99" spans="1:2" x14ac:dyDescent="0.2">
      <c r="A99" s="321">
        <v>25112</v>
      </c>
      <c r="B99" s="322">
        <v>18.608000000000001</v>
      </c>
    </row>
    <row r="100" spans="1:2" x14ac:dyDescent="0.2">
      <c r="A100" s="321">
        <v>25204</v>
      </c>
      <c r="B100" s="322">
        <v>18.8</v>
      </c>
    </row>
    <row r="101" spans="1:2" x14ac:dyDescent="0.2">
      <c r="A101" s="321">
        <v>25294</v>
      </c>
      <c r="B101" s="322">
        <v>19.039000000000001</v>
      </c>
    </row>
    <row r="102" spans="1:2" x14ac:dyDescent="0.2">
      <c r="A102" s="321">
        <v>25385</v>
      </c>
      <c r="B102" s="322">
        <v>19.306999999999999</v>
      </c>
    </row>
    <row r="103" spans="1:2" x14ac:dyDescent="0.2">
      <c r="A103" s="321">
        <v>25477</v>
      </c>
      <c r="B103" s="322">
        <v>19.556000000000001</v>
      </c>
    </row>
    <row r="104" spans="1:2" x14ac:dyDescent="0.2">
      <c r="A104" s="321">
        <v>25569</v>
      </c>
      <c r="B104" s="322">
        <v>19.832000000000001</v>
      </c>
    </row>
    <row r="105" spans="1:2" x14ac:dyDescent="0.2">
      <c r="A105" s="321">
        <v>25659</v>
      </c>
      <c r="B105" s="322">
        <v>20.108000000000001</v>
      </c>
    </row>
    <row r="106" spans="1:2" x14ac:dyDescent="0.2">
      <c r="A106" s="321">
        <v>25750</v>
      </c>
      <c r="B106" s="322">
        <v>20.273</v>
      </c>
    </row>
    <row r="107" spans="1:2" x14ac:dyDescent="0.2">
      <c r="A107" s="321">
        <v>25842</v>
      </c>
      <c r="B107" s="322">
        <v>20.541</v>
      </c>
    </row>
    <row r="108" spans="1:2" x14ac:dyDescent="0.2">
      <c r="A108" s="321">
        <v>25934</v>
      </c>
      <c r="B108" s="322">
        <v>20.853000000000002</v>
      </c>
    </row>
    <row r="109" spans="1:2" x14ac:dyDescent="0.2">
      <c r="A109" s="321">
        <v>26024</v>
      </c>
      <c r="B109" s="322">
        <v>21.126999999999999</v>
      </c>
    </row>
    <row r="110" spans="1:2" x14ac:dyDescent="0.2">
      <c r="A110" s="321">
        <v>26115</v>
      </c>
      <c r="B110" s="322">
        <v>21.341999999999999</v>
      </c>
    </row>
    <row r="111" spans="1:2" x14ac:dyDescent="0.2">
      <c r="A111" s="321">
        <v>26207</v>
      </c>
      <c r="B111" s="322">
        <v>21.52</v>
      </c>
    </row>
    <row r="112" spans="1:2" x14ac:dyDescent="0.2">
      <c r="A112" s="321">
        <v>26299</v>
      </c>
      <c r="B112" s="322">
        <v>21.847999999999999</v>
      </c>
    </row>
    <row r="113" spans="1:2" x14ac:dyDescent="0.2">
      <c r="A113" s="321">
        <v>26390</v>
      </c>
      <c r="B113" s="322">
        <v>21.984000000000002</v>
      </c>
    </row>
    <row r="114" spans="1:2" x14ac:dyDescent="0.2">
      <c r="A114" s="321">
        <v>26481</v>
      </c>
      <c r="B114" s="322">
        <v>22.193999999999999</v>
      </c>
    </row>
    <row r="115" spans="1:2" x14ac:dyDescent="0.2">
      <c r="A115" s="321">
        <v>26573</v>
      </c>
      <c r="B115" s="322">
        <v>22.477</v>
      </c>
    </row>
    <row r="116" spans="1:2" x14ac:dyDescent="0.2">
      <c r="A116" s="321">
        <v>26665</v>
      </c>
      <c r="B116" s="322">
        <v>22.736000000000001</v>
      </c>
    </row>
    <row r="117" spans="1:2" x14ac:dyDescent="0.2">
      <c r="A117" s="321">
        <v>26755</v>
      </c>
      <c r="B117" s="322">
        <v>23.085999999999999</v>
      </c>
    </row>
    <row r="118" spans="1:2" x14ac:dyDescent="0.2">
      <c r="A118" s="321">
        <v>26846</v>
      </c>
      <c r="B118" s="322">
        <v>23.535</v>
      </c>
    </row>
    <row r="119" spans="1:2" x14ac:dyDescent="0.2">
      <c r="A119" s="321">
        <v>26938</v>
      </c>
      <c r="B119" s="322">
        <v>24.004000000000001</v>
      </c>
    </row>
    <row r="120" spans="1:2" x14ac:dyDescent="0.2">
      <c r="A120" s="321">
        <v>27030</v>
      </c>
      <c r="B120" s="322">
        <v>24.457000000000001</v>
      </c>
    </row>
    <row r="121" spans="1:2" x14ac:dyDescent="0.2">
      <c r="A121" s="321">
        <v>27120</v>
      </c>
      <c r="B121" s="322">
        <v>25.035</v>
      </c>
    </row>
    <row r="122" spans="1:2" x14ac:dyDescent="0.2">
      <c r="A122" s="321">
        <v>27211</v>
      </c>
      <c r="B122" s="322">
        <v>25.768999999999998</v>
      </c>
    </row>
    <row r="123" spans="1:2" x14ac:dyDescent="0.2">
      <c r="A123" s="321">
        <v>27303</v>
      </c>
      <c r="B123" s="322">
        <v>26.527000000000001</v>
      </c>
    </row>
    <row r="124" spans="1:2" x14ac:dyDescent="0.2">
      <c r="A124" s="321">
        <v>27395</v>
      </c>
      <c r="B124" s="322">
        <v>27.13</v>
      </c>
    </row>
    <row r="125" spans="1:2" x14ac:dyDescent="0.2">
      <c r="A125" s="321">
        <v>27485</v>
      </c>
      <c r="B125" s="322">
        <v>27.533000000000001</v>
      </c>
    </row>
    <row r="126" spans="1:2" x14ac:dyDescent="0.2">
      <c r="A126" s="321">
        <v>27576</v>
      </c>
      <c r="B126" s="322">
        <v>28.018999999999998</v>
      </c>
    </row>
    <row r="127" spans="1:2" x14ac:dyDescent="0.2">
      <c r="A127" s="321">
        <v>27668</v>
      </c>
      <c r="B127" s="322">
        <v>28.488</v>
      </c>
    </row>
    <row r="128" spans="1:2" x14ac:dyDescent="0.2">
      <c r="A128" s="321">
        <v>27760</v>
      </c>
      <c r="B128" s="322">
        <v>28.789000000000001</v>
      </c>
    </row>
    <row r="129" spans="1:2" x14ac:dyDescent="0.2">
      <c r="A129" s="321">
        <v>27851</v>
      </c>
      <c r="B129" s="322">
        <v>29.079000000000001</v>
      </c>
    </row>
    <row r="130" spans="1:2" x14ac:dyDescent="0.2">
      <c r="A130" s="321">
        <v>27942</v>
      </c>
      <c r="B130" s="322">
        <v>29.454999999999998</v>
      </c>
    </row>
    <row r="131" spans="1:2" x14ac:dyDescent="0.2">
      <c r="A131" s="321">
        <v>28034</v>
      </c>
      <c r="B131" s="322">
        <v>29.983000000000001</v>
      </c>
    </row>
    <row r="132" spans="1:2" x14ac:dyDescent="0.2">
      <c r="A132" s="321">
        <v>28126</v>
      </c>
      <c r="B132" s="322">
        <v>30.465</v>
      </c>
    </row>
    <row r="133" spans="1:2" x14ac:dyDescent="0.2">
      <c r="A133" s="321">
        <v>28216</v>
      </c>
      <c r="B133" s="322">
        <v>30.895</v>
      </c>
    </row>
    <row r="134" spans="1:2" x14ac:dyDescent="0.2">
      <c r="A134" s="321">
        <v>28307</v>
      </c>
      <c r="B134" s="322">
        <v>31.271000000000001</v>
      </c>
    </row>
    <row r="135" spans="1:2" x14ac:dyDescent="0.2">
      <c r="A135" s="321">
        <v>28399</v>
      </c>
      <c r="B135" s="322">
        <v>31.946999999999999</v>
      </c>
    </row>
    <row r="136" spans="1:2" x14ac:dyDescent="0.2">
      <c r="A136" s="321">
        <v>28491</v>
      </c>
      <c r="B136" s="322">
        <v>32.411000000000001</v>
      </c>
    </row>
    <row r="137" spans="1:2" x14ac:dyDescent="0.2">
      <c r="A137" s="321">
        <v>28581</v>
      </c>
      <c r="B137" s="322">
        <v>33.030999999999999</v>
      </c>
    </row>
    <row r="138" spans="1:2" x14ac:dyDescent="0.2">
      <c r="A138" s="321">
        <v>28672</v>
      </c>
      <c r="B138" s="322">
        <v>33.591999999999999</v>
      </c>
    </row>
    <row r="139" spans="1:2" x14ac:dyDescent="0.2">
      <c r="A139" s="321">
        <v>28764</v>
      </c>
      <c r="B139" s="322">
        <v>34.279000000000003</v>
      </c>
    </row>
    <row r="140" spans="1:2" x14ac:dyDescent="0.2">
      <c r="A140" s="321">
        <v>28856</v>
      </c>
      <c r="B140" s="322">
        <v>34.904000000000003</v>
      </c>
    </row>
    <row r="141" spans="1:2" x14ac:dyDescent="0.2">
      <c r="A141" s="321">
        <v>28946</v>
      </c>
      <c r="B141" s="322">
        <v>35.759</v>
      </c>
    </row>
    <row r="142" spans="1:2" x14ac:dyDescent="0.2">
      <c r="A142" s="321">
        <v>29037</v>
      </c>
      <c r="B142" s="322">
        <v>36.540999999999997</v>
      </c>
    </row>
    <row r="143" spans="1:2" x14ac:dyDescent="0.2">
      <c r="A143" s="321">
        <v>29129</v>
      </c>
      <c r="B143" s="322">
        <v>37.219000000000001</v>
      </c>
    </row>
    <row r="144" spans="1:2" x14ac:dyDescent="0.2">
      <c r="A144" s="321">
        <v>29221</v>
      </c>
      <c r="B144" s="322">
        <v>38.000999999999998</v>
      </c>
    </row>
    <row r="145" spans="1:2" x14ac:dyDescent="0.2">
      <c r="A145" s="321">
        <v>29312</v>
      </c>
      <c r="B145" s="322">
        <v>38.905000000000001</v>
      </c>
    </row>
    <row r="146" spans="1:2" x14ac:dyDescent="0.2">
      <c r="A146" s="321">
        <v>29403</v>
      </c>
      <c r="B146" s="322">
        <v>39.774000000000001</v>
      </c>
    </row>
    <row r="147" spans="1:2" x14ac:dyDescent="0.2">
      <c r="A147" s="321">
        <v>29495</v>
      </c>
      <c r="B147" s="322">
        <v>40.81</v>
      </c>
    </row>
    <row r="148" spans="1:2" x14ac:dyDescent="0.2">
      <c r="A148" s="321">
        <v>29587</v>
      </c>
      <c r="B148" s="322">
        <v>41.884999999999998</v>
      </c>
    </row>
    <row r="149" spans="1:2" x14ac:dyDescent="0.2">
      <c r="A149" s="321">
        <v>29677</v>
      </c>
      <c r="B149" s="322">
        <v>42.715000000000003</v>
      </c>
    </row>
    <row r="150" spans="1:2" x14ac:dyDescent="0.2">
      <c r="A150" s="321">
        <v>29768</v>
      </c>
      <c r="B150" s="322">
        <v>43.518999999999998</v>
      </c>
    </row>
    <row r="151" spans="1:2" x14ac:dyDescent="0.2">
      <c r="A151" s="321">
        <v>29860</v>
      </c>
      <c r="B151" s="322">
        <v>44.271000000000001</v>
      </c>
    </row>
    <row r="152" spans="1:2" x14ac:dyDescent="0.2">
      <c r="A152" s="321">
        <v>29952</v>
      </c>
      <c r="B152" s="322">
        <v>44.88</v>
      </c>
    </row>
    <row r="153" spans="1:2" x14ac:dyDescent="0.2">
      <c r="A153" s="321">
        <v>30042</v>
      </c>
      <c r="B153" s="322">
        <v>45.463000000000001</v>
      </c>
    </row>
    <row r="154" spans="1:2" x14ac:dyDescent="0.2">
      <c r="A154" s="321">
        <v>30133</v>
      </c>
      <c r="B154" s="322">
        <v>46.107999999999997</v>
      </c>
    </row>
    <row r="155" spans="1:2" x14ac:dyDescent="0.2">
      <c r="A155" s="321">
        <v>30225</v>
      </c>
      <c r="B155" s="322">
        <v>46.585999999999999</v>
      </c>
    </row>
    <row r="156" spans="1:2" x14ac:dyDescent="0.2">
      <c r="A156" s="321">
        <v>30317</v>
      </c>
      <c r="B156" s="322">
        <v>46.938000000000002</v>
      </c>
    </row>
    <row r="157" spans="1:2" x14ac:dyDescent="0.2">
      <c r="A157" s="321">
        <v>30407</v>
      </c>
      <c r="B157" s="322">
        <v>47.286000000000001</v>
      </c>
    </row>
    <row r="158" spans="1:2" x14ac:dyDescent="0.2">
      <c r="A158" s="321">
        <v>30498</v>
      </c>
      <c r="B158" s="322">
        <v>47.789000000000001</v>
      </c>
    </row>
    <row r="159" spans="1:2" x14ac:dyDescent="0.2">
      <c r="A159" s="321">
        <v>30590</v>
      </c>
      <c r="B159" s="322">
        <v>48.151000000000003</v>
      </c>
    </row>
    <row r="160" spans="1:2" x14ac:dyDescent="0.2">
      <c r="A160" s="321">
        <v>30682</v>
      </c>
      <c r="B160" s="322">
        <v>48.639000000000003</v>
      </c>
    </row>
    <row r="161" spans="1:2" x14ac:dyDescent="0.2">
      <c r="A161" s="321">
        <v>30773</v>
      </c>
      <c r="B161" s="322">
        <v>49.055</v>
      </c>
    </row>
    <row r="162" spans="1:2" x14ac:dyDescent="0.2">
      <c r="A162" s="321">
        <v>30864</v>
      </c>
      <c r="B162" s="322">
        <v>49.491</v>
      </c>
    </row>
    <row r="163" spans="1:2" x14ac:dyDescent="0.2">
      <c r="A163" s="321">
        <v>30956</v>
      </c>
      <c r="B163" s="322">
        <v>49.860999999999997</v>
      </c>
    </row>
    <row r="164" spans="1:2" x14ac:dyDescent="0.2">
      <c r="A164" s="321">
        <v>31048</v>
      </c>
      <c r="B164" s="322">
        <v>50.353999999999999</v>
      </c>
    </row>
    <row r="165" spans="1:2" x14ac:dyDescent="0.2">
      <c r="A165" s="321">
        <v>31138</v>
      </c>
      <c r="B165" s="322">
        <v>50.677999999999997</v>
      </c>
    </row>
    <row r="166" spans="1:2" x14ac:dyDescent="0.2">
      <c r="A166" s="321">
        <v>31229</v>
      </c>
      <c r="B166" s="322">
        <v>50.984000000000002</v>
      </c>
    </row>
    <row r="167" spans="1:2" x14ac:dyDescent="0.2">
      <c r="A167" s="321">
        <v>31321</v>
      </c>
      <c r="B167" s="322">
        <v>51.268999999999998</v>
      </c>
    </row>
    <row r="168" spans="1:2" x14ac:dyDescent="0.2">
      <c r="A168" s="321">
        <v>31413</v>
      </c>
      <c r="B168" s="322">
        <v>51.524000000000001</v>
      </c>
    </row>
    <row r="169" spans="1:2" x14ac:dyDescent="0.2">
      <c r="A169" s="321">
        <v>31503</v>
      </c>
      <c r="B169" s="322">
        <v>51.719000000000001</v>
      </c>
    </row>
    <row r="170" spans="1:2" x14ac:dyDescent="0.2">
      <c r="A170" s="321">
        <v>31594</v>
      </c>
      <c r="B170" s="322">
        <v>51.930999999999997</v>
      </c>
    </row>
    <row r="171" spans="1:2" x14ac:dyDescent="0.2">
      <c r="A171" s="321">
        <v>31686</v>
      </c>
      <c r="B171" s="322">
        <v>52.213999999999999</v>
      </c>
    </row>
    <row r="172" spans="1:2" x14ac:dyDescent="0.2">
      <c r="A172" s="321">
        <v>31778</v>
      </c>
      <c r="B172" s="322">
        <v>52.548000000000002</v>
      </c>
    </row>
    <row r="173" spans="1:2" x14ac:dyDescent="0.2">
      <c r="A173" s="321">
        <v>31868</v>
      </c>
      <c r="B173" s="322">
        <v>52.911999999999999</v>
      </c>
    </row>
    <row r="174" spans="1:2" x14ac:dyDescent="0.2">
      <c r="A174" s="321">
        <v>31959</v>
      </c>
      <c r="B174" s="322">
        <v>53.313000000000002</v>
      </c>
    </row>
    <row r="175" spans="1:2" x14ac:dyDescent="0.2">
      <c r="A175" s="321">
        <v>32051</v>
      </c>
      <c r="B175" s="322">
        <v>53.738</v>
      </c>
    </row>
    <row r="176" spans="1:2" x14ac:dyDescent="0.2">
      <c r="A176" s="321">
        <v>32143</v>
      </c>
      <c r="B176" s="322">
        <v>54.158999999999999</v>
      </c>
    </row>
    <row r="177" spans="1:2" x14ac:dyDescent="0.2">
      <c r="A177" s="321">
        <v>32234</v>
      </c>
      <c r="B177" s="322">
        <v>54.686</v>
      </c>
    </row>
    <row r="178" spans="1:2" x14ac:dyDescent="0.2">
      <c r="A178" s="321">
        <v>32325</v>
      </c>
      <c r="B178" s="322">
        <v>55.34</v>
      </c>
    </row>
    <row r="179" spans="1:2" x14ac:dyDescent="0.2">
      <c r="A179" s="321">
        <v>32417</v>
      </c>
      <c r="B179" s="322">
        <v>55.817999999999998</v>
      </c>
    </row>
    <row r="180" spans="1:2" x14ac:dyDescent="0.2">
      <c r="A180" s="321">
        <v>32509</v>
      </c>
      <c r="B180" s="322">
        <v>56.4</v>
      </c>
    </row>
    <row r="181" spans="1:2" x14ac:dyDescent="0.2">
      <c r="A181" s="321">
        <v>32599</v>
      </c>
      <c r="B181" s="322">
        <v>57.000999999999998</v>
      </c>
    </row>
    <row r="182" spans="1:2" x14ac:dyDescent="0.2">
      <c r="A182" s="321">
        <v>32690</v>
      </c>
      <c r="B182" s="322">
        <v>57.417000000000002</v>
      </c>
    </row>
    <row r="183" spans="1:2" x14ac:dyDescent="0.2">
      <c r="A183" s="321">
        <v>32782</v>
      </c>
      <c r="B183" s="322">
        <v>57.826000000000001</v>
      </c>
    </row>
    <row r="184" spans="1:2" x14ac:dyDescent="0.2">
      <c r="A184" s="321">
        <v>32874</v>
      </c>
      <c r="B184" s="322">
        <v>58.45</v>
      </c>
    </row>
    <row r="185" spans="1:2" x14ac:dyDescent="0.2">
      <c r="A185" s="321">
        <v>32964</v>
      </c>
      <c r="B185" s="322">
        <v>59.104999999999997</v>
      </c>
    </row>
    <row r="186" spans="1:2" x14ac:dyDescent="0.2">
      <c r="A186" s="321">
        <v>33055</v>
      </c>
      <c r="B186" s="322">
        <v>59.610999999999997</v>
      </c>
    </row>
    <row r="187" spans="1:2" x14ac:dyDescent="0.2">
      <c r="A187" s="321">
        <v>33147</v>
      </c>
      <c r="B187" s="322">
        <v>60.055</v>
      </c>
    </row>
    <row r="188" spans="1:2" x14ac:dyDescent="0.2">
      <c r="A188" s="321">
        <v>33239</v>
      </c>
      <c r="B188" s="322">
        <v>60.643000000000001</v>
      </c>
    </row>
    <row r="189" spans="1:2" x14ac:dyDescent="0.2">
      <c r="A189" s="321">
        <v>33329</v>
      </c>
      <c r="B189" s="322">
        <v>61.088000000000001</v>
      </c>
    </row>
    <row r="190" spans="1:2" x14ac:dyDescent="0.2">
      <c r="A190" s="321">
        <v>33420</v>
      </c>
      <c r="B190" s="322">
        <v>61.566000000000003</v>
      </c>
    </row>
    <row r="191" spans="1:2" x14ac:dyDescent="0.2">
      <c r="A191" s="321">
        <v>33512</v>
      </c>
      <c r="B191" s="322">
        <v>61.930999999999997</v>
      </c>
    </row>
    <row r="192" spans="1:2" x14ac:dyDescent="0.2">
      <c r="A192" s="321">
        <v>33604</v>
      </c>
      <c r="B192" s="322">
        <v>62.161000000000001</v>
      </c>
    </row>
    <row r="193" spans="1:2" x14ac:dyDescent="0.2">
      <c r="A193" s="321">
        <v>33695</v>
      </c>
      <c r="B193" s="322">
        <v>62.534999999999997</v>
      </c>
    </row>
    <row r="194" spans="1:2" x14ac:dyDescent="0.2">
      <c r="A194" s="321">
        <v>33786</v>
      </c>
      <c r="B194" s="322">
        <v>62.841000000000001</v>
      </c>
    </row>
    <row r="195" spans="1:2" x14ac:dyDescent="0.2">
      <c r="A195" s="321">
        <v>33878</v>
      </c>
      <c r="B195" s="322">
        <v>63.273000000000003</v>
      </c>
    </row>
    <row r="196" spans="1:2" x14ac:dyDescent="0.2">
      <c r="A196" s="321">
        <v>33970</v>
      </c>
      <c r="B196" s="322">
        <v>63.628</v>
      </c>
    </row>
    <row r="197" spans="1:2" x14ac:dyDescent="0.2">
      <c r="A197" s="321">
        <v>34060</v>
      </c>
      <c r="B197" s="322">
        <v>64.007000000000005</v>
      </c>
    </row>
    <row r="198" spans="1:2" x14ac:dyDescent="0.2">
      <c r="A198" s="321">
        <v>34151</v>
      </c>
      <c r="B198" s="322">
        <v>64.387</v>
      </c>
    </row>
    <row r="199" spans="1:2" x14ac:dyDescent="0.2">
      <c r="A199" s="321">
        <v>34243</v>
      </c>
      <c r="B199" s="322">
        <v>64.738</v>
      </c>
    </row>
    <row r="200" spans="1:2" x14ac:dyDescent="0.2">
      <c r="A200" s="321">
        <v>34335</v>
      </c>
      <c r="B200" s="322">
        <v>65.048000000000002</v>
      </c>
    </row>
    <row r="201" spans="1:2" x14ac:dyDescent="0.2">
      <c r="A201" s="321">
        <v>34425</v>
      </c>
      <c r="B201" s="322">
        <v>65.361999999999995</v>
      </c>
    </row>
    <row r="202" spans="1:2" x14ac:dyDescent="0.2">
      <c r="A202" s="321">
        <v>34516</v>
      </c>
      <c r="B202" s="322">
        <v>65.736999999999995</v>
      </c>
    </row>
    <row r="203" spans="1:2" x14ac:dyDescent="0.2">
      <c r="A203" s="321">
        <v>34608</v>
      </c>
      <c r="B203" s="322">
        <v>66.093000000000004</v>
      </c>
    </row>
    <row r="204" spans="1:2" x14ac:dyDescent="0.2">
      <c r="A204" s="321">
        <v>34700</v>
      </c>
      <c r="B204" s="322">
        <v>66.451999999999998</v>
      </c>
    </row>
    <row r="205" spans="1:2" x14ac:dyDescent="0.2">
      <c r="A205" s="321">
        <v>34790</v>
      </c>
      <c r="B205" s="322">
        <v>66.771000000000001</v>
      </c>
    </row>
    <row r="206" spans="1:2" x14ac:dyDescent="0.2">
      <c r="A206" s="321">
        <v>34881</v>
      </c>
      <c r="B206" s="322">
        <v>67.099999999999994</v>
      </c>
    </row>
    <row r="207" spans="1:2" x14ac:dyDescent="0.2">
      <c r="A207" s="321">
        <v>34973</v>
      </c>
      <c r="B207" s="322">
        <v>67.423000000000002</v>
      </c>
    </row>
    <row r="208" spans="1:2" x14ac:dyDescent="0.2">
      <c r="A208" s="321">
        <v>35065</v>
      </c>
      <c r="B208" s="322">
        <v>67.747</v>
      </c>
    </row>
    <row r="209" spans="1:2" x14ac:dyDescent="0.2">
      <c r="A209" s="321">
        <v>35156</v>
      </c>
      <c r="B209" s="322">
        <v>68.028000000000006</v>
      </c>
    </row>
    <row r="210" spans="1:2" x14ac:dyDescent="0.2">
      <c r="A210" s="321">
        <v>35247</v>
      </c>
      <c r="B210" s="322">
        <v>68.251000000000005</v>
      </c>
    </row>
    <row r="211" spans="1:2" x14ac:dyDescent="0.2">
      <c r="A211" s="321">
        <v>35339</v>
      </c>
      <c r="B211" s="322">
        <v>68.614999999999995</v>
      </c>
    </row>
    <row r="212" spans="1:2" x14ac:dyDescent="0.2">
      <c r="A212" s="321">
        <v>35431</v>
      </c>
      <c r="B212" s="322">
        <v>69.025000000000006</v>
      </c>
    </row>
    <row r="213" spans="1:2" x14ac:dyDescent="0.2">
      <c r="A213" s="321">
        <v>35521</v>
      </c>
      <c r="B213" s="322">
        <v>69.162000000000006</v>
      </c>
    </row>
    <row r="214" spans="1:2" x14ac:dyDescent="0.2">
      <c r="A214" s="321">
        <v>35612</v>
      </c>
      <c r="B214" s="322">
        <v>69.463999999999999</v>
      </c>
    </row>
    <row r="215" spans="1:2" x14ac:dyDescent="0.2">
      <c r="A215" s="321">
        <v>35704</v>
      </c>
      <c r="B215" s="322">
        <v>69.694999999999993</v>
      </c>
    </row>
    <row r="216" spans="1:2" x14ac:dyDescent="0.2">
      <c r="A216" s="321">
        <v>35796</v>
      </c>
      <c r="B216" s="322">
        <v>69.793999999999997</v>
      </c>
    </row>
    <row r="217" spans="1:2" x14ac:dyDescent="0.2">
      <c r="A217" s="321">
        <v>35886</v>
      </c>
      <c r="B217" s="322">
        <v>69.959000000000003</v>
      </c>
    </row>
    <row r="218" spans="1:2" x14ac:dyDescent="0.2">
      <c r="A218" s="321">
        <v>35977</v>
      </c>
      <c r="B218" s="322">
        <v>70.254999999999995</v>
      </c>
    </row>
    <row r="219" spans="1:2" x14ac:dyDescent="0.2">
      <c r="A219" s="321">
        <v>36069</v>
      </c>
      <c r="B219" s="322">
        <v>70.453000000000003</v>
      </c>
    </row>
    <row r="220" spans="1:2" x14ac:dyDescent="0.2">
      <c r="A220" s="321">
        <v>36161</v>
      </c>
      <c r="B220" s="322">
        <v>70.682000000000002</v>
      </c>
    </row>
    <row r="221" spans="1:2" x14ac:dyDescent="0.2">
      <c r="A221" s="321">
        <v>36251</v>
      </c>
      <c r="B221" s="322">
        <v>70.948999999999998</v>
      </c>
    </row>
    <row r="222" spans="1:2" x14ac:dyDescent="0.2">
      <c r="A222" s="321">
        <v>36342</v>
      </c>
      <c r="B222" s="322">
        <v>71.2</v>
      </c>
    </row>
    <row r="223" spans="1:2" x14ac:dyDescent="0.2">
      <c r="A223" s="321">
        <v>36434</v>
      </c>
      <c r="B223" s="322">
        <v>71.594999999999999</v>
      </c>
    </row>
    <row r="224" spans="1:2" x14ac:dyDescent="0.2">
      <c r="A224" s="321">
        <v>36526</v>
      </c>
      <c r="B224" s="322">
        <v>72.070999999999998</v>
      </c>
    </row>
    <row r="225" spans="1:2" x14ac:dyDescent="0.2">
      <c r="A225" s="321">
        <v>36617</v>
      </c>
      <c r="B225" s="322">
        <v>72.52</v>
      </c>
    </row>
    <row r="226" spans="1:2" x14ac:dyDescent="0.2">
      <c r="A226" s="321">
        <v>36708</v>
      </c>
      <c r="B226" s="322">
        <v>72.944000000000003</v>
      </c>
    </row>
    <row r="227" spans="1:2" x14ac:dyDescent="0.2">
      <c r="A227" s="321">
        <v>36800</v>
      </c>
      <c r="B227" s="322">
        <v>73.337000000000003</v>
      </c>
    </row>
    <row r="228" spans="1:2" x14ac:dyDescent="0.2">
      <c r="A228" s="321">
        <v>36892</v>
      </c>
      <c r="B228" s="322">
        <v>73.822000000000003</v>
      </c>
    </row>
    <row r="229" spans="1:2" x14ac:dyDescent="0.2">
      <c r="A229" s="321">
        <v>36982</v>
      </c>
      <c r="B229" s="322">
        <v>74.266000000000005</v>
      </c>
    </row>
    <row r="230" spans="1:2" x14ac:dyDescent="0.2">
      <c r="A230" s="321">
        <v>37073</v>
      </c>
      <c r="B230" s="322">
        <v>74.558000000000007</v>
      </c>
    </row>
    <row r="231" spans="1:2" x14ac:dyDescent="0.2">
      <c r="A231" s="321">
        <v>37165</v>
      </c>
      <c r="B231" s="322">
        <v>74.792000000000002</v>
      </c>
    </row>
    <row r="232" spans="1:2" x14ac:dyDescent="0.2">
      <c r="A232" s="321">
        <v>37257</v>
      </c>
      <c r="B232" s="322">
        <v>75.027000000000001</v>
      </c>
    </row>
    <row r="233" spans="1:2" x14ac:dyDescent="0.2">
      <c r="A233" s="321">
        <v>37347</v>
      </c>
      <c r="B233" s="322">
        <v>75.289000000000001</v>
      </c>
    </row>
    <row r="234" spans="1:2" x14ac:dyDescent="0.2">
      <c r="A234" s="321">
        <v>37438</v>
      </c>
      <c r="B234" s="322">
        <v>75.650000000000006</v>
      </c>
    </row>
    <row r="235" spans="1:2" x14ac:dyDescent="0.2">
      <c r="A235" s="321">
        <v>37530</v>
      </c>
      <c r="B235" s="322">
        <v>76.088999999999999</v>
      </c>
    </row>
    <row r="236" spans="1:2" x14ac:dyDescent="0.2">
      <c r="A236" s="321">
        <v>37622</v>
      </c>
      <c r="B236" s="322">
        <v>76.460999999999999</v>
      </c>
    </row>
    <row r="237" spans="1:2" x14ac:dyDescent="0.2">
      <c r="A237" s="321">
        <v>37712</v>
      </c>
      <c r="B237" s="322">
        <v>76.73</v>
      </c>
    </row>
    <row r="238" spans="1:2" x14ac:dyDescent="0.2">
      <c r="A238" s="321">
        <v>37803</v>
      </c>
      <c r="B238" s="322">
        <v>77.168999999999997</v>
      </c>
    </row>
    <row r="239" spans="1:2" x14ac:dyDescent="0.2">
      <c r="A239" s="321">
        <v>37895</v>
      </c>
      <c r="B239" s="322">
        <v>77.638999999999996</v>
      </c>
    </row>
    <row r="240" spans="1:2" x14ac:dyDescent="0.2">
      <c r="A240" s="321">
        <v>37987</v>
      </c>
      <c r="B240" s="322">
        <v>78.192999999999998</v>
      </c>
    </row>
    <row r="241" spans="1:2" x14ac:dyDescent="0.2">
      <c r="A241" s="321">
        <v>38078</v>
      </c>
      <c r="B241" s="322">
        <v>78.823999999999998</v>
      </c>
    </row>
    <row r="242" spans="1:2" x14ac:dyDescent="0.2">
      <c r="A242" s="321">
        <v>38169</v>
      </c>
      <c r="B242" s="322">
        <v>79.323999999999998</v>
      </c>
    </row>
    <row r="243" spans="1:2" x14ac:dyDescent="0.2">
      <c r="A243" s="321">
        <v>38261</v>
      </c>
      <c r="B243" s="322">
        <v>79.938999999999993</v>
      </c>
    </row>
    <row r="244" spans="1:2" x14ac:dyDescent="0.2">
      <c r="A244" s="321">
        <v>38353</v>
      </c>
      <c r="B244" s="322">
        <v>80.578000000000003</v>
      </c>
    </row>
    <row r="245" spans="1:2" x14ac:dyDescent="0.2">
      <c r="A245" s="321">
        <v>38443</v>
      </c>
      <c r="B245" s="322">
        <v>81.158000000000001</v>
      </c>
    </row>
    <row r="246" spans="1:2" x14ac:dyDescent="0.2">
      <c r="A246" s="321">
        <v>38534</v>
      </c>
      <c r="B246" s="322">
        <v>81.897999999999996</v>
      </c>
    </row>
    <row r="247" spans="1:2" x14ac:dyDescent="0.2">
      <c r="A247" s="321">
        <v>38626</v>
      </c>
      <c r="B247" s="322">
        <v>82.570999999999998</v>
      </c>
    </row>
    <row r="248" spans="1:2" x14ac:dyDescent="0.2">
      <c r="A248" s="321">
        <v>38718</v>
      </c>
      <c r="B248" s="322">
        <v>83.156000000000006</v>
      </c>
    </row>
    <row r="249" spans="1:2" x14ac:dyDescent="0.2">
      <c r="A249" s="321">
        <v>38808</v>
      </c>
      <c r="B249" s="322">
        <v>83.882000000000005</v>
      </c>
    </row>
    <row r="250" spans="1:2" x14ac:dyDescent="0.2">
      <c r="A250" s="321">
        <v>38899</v>
      </c>
      <c r="B250" s="322">
        <v>84.468000000000004</v>
      </c>
    </row>
    <row r="251" spans="1:2" x14ac:dyDescent="0.2">
      <c r="A251" s="321">
        <v>38991</v>
      </c>
      <c r="B251" s="322">
        <v>84.77</v>
      </c>
    </row>
    <row r="252" spans="1:2" x14ac:dyDescent="0.2">
      <c r="A252" s="321">
        <v>39083</v>
      </c>
      <c r="B252" s="322">
        <v>85.575999999999993</v>
      </c>
    </row>
    <row r="253" spans="1:2" x14ac:dyDescent="0.2">
      <c r="A253" s="321">
        <v>39173</v>
      </c>
      <c r="B253" s="322">
        <v>86.171000000000006</v>
      </c>
    </row>
    <row r="254" spans="1:2" x14ac:dyDescent="0.2">
      <c r="A254" s="321">
        <v>39264</v>
      </c>
      <c r="B254" s="322">
        <v>86.641999999999996</v>
      </c>
    </row>
    <row r="255" spans="1:2" x14ac:dyDescent="0.2">
      <c r="A255" s="321">
        <v>39356</v>
      </c>
      <c r="B255" s="322">
        <v>86.992999999999995</v>
      </c>
    </row>
    <row r="256" spans="1:2" x14ac:dyDescent="0.2">
      <c r="A256" s="321">
        <v>39448</v>
      </c>
      <c r="B256" s="322">
        <v>87.314999999999998</v>
      </c>
    </row>
    <row r="257" spans="1:2" x14ac:dyDescent="0.2">
      <c r="A257" s="321">
        <v>39539</v>
      </c>
      <c r="B257" s="322">
        <v>87.738</v>
      </c>
    </row>
    <row r="258" spans="1:2" x14ac:dyDescent="0.2">
      <c r="A258" s="321">
        <v>39630</v>
      </c>
      <c r="B258" s="322">
        <v>88.399000000000001</v>
      </c>
    </row>
    <row r="259" spans="1:2" x14ac:dyDescent="0.2">
      <c r="A259" s="321">
        <v>39722</v>
      </c>
      <c r="B259" s="322">
        <v>88.613</v>
      </c>
    </row>
    <row r="260" spans="1:2" x14ac:dyDescent="0.2">
      <c r="A260" s="321">
        <v>39814</v>
      </c>
      <c r="B260" s="322">
        <v>88.543000000000006</v>
      </c>
    </row>
    <row r="261" spans="1:2" x14ac:dyDescent="0.2">
      <c r="A261" s="321">
        <v>39904</v>
      </c>
      <c r="B261" s="322">
        <v>88.396000000000001</v>
      </c>
    </row>
    <row r="262" spans="1:2" x14ac:dyDescent="0.2">
      <c r="A262" s="321">
        <v>39995</v>
      </c>
      <c r="B262" s="322">
        <v>88.501000000000005</v>
      </c>
    </row>
    <row r="263" spans="1:2" x14ac:dyDescent="0.2">
      <c r="A263" s="321">
        <v>40087</v>
      </c>
      <c r="B263" s="322">
        <v>88.781000000000006</v>
      </c>
    </row>
    <row r="264" spans="1:2" x14ac:dyDescent="0.2">
      <c r="A264" s="321">
        <v>40179</v>
      </c>
      <c r="B264" s="322">
        <v>89.036000000000001</v>
      </c>
    </row>
    <row r="265" spans="1:2" x14ac:dyDescent="0.2">
      <c r="A265" s="321">
        <v>40269</v>
      </c>
      <c r="B265" s="322">
        <v>89.471000000000004</v>
      </c>
    </row>
    <row r="266" spans="1:2" x14ac:dyDescent="0.2">
      <c r="A266" s="321">
        <v>40360</v>
      </c>
      <c r="B266" s="322">
        <v>89.742999999999995</v>
      </c>
    </row>
    <row r="267" spans="1:2" x14ac:dyDescent="0.2">
      <c r="A267" s="321">
        <v>40452</v>
      </c>
      <c r="B267" s="322">
        <v>90.263999999999996</v>
      </c>
    </row>
    <row r="268" spans="1:2" x14ac:dyDescent="0.2">
      <c r="A268" s="321">
        <v>40544</v>
      </c>
      <c r="B268" s="322">
        <v>90.725999999999999</v>
      </c>
    </row>
    <row r="269" spans="1:2" x14ac:dyDescent="0.2">
      <c r="A269" s="321">
        <v>40634</v>
      </c>
      <c r="B269" s="322">
        <v>91.325999999999993</v>
      </c>
    </row>
    <row r="270" spans="1:2" x14ac:dyDescent="0.2">
      <c r="A270" s="321">
        <v>40725</v>
      </c>
      <c r="B270" s="322">
        <v>91.876000000000005</v>
      </c>
    </row>
    <row r="271" spans="1:2" x14ac:dyDescent="0.2">
      <c r="A271" s="321">
        <v>40817</v>
      </c>
      <c r="B271" s="322">
        <v>91.984999999999999</v>
      </c>
    </row>
    <row r="272" spans="1:2" x14ac:dyDescent="0.2">
      <c r="A272" s="321">
        <v>40909</v>
      </c>
      <c r="B272" s="322">
        <v>92.525000000000006</v>
      </c>
    </row>
    <row r="273" spans="1:2" x14ac:dyDescent="0.2">
      <c r="A273" s="321">
        <v>41000</v>
      </c>
      <c r="B273" s="322">
        <v>92.906999999999996</v>
      </c>
    </row>
    <row r="274" spans="1:2" x14ac:dyDescent="0.2">
      <c r="A274" s="321">
        <v>41091</v>
      </c>
      <c r="B274" s="322">
        <v>93.417000000000002</v>
      </c>
    </row>
    <row r="275" spans="1:2" x14ac:dyDescent="0.2">
      <c r="A275" s="321">
        <v>41183</v>
      </c>
      <c r="B275" s="322">
        <v>93.885000000000005</v>
      </c>
    </row>
    <row r="276" spans="1:2" x14ac:dyDescent="0.2">
      <c r="A276" s="321">
        <v>41275</v>
      </c>
      <c r="B276" s="322">
        <v>94.257999999999996</v>
      </c>
    </row>
    <row r="277" spans="1:2" x14ac:dyDescent="0.2">
      <c r="A277" s="321">
        <v>41365</v>
      </c>
      <c r="B277" s="322">
        <v>94.460999999999999</v>
      </c>
    </row>
    <row r="278" spans="1:2" x14ac:dyDescent="0.2">
      <c r="A278" s="321">
        <v>41456</v>
      </c>
      <c r="B278" s="322">
        <v>94.924000000000007</v>
      </c>
    </row>
    <row r="279" spans="1:2" x14ac:dyDescent="0.2">
      <c r="A279" s="321">
        <v>41548</v>
      </c>
      <c r="B279" s="322">
        <v>95.426000000000002</v>
      </c>
    </row>
    <row r="280" spans="1:2" x14ac:dyDescent="0.2">
      <c r="A280" s="321">
        <v>41640</v>
      </c>
      <c r="B280" s="322">
        <v>95.787999999999997</v>
      </c>
    </row>
    <row r="281" spans="1:2" x14ac:dyDescent="0.2">
      <c r="A281" s="321">
        <v>41730</v>
      </c>
      <c r="B281" s="322">
        <v>96.33</v>
      </c>
    </row>
    <row r="282" spans="1:2" x14ac:dyDescent="0.2">
      <c r="A282" s="321">
        <v>41821</v>
      </c>
      <c r="B282" s="322">
        <v>96.725999999999999</v>
      </c>
    </row>
    <row r="283" spans="1:2" x14ac:dyDescent="0.2">
      <c r="A283" s="321">
        <v>41913</v>
      </c>
      <c r="B283" s="322">
        <v>96.822000000000003</v>
      </c>
    </row>
    <row r="284" spans="1:2" x14ac:dyDescent="0.2">
      <c r="A284" s="321">
        <v>42005</v>
      </c>
      <c r="B284" s="322">
        <v>96.769000000000005</v>
      </c>
    </row>
    <row r="285" spans="1:2" x14ac:dyDescent="0.2">
      <c r="A285" s="321">
        <v>42095</v>
      </c>
      <c r="B285" s="322">
        <v>97.325000000000003</v>
      </c>
    </row>
    <row r="286" spans="1:2" x14ac:dyDescent="0.2">
      <c r="A286" s="321">
        <v>42186</v>
      </c>
      <c r="B286" s="322">
        <v>97.582999999999998</v>
      </c>
    </row>
    <row r="287" spans="1:2" x14ac:dyDescent="0.2">
      <c r="A287" s="321">
        <v>42278</v>
      </c>
      <c r="B287" s="322">
        <v>97.581000000000003</v>
      </c>
    </row>
    <row r="288" spans="1:2" x14ac:dyDescent="0.2">
      <c r="A288" s="321">
        <v>42370</v>
      </c>
      <c r="B288" s="322">
        <v>97.495999999999995</v>
      </c>
    </row>
    <row r="289" spans="1:2" x14ac:dyDescent="0.2">
      <c r="A289" s="321">
        <v>42461</v>
      </c>
      <c r="B289" s="322">
        <v>98.159000000000006</v>
      </c>
    </row>
    <row r="290" spans="1:2" x14ac:dyDescent="0.2">
      <c r="A290" s="321">
        <v>42552</v>
      </c>
      <c r="B290" s="322">
        <v>98.41</v>
      </c>
    </row>
    <row r="291" spans="1:2" x14ac:dyDescent="0.2">
      <c r="A291" s="321">
        <v>42644</v>
      </c>
      <c r="B291" s="322">
        <v>98.885999999999996</v>
      </c>
    </row>
    <row r="292" spans="1:2" x14ac:dyDescent="0.2">
      <c r="A292" s="321">
        <v>42736</v>
      </c>
      <c r="B292" s="322">
        <v>99.39</v>
      </c>
    </row>
    <row r="293" spans="1:2" x14ac:dyDescent="0.2">
      <c r="A293" s="321">
        <v>42826</v>
      </c>
      <c r="B293" s="322">
        <v>99.65</v>
      </c>
    </row>
    <row r="294" spans="1:2" x14ac:dyDescent="0.2">
      <c r="A294" s="321">
        <v>42917</v>
      </c>
      <c r="B294" s="322">
        <v>100.16200000000001</v>
      </c>
    </row>
    <row r="295" spans="1:2" x14ac:dyDescent="0.2">
      <c r="A295" s="321">
        <v>43009</v>
      </c>
      <c r="B295" s="322">
        <v>100.77800000000001</v>
      </c>
    </row>
    <row r="296" spans="1:2" x14ac:dyDescent="0.2">
      <c r="A296" s="321">
        <v>43101</v>
      </c>
      <c r="B296" s="322">
        <v>101.419</v>
      </c>
    </row>
    <row r="297" spans="1:2" x14ac:dyDescent="0.2">
      <c r="A297" s="321">
        <v>43191</v>
      </c>
      <c r="B297" s="322">
        <v>102.136</v>
      </c>
    </row>
    <row r="298" spans="1:2" x14ac:dyDescent="0.2">
      <c r="A298" s="321">
        <v>43282</v>
      </c>
      <c r="B298" s="322">
        <v>102.577</v>
      </c>
    </row>
    <row r="299" spans="1:2" x14ac:dyDescent="0.2">
      <c r="A299" s="321">
        <v>43374</v>
      </c>
      <c r="B299" s="322">
        <v>103.01900000000001</v>
      </c>
    </row>
    <row r="300" spans="1:2" x14ac:dyDescent="0.2">
      <c r="A300" s="321">
        <v>43466</v>
      </c>
      <c r="B300" s="322">
        <v>103.375</v>
      </c>
    </row>
    <row r="301" spans="1:2" x14ac:dyDescent="0.2">
      <c r="A301" s="321">
        <v>43556</v>
      </c>
      <c r="B301" s="322">
        <v>103.88800000000001</v>
      </c>
    </row>
    <row r="302" spans="1:2" x14ac:dyDescent="0.2">
      <c r="A302" s="321">
        <v>43647</v>
      </c>
      <c r="B302" s="322">
        <v>104.211</v>
      </c>
    </row>
    <row r="303" spans="1:2" x14ac:dyDescent="0.2">
      <c r="A303" s="321">
        <v>43739</v>
      </c>
      <c r="B303" s="322">
        <v>104.541</v>
      </c>
    </row>
    <row r="304" spans="1:2" x14ac:dyDescent="0.2">
      <c r="A304" s="321">
        <v>43831</v>
      </c>
      <c r="B304" s="322">
        <v>105.03700000000001</v>
      </c>
    </row>
    <row r="305" spans="1:4" x14ac:dyDescent="0.2">
      <c r="A305" s="321">
        <v>43922</v>
      </c>
      <c r="B305" s="322">
        <v>104.614</v>
      </c>
    </row>
    <row r="306" spans="1:4" x14ac:dyDescent="0.2">
      <c r="A306" s="321">
        <v>44013</v>
      </c>
      <c r="B306" s="322">
        <v>105.538</v>
      </c>
    </row>
    <row r="307" spans="1:4" x14ac:dyDescent="0.2">
      <c r="A307" s="321">
        <v>44105</v>
      </c>
      <c r="B307" s="322">
        <v>106.27500000000001</v>
      </c>
    </row>
    <row r="308" spans="1:4" x14ac:dyDescent="0.2">
      <c r="A308" s="321">
        <v>44197</v>
      </c>
      <c r="B308" s="322">
        <v>107.66800000000001</v>
      </c>
    </row>
    <row r="309" spans="1:4" x14ac:dyDescent="0.2">
      <c r="A309" s="321">
        <v>44287</v>
      </c>
      <c r="B309" s="322">
        <v>109.30500000000001</v>
      </c>
    </row>
    <row r="310" spans="1:4" x14ac:dyDescent="0.2">
      <c r="A310" s="321">
        <v>44378</v>
      </c>
      <c r="B310" s="322">
        <v>110.92</v>
      </c>
    </row>
    <row r="311" spans="1:4" x14ac:dyDescent="0.2">
      <c r="A311" s="321">
        <v>44470</v>
      </c>
      <c r="B311" s="322">
        <v>112.848</v>
      </c>
      <c r="D311" s="323" t="s">
        <v>297</v>
      </c>
    </row>
    <row r="312" spans="1:4" x14ac:dyDescent="0.2">
      <c r="A312" s="321">
        <v>44562</v>
      </c>
      <c r="B312" s="322">
        <v>115.13500000000001</v>
      </c>
      <c r="D312" s="324">
        <f>B312/B308</f>
        <v>1.0693520823271538</v>
      </c>
    </row>
    <row r="313" spans="1:4" x14ac:dyDescent="0.2">
      <c r="A313" s="321">
        <v>44652</v>
      </c>
      <c r="B313" s="322">
        <v>117.67100000000001</v>
      </c>
    </row>
    <row r="314" spans="1:4" x14ac:dyDescent="0.2">
      <c r="A314" s="321">
        <v>44743</v>
      </c>
      <c r="B314" s="322">
        <v>118.962</v>
      </c>
    </row>
    <row r="315" spans="1:4" x14ac:dyDescent="0.2">
      <c r="A315" s="321">
        <v>44835</v>
      </c>
      <c r="B315" s="322">
        <v>120.093</v>
      </c>
    </row>
    <row r="316" spans="1:4" x14ac:dyDescent="0.2">
      <c r="A316" s="321">
        <v>44927</v>
      </c>
      <c r="B316" s="322">
        <v>121.261</v>
      </c>
    </row>
    <row r="317" spans="1:4" x14ac:dyDescent="0.2">
      <c r="A317" s="321">
        <v>45017</v>
      </c>
      <c r="B317" s="322">
        <v>121.76600000000001</v>
      </c>
    </row>
  </sheetData>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F16EA-A924-4B80-89C3-2B4F83454380}">
  <sheetPr codeName="Sheet3">
    <tabColor theme="9" tint="0.59999389629810485"/>
  </sheetPr>
  <dimension ref="A1:AM28"/>
  <sheetViews>
    <sheetView topLeftCell="Y1" workbookViewId="0">
      <selection activeCell="AD9" sqref="AD9"/>
    </sheetView>
  </sheetViews>
  <sheetFormatPr defaultRowHeight="15" x14ac:dyDescent="0.25"/>
  <cols>
    <col min="1" max="1" width="13.42578125" style="3" bestFit="1" customWidth="1"/>
    <col min="2" max="2" width="22.7109375" style="3" bestFit="1" customWidth="1"/>
    <col min="3" max="3" width="20" style="3" bestFit="1" customWidth="1"/>
    <col min="4" max="4" width="23.140625" style="3" bestFit="1" customWidth="1"/>
    <col min="5" max="5" width="15.42578125" style="3" bestFit="1" customWidth="1"/>
    <col min="6" max="6" width="9.140625" style="3"/>
    <col min="7" max="7" width="13.42578125" style="3" bestFit="1" customWidth="1"/>
    <col min="8" max="8" width="28.42578125" style="3" bestFit="1" customWidth="1"/>
    <col min="9" max="9" width="24.140625" style="3" bestFit="1" customWidth="1"/>
    <col min="10" max="10" width="22.85546875" style="3" bestFit="1" customWidth="1"/>
    <col min="11" max="11" width="26" style="3" bestFit="1" customWidth="1"/>
    <col min="12" max="13" width="9.140625" style="3"/>
    <col min="14" max="14" width="11.28515625" style="3" bestFit="1" customWidth="1"/>
    <col min="15" max="15" width="20.5703125" style="3" bestFit="1" customWidth="1"/>
    <col min="16" max="17" width="17" style="3" bestFit="1" customWidth="1"/>
    <col min="18" max="18" width="15.42578125" style="3" bestFit="1" customWidth="1"/>
    <col min="19" max="19" width="9.140625" style="3"/>
    <col min="20" max="20" width="13.42578125" style="3" bestFit="1" customWidth="1"/>
    <col min="21" max="21" width="22.7109375" style="3" bestFit="1" customWidth="1"/>
    <col min="22" max="22" width="20" style="3" bestFit="1" customWidth="1"/>
    <col min="23" max="23" width="23.140625" style="3" bestFit="1" customWidth="1"/>
    <col min="24" max="24" width="15.42578125" style="3" bestFit="1" customWidth="1"/>
    <col min="25" max="25" width="9.140625" style="3"/>
    <col min="26" max="26" width="13.42578125" style="3" bestFit="1" customWidth="1"/>
    <col min="27" max="27" width="28.42578125" style="3" bestFit="1" customWidth="1"/>
    <col min="28" max="28" width="24.140625" style="3" bestFit="1" customWidth="1"/>
    <col min="29" max="29" width="22.85546875" style="3" bestFit="1" customWidth="1"/>
    <col min="30" max="30" width="26" style="3" bestFit="1" customWidth="1"/>
    <col min="31" max="32" width="9.140625" style="3"/>
    <col min="33" max="33" width="15.28515625" style="3" bestFit="1" customWidth="1"/>
    <col min="34" max="34" width="20.5703125" style="3" bestFit="1" customWidth="1"/>
    <col min="35" max="36" width="17" style="3" bestFit="1" customWidth="1"/>
    <col min="37" max="37" width="15.42578125" style="3" bestFit="1" customWidth="1"/>
    <col min="38" max="38" width="25.28515625" style="3" bestFit="1" customWidth="1"/>
    <col min="39" max="39" width="17" style="3" bestFit="1" customWidth="1"/>
    <col min="40" max="16384" width="9.140625" style="3"/>
  </cols>
  <sheetData>
    <row r="1" spans="1:39" x14ac:dyDescent="0.25">
      <c r="A1" s="31" t="s">
        <v>755</v>
      </c>
      <c r="D1" s="31" t="s">
        <v>518</v>
      </c>
      <c r="E1" s="31" t="s">
        <v>29</v>
      </c>
      <c r="G1" s="31" t="s">
        <v>8</v>
      </c>
      <c r="H1" s="31" t="s">
        <v>518</v>
      </c>
      <c r="J1" s="31" t="s">
        <v>518</v>
      </c>
      <c r="K1" s="31" t="s">
        <v>29</v>
      </c>
      <c r="L1" s="31" t="s">
        <v>11</v>
      </c>
      <c r="T1" s="31" t="s">
        <v>756</v>
      </c>
      <c r="W1" s="31" t="s">
        <v>518</v>
      </c>
      <c r="X1" s="31" t="s">
        <v>29</v>
      </c>
      <c r="Z1" s="31" t="s">
        <v>757</v>
      </c>
      <c r="AA1" s="31" t="s">
        <v>518</v>
      </c>
      <c r="AC1" s="31" t="s">
        <v>518</v>
      </c>
      <c r="AD1" s="31" t="s">
        <v>29</v>
      </c>
      <c r="AE1" s="31" t="s">
        <v>11</v>
      </c>
    </row>
    <row r="2" spans="1:39" x14ac:dyDescent="0.25">
      <c r="A2" s="264" t="s">
        <v>509</v>
      </c>
      <c r="B2" s="264" t="s">
        <v>517</v>
      </c>
      <c r="C2" s="264" t="s">
        <v>513</v>
      </c>
      <c r="D2" s="264" t="s">
        <v>514</v>
      </c>
      <c r="E2" s="185" t="s">
        <v>3</v>
      </c>
      <c r="G2" s="264" t="s">
        <v>509</v>
      </c>
      <c r="H2" s="264" t="s">
        <v>516</v>
      </c>
      <c r="I2" s="264" t="s">
        <v>515</v>
      </c>
      <c r="J2" s="264" t="s">
        <v>514</v>
      </c>
      <c r="K2" s="31" t="s">
        <v>758</v>
      </c>
      <c r="L2" s="31" t="s">
        <v>759</v>
      </c>
      <c r="T2" s="264" t="s">
        <v>509</v>
      </c>
      <c r="U2" s="264" t="s">
        <v>517</v>
      </c>
      <c r="V2" s="264" t="s">
        <v>513</v>
      </c>
      <c r="W2" s="264" t="s">
        <v>514</v>
      </c>
      <c r="X2" s="185" t="s">
        <v>3</v>
      </c>
      <c r="Z2" s="264" t="s">
        <v>509</v>
      </c>
      <c r="AA2" s="264" t="s">
        <v>516</v>
      </c>
      <c r="AB2" s="264" t="s">
        <v>515</v>
      </c>
      <c r="AC2" s="264" t="s">
        <v>514</v>
      </c>
      <c r="AD2" s="31" t="s">
        <v>758</v>
      </c>
      <c r="AE2" s="31" t="s">
        <v>759</v>
      </c>
    </row>
    <row r="3" spans="1:39" x14ac:dyDescent="0.25">
      <c r="A3" s="265">
        <v>2025</v>
      </c>
      <c r="B3" s="3">
        <v>0</v>
      </c>
      <c r="C3" s="3">
        <v>0</v>
      </c>
      <c r="D3" s="3">
        <v>0</v>
      </c>
      <c r="E3" s="185">
        <f>D3*1000</f>
        <v>0</v>
      </c>
      <c r="G3" s="265">
        <v>2025</v>
      </c>
      <c r="H3" s="3">
        <v>0</v>
      </c>
      <c r="I3" s="3">
        <v>0</v>
      </c>
      <c r="J3" s="3">
        <v>0</v>
      </c>
      <c r="T3" s="265">
        <v>2025</v>
      </c>
      <c r="U3" s="3">
        <v>0</v>
      </c>
      <c r="V3" s="3">
        <v>0</v>
      </c>
      <c r="W3" s="3">
        <v>0</v>
      </c>
      <c r="X3" s="185">
        <f>W3*1000</f>
        <v>0</v>
      </c>
      <c r="Z3" s="265">
        <v>2025</v>
      </c>
      <c r="AA3" s="3">
        <v>0</v>
      </c>
      <c r="AB3" s="3">
        <v>0</v>
      </c>
      <c r="AC3" s="3">
        <v>0</v>
      </c>
    </row>
    <row r="4" spans="1:39" x14ac:dyDescent="0.25">
      <c r="A4" s="265">
        <v>2026</v>
      </c>
      <c r="B4" s="3">
        <v>0</v>
      </c>
      <c r="C4" s="3">
        <v>0</v>
      </c>
      <c r="D4" s="3">
        <v>0</v>
      </c>
      <c r="E4" s="185">
        <f t="shared" ref="E4:E27" si="0">D4*1000</f>
        <v>0</v>
      </c>
      <c r="G4" s="265">
        <v>2026</v>
      </c>
      <c r="H4" s="3">
        <v>0</v>
      </c>
      <c r="I4" s="3">
        <v>0</v>
      </c>
      <c r="J4" s="3">
        <v>0</v>
      </c>
      <c r="T4" s="265">
        <v>2026</v>
      </c>
      <c r="U4" s="3">
        <v>0</v>
      </c>
      <c r="V4" s="3">
        <v>0</v>
      </c>
      <c r="W4" s="3">
        <v>0</v>
      </c>
      <c r="X4" s="185">
        <f t="shared" ref="X4:X27" si="1">W4*1000</f>
        <v>0</v>
      </c>
      <c r="Z4" s="265">
        <v>2026</v>
      </c>
      <c r="AA4" s="3">
        <v>0</v>
      </c>
      <c r="AB4" s="3">
        <v>0</v>
      </c>
      <c r="AC4" s="3">
        <v>0</v>
      </c>
    </row>
    <row r="5" spans="1:39" x14ac:dyDescent="0.25">
      <c r="A5" s="265">
        <v>2027</v>
      </c>
      <c r="B5" s="3">
        <v>0</v>
      </c>
      <c r="C5" s="3">
        <v>0</v>
      </c>
      <c r="D5" s="3">
        <v>0</v>
      </c>
      <c r="E5" s="185">
        <f t="shared" si="0"/>
        <v>0</v>
      </c>
      <c r="G5" s="265">
        <v>2027</v>
      </c>
      <c r="H5" s="3">
        <v>0</v>
      </c>
      <c r="I5" s="3">
        <v>0</v>
      </c>
      <c r="J5" s="3">
        <v>0</v>
      </c>
      <c r="T5" s="265">
        <v>2027</v>
      </c>
      <c r="U5" s="3">
        <v>0</v>
      </c>
      <c r="V5" s="3">
        <v>0</v>
      </c>
      <c r="W5" s="3">
        <v>0</v>
      </c>
      <c r="X5" s="185">
        <f t="shared" si="1"/>
        <v>0</v>
      </c>
      <c r="Z5" s="265">
        <v>2027</v>
      </c>
      <c r="AA5" s="3">
        <v>0</v>
      </c>
      <c r="AB5" s="3">
        <v>0</v>
      </c>
      <c r="AC5" s="3">
        <v>0</v>
      </c>
    </row>
    <row r="6" spans="1:39" x14ac:dyDescent="0.25">
      <c r="A6" s="265">
        <v>2028</v>
      </c>
      <c r="B6" s="3">
        <v>0</v>
      </c>
      <c r="C6" s="3">
        <v>0</v>
      </c>
      <c r="D6" s="3">
        <v>0</v>
      </c>
      <c r="E6" s="185">
        <f t="shared" si="0"/>
        <v>0</v>
      </c>
      <c r="G6" s="265">
        <v>2028</v>
      </c>
      <c r="H6" s="3">
        <v>0</v>
      </c>
      <c r="I6" s="3">
        <v>0</v>
      </c>
      <c r="J6" s="3">
        <v>0</v>
      </c>
      <c r="N6" s="31" t="s">
        <v>9</v>
      </c>
      <c r="O6" s="31" t="s">
        <v>760</v>
      </c>
      <c r="P6" s="31" t="s">
        <v>761</v>
      </c>
      <c r="Q6" s="31" t="s">
        <v>518</v>
      </c>
      <c r="R6" s="31" t="s">
        <v>29</v>
      </c>
      <c r="T6" s="265">
        <v>2028</v>
      </c>
      <c r="U6" s="3">
        <v>0</v>
      </c>
      <c r="V6" s="3">
        <v>0</v>
      </c>
      <c r="W6" s="3">
        <v>0</v>
      </c>
      <c r="X6" s="185">
        <f t="shared" si="1"/>
        <v>0</v>
      </c>
      <c r="Z6" s="265">
        <v>2028</v>
      </c>
      <c r="AA6" s="3">
        <v>0</v>
      </c>
      <c r="AB6" s="3">
        <v>0</v>
      </c>
      <c r="AC6" s="3">
        <v>0</v>
      </c>
      <c r="AG6" s="31" t="s">
        <v>762</v>
      </c>
      <c r="AH6" s="31" t="s">
        <v>760</v>
      </c>
      <c r="AI6" s="31" t="s">
        <v>761</v>
      </c>
      <c r="AJ6" s="31" t="s">
        <v>518</v>
      </c>
      <c r="AK6" s="31" t="s">
        <v>29</v>
      </c>
      <c r="AL6" s="31" t="s">
        <v>29</v>
      </c>
      <c r="AM6" s="31" t="s">
        <v>761</v>
      </c>
    </row>
    <row r="7" spans="1:39" x14ac:dyDescent="0.25">
      <c r="A7" s="265">
        <v>2029</v>
      </c>
      <c r="B7" s="3">
        <v>0</v>
      </c>
      <c r="C7" s="3">
        <v>0</v>
      </c>
      <c r="D7" s="3">
        <v>0</v>
      </c>
      <c r="E7" s="185">
        <f t="shared" si="0"/>
        <v>0</v>
      </c>
      <c r="G7" s="265">
        <v>2029</v>
      </c>
      <c r="H7" s="3">
        <v>0</v>
      </c>
      <c r="I7" s="3">
        <v>0</v>
      </c>
      <c r="J7" s="3">
        <v>0</v>
      </c>
      <c r="N7" s="264" t="s">
        <v>509</v>
      </c>
      <c r="O7" s="264" t="s">
        <v>763</v>
      </c>
      <c r="P7" s="264" t="s">
        <v>764</v>
      </c>
      <c r="Q7" s="264" t="s">
        <v>765</v>
      </c>
      <c r="R7" s="3" t="s">
        <v>3</v>
      </c>
      <c r="T7" s="265">
        <v>2029</v>
      </c>
      <c r="U7" s="3">
        <v>0</v>
      </c>
      <c r="V7" s="3">
        <v>0</v>
      </c>
      <c r="W7" s="3">
        <v>0</v>
      </c>
      <c r="X7" s="185">
        <f t="shared" si="1"/>
        <v>0</v>
      </c>
      <c r="Z7" s="265">
        <v>2029</v>
      </c>
      <c r="AA7" s="3">
        <v>0</v>
      </c>
      <c r="AB7" s="3">
        <v>0</v>
      </c>
      <c r="AC7" s="3">
        <v>0</v>
      </c>
      <c r="AG7" s="264" t="s">
        <v>509</v>
      </c>
      <c r="AH7" s="264" t="s">
        <v>763</v>
      </c>
      <c r="AI7" s="264" t="s">
        <v>764</v>
      </c>
      <c r="AJ7" s="264" t="s">
        <v>765</v>
      </c>
      <c r="AK7" s="3" t="s">
        <v>3</v>
      </c>
      <c r="AL7" s="3" t="s">
        <v>766</v>
      </c>
      <c r="AM7" s="3" t="s">
        <v>777</v>
      </c>
    </row>
    <row r="8" spans="1:39" x14ac:dyDescent="0.25">
      <c r="A8" s="265">
        <v>2030</v>
      </c>
      <c r="B8" s="185">
        <v>692127</v>
      </c>
      <c r="C8" s="185">
        <v>686723</v>
      </c>
      <c r="D8" s="185">
        <v>21592.37</v>
      </c>
      <c r="E8" s="185">
        <f t="shared" si="0"/>
        <v>21592370</v>
      </c>
      <c r="G8" s="265">
        <v>2030</v>
      </c>
      <c r="H8" s="185">
        <v>63579.637999999999</v>
      </c>
      <c r="I8" s="185">
        <v>2193330.79</v>
      </c>
      <c r="J8" s="185">
        <v>105717.141</v>
      </c>
      <c r="K8" s="185">
        <f>(J8-H8)*1000</f>
        <v>42137503.000000007</v>
      </c>
      <c r="L8" s="236">
        <f t="shared" ref="L8:L27" si="2">(J8-H8)*1000/I8</f>
        <v>19.211649784937368</v>
      </c>
      <c r="N8" s="265">
        <v>2030</v>
      </c>
      <c r="O8" s="185">
        <v>1466.9633952436623</v>
      </c>
      <c r="P8" s="185">
        <v>12850599.342334481</v>
      </c>
      <c r="Q8" s="185">
        <v>374811342.33453524</v>
      </c>
      <c r="R8" s="185">
        <f>Q8</f>
        <v>374811342.33453524</v>
      </c>
      <c r="T8" s="265">
        <v>2030</v>
      </c>
      <c r="U8" s="185">
        <v>692127</v>
      </c>
      <c r="V8" s="185">
        <v>675132</v>
      </c>
      <c r="W8" s="185">
        <v>20213.73</v>
      </c>
      <c r="X8" s="185">
        <f t="shared" si="1"/>
        <v>20213730</v>
      </c>
      <c r="Z8" s="265">
        <v>2030</v>
      </c>
      <c r="AA8" s="185">
        <v>58242.436300000008</v>
      </c>
      <c r="AB8" s="185">
        <v>2084143.5107999998</v>
      </c>
      <c r="AC8" s="185">
        <v>99899.589511999991</v>
      </c>
      <c r="AD8" s="185">
        <f>(AC8-AA8)*1000</f>
        <v>41657153.211999983</v>
      </c>
      <c r="AE8" s="236">
        <f t="shared" ref="AE8:AE27" si="3">(AC8-AA8)*1000/AB8</f>
        <v>19.987660636675571</v>
      </c>
      <c r="AG8" s="265">
        <v>2030</v>
      </c>
      <c r="AH8" s="185">
        <v>1466.9633952436623</v>
      </c>
      <c r="AI8" s="185">
        <v>12850599.342334481</v>
      </c>
      <c r="AJ8" s="185">
        <v>374811342.33453524</v>
      </c>
      <c r="AK8" s="185">
        <f>AJ8</f>
        <v>374811342.33453524</v>
      </c>
      <c r="AL8" s="185">
        <f>AK8+AD8+X8</f>
        <v>436682225.54653525</v>
      </c>
      <c r="AM8" s="185">
        <f>AI8+AB8+V8</f>
        <v>15609874.853134481</v>
      </c>
    </row>
    <row r="9" spans="1:39" x14ac:dyDescent="0.25">
      <c r="A9" s="265">
        <v>2031</v>
      </c>
      <c r="B9" s="185">
        <v>690528.8</v>
      </c>
      <c r="C9" s="185">
        <v>683410.8</v>
      </c>
      <c r="D9" s="185">
        <v>21713.63</v>
      </c>
      <c r="E9" s="185">
        <f t="shared" si="0"/>
        <v>21713630</v>
      </c>
      <c r="G9" s="265">
        <v>2031</v>
      </c>
      <c r="H9" s="185">
        <v>124965.761</v>
      </c>
      <c r="I9" s="185">
        <v>4189431.16</v>
      </c>
      <c r="J9" s="185">
        <v>198463.40399999998</v>
      </c>
      <c r="K9" s="185">
        <f t="shared" ref="K9:K27" si="4">(J9-H9)*1000</f>
        <v>73497642.999999985</v>
      </c>
      <c r="L9" s="236">
        <f t="shared" si="2"/>
        <v>17.543585320542654</v>
      </c>
      <c r="N9" s="265">
        <v>2031</v>
      </c>
      <c r="O9" s="185">
        <v>1466.134451110365</v>
      </c>
      <c r="P9" s="185">
        <v>12843337.791726798</v>
      </c>
      <c r="Q9" s="185">
        <v>379315316.97451508</v>
      </c>
      <c r="R9" s="185">
        <f t="shared" ref="R9:R27" si="5">Q9</f>
        <v>379315316.97451508</v>
      </c>
      <c r="T9" s="265">
        <v>2031</v>
      </c>
      <c r="U9" s="185">
        <v>690528.8</v>
      </c>
      <c r="V9" s="185">
        <v>675609.59999999998</v>
      </c>
      <c r="W9" s="185">
        <v>20590.96</v>
      </c>
      <c r="X9" s="185">
        <f t="shared" si="1"/>
        <v>20590960</v>
      </c>
      <c r="Z9" s="265">
        <v>2031</v>
      </c>
      <c r="AA9" s="185">
        <v>118357.58833299999</v>
      </c>
      <c r="AB9" s="185">
        <v>4097929.6609399999</v>
      </c>
      <c r="AC9" s="185">
        <v>193478.08036700002</v>
      </c>
      <c r="AD9" s="185">
        <f t="shared" ref="AD9:AD27" si="6">(AC9-AA9)*1000</f>
        <v>75120492.034000024</v>
      </c>
      <c r="AE9" s="236">
        <f t="shared" si="3"/>
        <v>18.33132782878674</v>
      </c>
      <c r="AG9" s="265">
        <v>2031</v>
      </c>
      <c r="AH9" s="185">
        <v>1466.134451110365</v>
      </c>
      <c r="AI9" s="185">
        <v>12843337.791726798</v>
      </c>
      <c r="AJ9" s="185">
        <v>379315316.97451508</v>
      </c>
      <c r="AK9" s="185">
        <f t="shared" ref="AK9:AK27" si="7">AJ9</f>
        <v>379315316.97451508</v>
      </c>
      <c r="AL9" s="185">
        <f t="shared" ref="AL9:AL27" si="8">AK9+AD9+X9</f>
        <v>475026769.00851512</v>
      </c>
      <c r="AM9" s="185">
        <f t="shared" ref="AM9:AM27" si="9">AI9+AB9+V9</f>
        <v>17616877.052666798</v>
      </c>
    </row>
    <row r="10" spans="1:39" x14ac:dyDescent="0.25">
      <c r="A10" s="265">
        <v>2032</v>
      </c>
      <c r="B10" s="185">
        <v>695357.4</v>
      </c>
      <c r="C10" s="185">
        <v>688864.3</v>
      </c>
      <c r="D10" s="185">
        <v>21930.52</v>
      </c>
      <c r="E10" s="185">
        <f t="shared" si="0"/>
        <v>21930520</v>
      </c>
      <c r="G10" s="265">
        <v>2032</v>
      </c>
      <c r="H10" s="185">
        <v>165818.505</v>
      </c>
      <c r="I10" s="185">
        <v>5506401.9500000002</v>
      </c>
      <c r="J10" s="185">
        <v>256362.98800000001</v>
      </c>
      <c r="K10" s="185">
        <f t="shared" si="4"/>
        <v>90544483</v>
      </c>
      <c r="L10" s="236">
        <f t="shared" si="2"/>
        <v>16.443493196133275</v>
      </c>
      <c r="N10" s="265">
        <v>2032</v>
      </c>
      <c r="O10" s="185">
        <v>1463.1260182566807</v>
      </c>
      <c r="P10" s="185">
        <v>12852098.944366684</v>
      </c>
      <c r="Q10" s="185">
        <v>380664823.27372724</v>
      </c>
      <c r="R10" s="185">
        <f t="shared" si="5"/>
        <v>380664823.27372724</v>
      </c>
      <c r="T10" s="265">
        <v>2032</v>
      </c>
      <c r="U10" s="185">
        <v>695357.4</v>
      </c>
      <c r="V10" s="185">
        <v>679159.3</v>
      </c>
      <c r="W10" s="185">
        <v>20682.150000000001</v>
      </c>
      <c r="X10" s="185">
        <f t="shared" si="1"/>
        <v>20682150</v>
      </c>
      <c r="Z10" s="265">
        <v>2032</v>
      </c>
      <c r="AA10" s="185">
        <v>158265.05761100003</v>
      </c>
      <c r="AB10" s="185">
        <v>5428825.8956500003</v>
      </c>
      <c r="AC10" s="185">
        <v>251360.78870900001</v>
      </c>
      <c r="AD10" s="185">
        <f t="shared" si="6"/>
        <v>93095731.09799999</v>
      </c>
      <c r="AE10" s="236">
        <f t="shared" si="3"/>
        <v>17.148409782784814</v>
      </c>
      <c r="AG10" s="265">
        <v>2032</v>
      </c>
      <c r="AH10" s="185">
        <v>1463.1260182566807</v>
      </c>
      <c r="AI10" s="185">
        <v>12852098.944366684</v>
      </c>
      <c r="AJ10" s="185">
        <v>380664823.27372724</v>
      </c>
      <c r="AK10" s="185">
        <f t="shared" si="7"/>
        <v>380664823.27372724</v>
      </c>
      <c r="AL10" s="185">
        <f t="shared" si="8"/>
        <v>494442704.37172723</v>
      </c>
      <c r="AM10" s="185">
        <f t="shared" si="9"/>
        <v>18960084.140016686</v>
      </c>
    </row>
    <row r="11" spans="1:39" x14ac:dyDescent="0.25">
      <c r="A11" s="265">
        <v>2033</v>
      </c>
      <c r="B11" s="185">
        <v>693177.4</v>
      </c>
      <c r="C11" s="185">
        <v>687795.4</v>
      </c>
      <c r="D11" s="185">
        <v>22601.15</v>
      </c>
      <c r="E11" s="185">
        <f t="shared" si="0"/>
        <v>22601150</v>
      </c>
      <c r="G11" s="265">
        <v>2033</v>
      </c>
      <c r="H11" s="185">
        <v>204577.85199999998</v>
      </c>
      <c r="I11" s="185">
        <v>6565953.7199999997</v>
      </c>
      <c r="J11" s="185">
        <v>316876.02300000004</v>
      </c>
      <c r="K11" s="185">
        <f t="shared" si="4"/>
        <v>112298171.00000006</v>
      </c>
      <c r="L11" s="236">
        <f t="shared" si="2"/>
        <v>17.103101207968926</v>
      </c>
      <c r="N11" s="265">
        <v>2033</v>
      </c>
      <c r="O11" s="185">
        <v>1497.5926802980616</v>
      </c>
      <c r="P11" s="185">
        <v>13118911.879411019</v>
      </c>
      <c r="Q11" s="185">
        <v>391299294.44435865</v>
      </c>
      <c r="R11" s="185">
        <f t="shared" si="5"/>
        <v>391299294.44435865</v>
      </c>
      <c r="T11" s="265">
        <v>2033</v>
      </c>
      <c r="U11" s="185">
        <v>693177.4</v>
      </c>
      <c r="V11" s="185">
        <v>676982.8</v>
      </c>
      <c r="W11" s="185">
        <v>21202.73</v>
      </c>
      <c r="X11" s="185">
        <f t="shared" si="1"/>
        <v>21202730</v>
      </c>
      <c r="Z11" s="265">
        <v>2033</v>
      </c>
      <c r="AA11" s="185">
        <v>195702.98243899998</v>
      </c>
      <c r="AB11" s="185">
        <v>6498963.2562800003</v>
      </c>
      <c r="AC11" s="185">
        <v>313781.02383899997</v>
      </c>
      <c r="AD11" s="185">
        <f t="shared" si="6"/>
        <v>118078041.39999999</v>
      </c>
      <c r="AE11" s="236">
        <f t="shared" si="3"/>
        <v>18.168750421215297</v>
      </c>
      <c r="AG11" s="265">
        <v>2033</v>
      </c>
      <c r="AH11" s="185">
        <v>1497.5926802980616</v>
      </c>
      <c r="AI11" s="185">
        <v>13118911.879411019</v>
      </c>
      <c r="AJ11" s="185">
        <v>391299294.44435865</v>
      </c>
      <c r="AK11" s="185">
        <f t="shared" si="7"/>
        <v>391299294.44435865</v>
      </c>
      <c r="AL11" s="185">
        <f t="shared" si="8"/>
        <v>530580065.84435862</v>
      </c>
      <c r="AM11" s="185">
        <f t="shared" si="9"/>
        <v>20294857.935691021</v>
      </c>
    </row>
    <row r="12" spans="1:39" x14ac:dyDescent="0.25">
      <c r="A12" s="265">
        <v>2034</v>
      </c>
      <c r="B12" s="185">
        <v>692540.4</v>
      </c>
      <c r="C12" s="185">
        <v>684522.7</v>
      </c>
      <c r="D12" s="185">
        <v>23043.040000000001</v>
      </c>
      <c r="E12" s="185">
        <f t="shared" si="0"/>
        <v>23043040</v>
      </c>
      <c r="G12" s="265">
        <v>2034</v>
      </c>
      <c r="H12" s="185">
        <v>255351.451</v>
      </c>
      <c r="I12" s="185">
        <v>7921317.6099999994</v>
      </c>
      <c r="J12" s="185">
        <v>380719.86799999996</v>
      </c>
      <c r="K12" s="185">
        <f t="shared" si="4"/>
        <v>125368416.99999996</v>
      </c>
      <c r="L12" s="236">
        <f t="shared" si="2"/>
        <v>15.826712571369798</v>
      </c>
      <c r="N12" s="265">
        <v>2034</v>
      </c>
      <c r="O12" s="185">
        <v>1467.6184263010789</v>
      </c>
      <c r="P12" s="185">
        <v>12856337.41439745</v>
      </c>
      <c r="Q12" s="185">
        <v>392019753.42864984</v>
      </c>
      <c r="R12" s="185">
        <f t="shared" si="5"/>
        <v>392019753.42864984</v>
      </c>
      <c r="T12" s="265">
        <v>2034</v>
      </c>
      <c r="U12" s="185">
        <v>692540.4</v>
      </c>
      <c r="V12" s="185">
        <v>677879.6</v>
      </c>
      <c r="W12" s="185">
        <v>21649.31</v>
      </c>
      <c r="X12" s="185">
        <f t="shared" si="1"/>
        <v>21649310</v>
      </c>
      <c r="Z12" s="265">
        <v>2034</v>
      </c>
      <c r="AA12" s="185">
        <v>245888.75346400001</v>
      </c>
      <c r="AB12" s="185">
        <v>7896758.1091399994</v>
      </c>
      <c r="AC12" s="185">
        <v>377827.79595299996</v>
      </c>
      <c r="AD12" s="185">
        <f t="shared" si="6"/>
        <v>131939042.48899996</v>
      </c>
      <c r="AE12" s="236">
        <f t="shared" si="3"/>
        <v>16.7080010132625</v>
      </c>
      <c r="AG12" s="265">
        <v>2034</v>
      </c>
      <c r="AH12" s="185">
        <v>1467.6184263010789</v>
      </c>
      <c r="AI12" s="185">
        <v>12856337.41439745</v>
      </c>
      <c r="AJ12" s="185">
        <v>392019753.42864984</v>
      </c>
      <c r="AK12" s="185">
        <f t="shared" si="7"/>
        <v>392019753.42864984</v>
      </c>
      <c r="AL12" s="185">
        <f t="shared" si="8"/>
        <v>545608105.91764975</v>
      </c>
      <c r="AM12" s="185">
        <f t="shared" si="9"/>
        <v>21430975.123537451</v>
      </c>
    </row>
    <row r="13" spans="1:39" x14ac:dyDescent="0.25">
      <c r="A13" s="265">
        <v>2035</v>
      </c>
      <c r="B13" s="185">
        <v>691797.2</v>
      </c>
      <c r="C13" s="185">
        <v>682732.2</v>
      </c>
      <c r="D13" s="185">
        <v>23557.360000000001</v>
      </c>
      <c r="E13" s="185">
        <f t="shared" si="0"/>
        <v>23557360</v>
      </c>
      <c r="G13" s="265">
        <v>2035</v>
      </c>
      <c r="H13" s="185">
        <v>303611.658</v>
      </c>
      <c r="I13" s="185">
        <v>9118024.3300000001</v>
      </c>
      <c r="J13" s="185">
        <v>437508.11899999995</v>
      </c>
      <c r="K13" s="185">
        <f t="shared" si="4"/>
        <v>133896460.99999996</v>
      </c>
      <c r="L13" s="236">
        <f t="shared" si="2"/>
        <v>14.684810673234949</v>
      </c>
      <c r="N13" s="265">
        <v>2035</v>
      </c>
      <c r="O13" s="185">
        <v>1465.2277538948974</v>
      </c>
      <c r="P13" s="185">
        <v>12835395.124119302</v>
      </c>
      <c r="Q13" s="185">
        <v>404040786.4448964</v>
      </c>
      <c r="R13" s="185">
        <f t="shared" si="5"/>
        <v>404040786.4448964</v>
      </c>
      <c r="T13" s="265">
        <v>2035</v>
      </c>
      <c r="U13" s="185">
        <v>691797.2</v>
      </c>
      <c r="V13" s="185">
        <v>677076.7</v>
      </c>
      <c r="W13" s="185">
        <v>22202.61</v>
      </c>
      <c r="X13" s="185">
        <f t="shared" si="1"/>
        <v>22202610</v>
      </c>
      <c r="Z13" s="265">
        <v>2035</v>
      </c>
      <c r="AA13" s="185">
        <v>291072.30952100002</v>
      </c>
      <c r="AB13" s="185">
        <v>9066095.1245700009</v>
      </c>
      <c r="AC13" s="185">
        <v>431272.56860200001</v>
      </c>
      <c r="AD13" s="185">
        <f t="shared" si="6"/>
        <v>140200259.081</v>
      </c>
      <c r="AE13" s="236">
        <f t="shared" si="3"/>
        <v>15.46423869975108</v>
      </c>
      <c r="AG13" s="265">
        <v>2035</v>
      </c>
      <c r="AH13" s="185">
        <v>1465.2277538948974</v>
      </c>
      <c r="AI13" s="185">
        <v>12835395.124119302</v>
      </c>
      <c r="AJ13" s="185">
        <v>404040786.4448964</v>
      </c>
      <c r="AK13" s="185">
        <f t="shared" si="7"/>
        <v>404040786.4448964</v>
      </c>
      <c r="AL13" s="185">
        <f t="shared" si="8"/>
        <v>566443655.52589643</v>
      </c>
      <c r="AM13" s="185">
        <f t="shared" si="9"/>
        <v>22578566.948689301</v>
      </c>
    </row>
    <row r="14" spans="1:39" x14ac:dyDescent="0.25">
      <c r="A14" s="265">
        <v>2036</v>
      </c>
      <c r="B14" s="185">
        <v>693256</v>
      </c>
      <c r="C14" s="185">
        <v>687229.4</v>
      </c>
      <c r="D14" s="185">
        <v>24220.44</v>
      </c>
      <c r="E14" s="185">
        <f t="shared" si="0"/>
        <v>24220440</v>
      </c>
      <c r="G14" s="265">
        <v>2036</v>
      </c>
      <c r="H14" s="185">
        <v>314800.67000000004</v>
      </c>
      <c r="I14" s="185">
        <v>9261580.4900000002</v>
      </c>
      <c r="J14" s="185">
        <v>459793.57899999997</v>
      </c>
      <c r="K14" s="185">
        <f t="shared" si="4"/>
        <v>144992908.99999994</v>
      </c>
      <c r="L14" s="236">
        <f t="shared" si="2"/>
        <v>15.65530949674875</v>
      </c>
      <c r="N14" s="265">
        <v>2036</v>
      </c>
      <c r="O14" s="185">
        <v>1462.6271284594854</v>
      </c>
      <c r="P14" s="185">
        <v>12847716.69638812</v>
      </c>
      <c r="Q14" s="185">
        <v>415582515.84851176</v>
      </c>
      <c r="R14" s="185">
        <f t="shared" si="5"/>
        <v>415582515.84851176</v>
      </c>
      <c r="T14" s="265">
        <v>2036</v>
      </c>
      <c r="U14" s="185">
        <v>693256</v>
      </c>
      <c r="V14" s="185">
        <v>681913.4</v>
      </c>
      <c r="W14" s="185">
        <v>22945.58</v>
      </c>
      <c r="X14" s="185">
        <f t="shared" si="1"/>
        <v>22945580</v>
      </c>
      <c r="Z14" s="265">
        <v>2036</v>
      </c>
      <c r="AA14" s="185">
        <v>303982.347672</v>
      </c>
      <c r="AB14" s="185">
        <v>9246078.3175300006</v>
      </c>
      <c r="AC14" s="185">
        <v>452895.918336</v>
      </c>
      <c r="AD14" s="185">
        <f t="shared" si="6"/>
        <v>148913570.664</v>
      </c>
      <c r="AE14" s="236">
        <f t="shared" si="3"/>
        <v>16.10559261451084</v>
      </c>
      <c r="AG14" s="265">
        <v>2036</v>
      </c>
      <c r="AH14" s="185">
        <v>1462.6271284594854</v>
      </c>
      <c r="AI14" s="185">
        <v>12847716.69638812</v>
      </c>
      <c r="AJ14" s="185">
        <v>415582515.84851176</v>
      </c>
      <c r="AK14" s="185">
        <f t="shared" si="7"/>
        <v>415582515.84851176</v>
      </c>
      <c r="AL14" s="185">
        <f t="shared" si="8"/>
        <v>587441666.51251173</v>
      </c>
      <c r="AM14" s="185">
        <f t="shared" si="9"/>
        <v>22775708.413918119</v>
      </c>
    </row>
    <row r="15" spans="1:39" x14ac:dyDescent="0.25">
      <c r="A15" s="265">
        <v>2037</v>
      </c>
      <c r="B15" s="185">
        <v>692254</v>
      </c>
      <c r="C15" s="185">
        <v>680322.6</v>
      </c>
      <c r="D15" s="185">
        <v>24649.71</v>
      </c>
      <c r="E15" s="185">
        <f t="shared" si="0"/>
        <v>24649710</v>
      </c>
      <c r="G15" s="265">
        <v>2037</v>
      </c>
      <c r="H15" s="185">
        <v>314086.67499999999</v>
      </c>
      <c r="I15" s="185">
        <v>9285420.3499999996</v>
      </c>
      <c r="J15" s="185">
        <v>471764.57500000001</v>
      </c>
      <c r="K15" s="185">
        <f t="shared" si="4"/>
        <v>157677900.00000003</v>
      </c>
      <c r="L15" s="236">
        <f t="shared" si="2"/>
        <v>16.981234457522437</v>
      </c>
      <c r="N15" s="265">
        <v>2037</v>
      </c>
      <c r="O15" s="185">
        <v>1461.1517877789672</v>
      </c>
      <c r="P15" s="185">
        <v>12799689.660943752</v>
      </c>
      <c r="Q15" s="185">
        <v>419298963.34424484</v>
      </c>
      <c r="R15" s="185">
        <f t="shared" si="5"/>
        <v>419298963.34424484</v>
      </c>
      <c r="T15" s="265">
        <v>2037</v>
      </c>
      <c r="U15" s="185">
        <v>692254</v>
      </c>
      <c r="V15" s="185">
        <v>676506.6</v>
      </c>
      <c r="W15" s="185">
        <v>23153.67</v>
      </c>
      <c r="X15" s="185">
        <f t="shared" si="1"/>
        <v>23153670</v>
      </c>
      <c r="Z15" s="265">
        <v>2037</v>
      </c>
      <c r="AA15" s="185">
        <v>299426.207108</v>
      </c>
      <c r="AB15" s="185">
        <v>9250582.6336400006</v>
      </c>
      <c r="AC15" s="185">
        <v>461423.737463</v>
      </c>
      <c r="AD15" s="185">
        <f t="shared" si="6"/>
        <v>161997530.35499999</v>
      </c>
      <c r="AE15" s="236">
        <f t="shared" si="3"/>
        <v>17.512143480118915</v>
      </c>
      <c r="AG15" s="265">
        <v>2037</v>
      </c>
      <c r="AH15" s="185">
        <v>1461.1517877789672</v>
      </c>
      <c r="AI15" s="185">
        <v>12799689.660943752</v>
      </c>
      <c r="AJ15" s="185">
        <v>419298963.34424484</v>
      </c>
      <c r="AK15" s="185">
        <f t="shared" si="7"/>
        <v>419298963.34424484</v>
      </c>
      <c r="AL15" s="185">
        <f t="shared" si="8"/>
        <v>604450163.69924486</v>
      </c>
      <c r="AM15" s="185">
        <f t="shared" si="9"/>
        <v>22726778.894583754</v>
      </c>
    </row>
    <row r="16" spans="1:39" x14ac:dyDescent="0.25">
      <c r="A16" s="265">
        <v>2038</v>
      </c>
      <c r="B16" s="185">
        <v>692503.2</v>
      </c>
      <c r="C16" s="185">
        <v>682469.8</v>
      </c>
      <c r="D16" s="185">
        <v>25791.759999999998</v>
      </c>
      <c r="E16" s="185">
        <f t="shared" si="0"/>
        <v>25791760</v>
      </c>
      <c r="G16" s="265">
        <v>2038</v>
      </c>
      <c r="H16" s="185">
        <v>322495.84299999999</v>
      </c>
      <c r="I16" s="185">
        <v>9223821.5</v>
      </c>
      <c r="J16" s="185">
        <v>490682.69500000007</v>
      </c>
      <c r="K16" s="185">
        <f t="shared" si="4"/>
        <v>168186852.00000006</v>
      </c>
      <c r="L16" s="236">
        <f t="shared" si="2"/>
        <v>18.233966474741521</v>
      </c>
      <c r="N16" s="265">
        <v>2038</v>
      </c>
      <c r="O16" s="185">
        <v>1460.6838536422476</v>
      </c>
      <c r="P16" s="185">
        <v>12795590.557906089</v>
      </c>
      <c r="Q16" s="185">
        <v>436346314.79352933</v>
      </c>
      <c r="R16" s="185">
        <f t="shared" si="5"/>
        <v>436346314.79352933</v>
      </c>
      <c r="T16" s="265">
        <v>2038</v>
      </c>
      <c r="U16" s="185">
        <v>692503.2</v>
      </c>
      <c r="V16" s="185">
        <v>678333.4</v>
      </c>
      <c r="W16" s="185">
        <v>24251.05</v>
      </c>
      <c r="X16" s="185">
        <f t="shared" si="1"/>
        <v>24251050</v>
      </c>
      <c r="Z16" s="265">
        <v>2038</v>
      </c>
      <c r="AA16" s="185">
        <v>306938.63683800003</v>
      </c>
      <c r="AB16" s="185">
        <v>9187785.2329999991</v>
      </c>
      <c r="AC16" s="185">
        <v>481984.09242300002</v>
      </c>
      <c r="AD16" s="185">
        <f t="shared" si="6"/>
        <v>175045455.58499998</v>
      </c>
      <c r="AE16" s="236">
        <f t="shared" si="3"/>
        <v>19.051975111072995</v>
      </c>
      <c r="AG16" s="265">
        <v>2038</v>
      </c>
      <c r="AH16" s="185">
        <v>1460.6838536422476</v>
      </c>
      <c r="AI16" s="185">
        <v>12795590.557906089</v>
      </c>
      <c r="AJ16" s="185">
        <v>436346314.79352933</v>
      </c>
      <c r="AK16" s="185">
        <f t="shared" si="7"/>
        <v>436346314.79352933</v>
      </c>
      <c r="AL16" s="185">
        <f t="shared" si="8"/>
        <v>635642820.37852931</v>
      </c>
      <c r="AM16" s="185">
        <f t="shared" si="9"/>
        <v>22661709.190906085</v>
      </c>
    </row>
    <row r="17" spans="1:39" x14ac:dyDescent="0.25">
      <c r="A17" s="265">
        <v>2039</v>
      </c>
      <c r="B17" s="185">
        <v>693177.4</v>
      </c>
      <c r="C17" s="185">
        <v>684007.3</v>
      </c>
      <c r="D17" s="185">
        <v>25927.24</v>
      </c>
      <c r="E17" s="185">
        <f t="shared" si="0"/>
        <v>25927240</v>
      </c>
      <c r="G17" s="265">
        <v>2039</v>
      </c>
      <c r="H17" s="185">
        <v>317584.20699999999</v>
      </c>
      <c r="I17" s="185">
        <v>9146809.8200000003</v>
      </c>
      <c r="J17" s="185">
        <v>485755.41300000006</v>
      </c>
      <c r="K17" s="185">
        <f t="shared" si="4"/>
        <v>168171206.00000006</v>
      </c>
      <c r="L17" s="236">
        <f t="shared" si="2"/>
        <v>18.385777042426806</v>
      </c>
      <c r="N17" s="265">
        <v>2039</v>
      </c>
      <c r="O17" s="185">
        <v>1487.4789502861579</v>
      </c>
      <c r="P17" s="185">
        <v>13030315.604506744</v>
      </c>
      <c r="Q17" s="185">
        <v>436153352.05776006</v>
      </c>
      <c r="R17" s="185">
        <f t="shared" si="5"/>
        <v>436153352.05776006</v>
      </c>
      <c r="T17" s="265">
        <v>2039</v>
      </c>
      <c r="U17" s="185">
        <v>693177.4</v>
      </c>
      <c r="V17" s="185">
        <v>675456.8</v>
      </c>
      <c r="W17" s="185">
        <v>24258.13</v>
      </c>
      <c r="X17" s="185">
        <f t="shared" si="1"/>
        <v>24258130</v>
      </c>
      <c r="Z17" s="265">
        <v>2039</v>
      </c>
      <c r="AA17" s="185">
        <v>303374.418794</v>
      </c>
      <c r="AB17" s="185">
        <v>9114180.8191</v>
      </c>
      <c r="AC17" s="185">
        <v>477003.36991799995</v>
      </c>
      <c r="AD17" s="185">
        <f t="shared" si="6"/>
        <v>173628951.12399995</v>
      </c>
      <c r="AE17" s="236">
        <f t="shared" si="3"/>
        <v>19.050417648082753</v>
      </c>
      <c r="AG17" s="265">
        <v>2039</v>
      </c>
      <c r="AH17" s="185">
        <v>1487.4789502861579</v>
      </c>
      <c r="AI17" s="185">
        <v>13030315.604506744</v>
      </c>
      <c r="AJ17" s="185">
        <v>436153352.05776006</v>
      </c>
      <c r="AK17" s="185">
        <f t="shared" si="7"/>
        <v>436153352.05776006</v>
      </c>
      <c r="AL17" s="185">
        <f t="shared" si="8"/>
        <v>634040433.18176007</v>
      </c>
      <c r="AM17" s="185">
        <f t="shared" si="9"/>
        <v>22819953.223606747</v>
      </c>
    </row>
    <row r="18" spans="1:39" x14ac:dyDescent="0.25">
      <c r="A18" s="265">
        <v>2040</v>
      </c>
      <c r="B18" s="185">
        <v>694937.8</v>
      </c>
      <c r="C18" s="185">
        <v>682836</v>
      </c>
      <c r="D18" s="185">
        <v>27381.8</v>
      </c>
      <c r="E18" s="185">
        <f t="shared" si="0"/>
        <v>27381800</v>
      </c>
      <c r="G18" s="265">
        <v>2040</v>
      </c>
      <c r="H18" s="185">
        <v>333373.95399999997</v>
      </c>
      <c r="I18" s="185">
        <v>9213638.8200000003</v>
      </c>
      <c r="J18" s="185">
        <v>514309.07999999996</v>
      </c>
      <c r="K18" s="185">
        <f t="shared" si="4"/>
        <v>180935126</v>
      </c>
      <c r="L18" s="236">
        <f t="shared" si="2"/>
        <v>19.637748943147741</v>
      </c>
      <c r="N18" s="265">
        <v>2040</v>
      </c>
      <c r="O18" s="185">
        <v>1458.092968857339</v>
      </c>
      <c r="P18" s="185">
        <v>12807888.638442865</v>
      </c>
      <c r="Q18" s="185">
        <v>450685378.53878963</v>
      </c>
      <c r="R18" s="185">
        <f t="shared" si="5"/>
        <v>450685378.53878963</v>
      </c>
      <c r="T18" s="265">
        <v>2040</v>
      </c>
      <c r="U18" s="185">
        <v>694937.8</v>
      </c>
      <c r="V18" s="185">
        <v>674169.8</v>
      </c>
      <c r="W18" s="185">
        <v>25553.35</v>
      </c>
      <c r="X18" s="185">
        <f t="shared" si="1"/>
        <v>25553350</v>
      </c>
      <c r="Z18" s="265">
        <v>2040</v>
      </c>
      <c r="AA18" s="185">
        <v>315499.42493600002</v>
      </c>
      <c r="AB18" s="185">
        <v>9162831.177170001</v>
      </c>
      <c r="AC18" s="185">
        <v>501761.26196999999</v>
      </c>
      <c r="AD18" s="185">
        <f t="shared" si="6"/>
        <v>186261837.03399998</v>
      </c>
      <c r="AE18" s="236">
        <f t="shared" si="3"/>
        <v>20.327978703578836</v>
      </c>
      <c r="AG18" s="265">
        <v>2040</v>
      </c>
      <c r="AH18" s="185">
        <v>1458.092968857339</v>
      </c>
      <c r="AI18" s="185">
        <v>12807888.638442865</v>
      </c>
      <c r="AJ18" s="185">
        <v>450685378.53878963</v>
      </c>
      <c r="AK18" s="185">
        <f t="shared" si="7"/>
        <v>450685378.53878963</v>
      </c>
      <c r="AL18" s="185">
        <f t="shared" si="8"/>
        <v>662500565.57278967</v>
      </c>
      <c r="AM18" s="185">
        <f t="shared" si="9"/>
        <v>22644889.615612868</v>
      </c>
    </row>
    <row r="19" spans="1:39" x14ac:dyDescent="0.25">
      <c r="A19" s="265">
        <v>2041</v>
      </c>
      <c r="B19" s="185">
        <v>692127</v>
      </c>
      <c r="C19" s="185">
        <v>677078.2</v>
      </c>
      <c r="D19" s="185">
        <v>28702.04</v>
      </c>
      <c r="E19" s="185">
        <f t="shared" si="0"/>
        <v>28702040</v>
      </c>
      <c r="G19" s="265">
        <v>2041</v>
      </c>
      <c r="H19" s="185">
        <v>340147.01400000002</v>
      </c>
      <c r="I19" s="185">
        <v>9101845.4499999993</v>
      </c>
      <c r="J19" s="185">
        <v>542742.196</v>
      </c>
      <c r="K19" s="185">
        <f t="shared" si="4"/>
        <v>202595181.99999997</v>
      </c>
      <c r="L19" s="236">
        <f t="shared" si="2"/>
        <v>22.258692823662479</v>
      </c>
      <c r="N19" s="265">
        <v>2041</v>
      </c>
      <c r="O19" s="185">
        <v>1461.9752591705421</v>
      </c>
      <c r="P19" s="185">
        <v>12806903.270333949</v>
      </c>
      <c r="Q19" s="185">
        <v>475398301.53449041</v>
      </c>
      <c r="R19" s="185">
        <f t="shared" si="5"/>
        <v>475398301.53449041</v>
      </c>
      <c r="T19" s="265">
        <v>2041</v>
      </c>
      <c r="U19" s="185">
        <v>692127</v>
      </c>
      <c r="V19" s="185">
        <v>669818.1</v>
      </c>
      <c r="W19" s="185">
        <v>26877.09</v>
      </c>
      <c r="X19" s="185">
        <f t="shared" si="1"/>
        <v>26877090</v>
      </c>
      <c r="Z19" s="265">
        <v>2041</v>
      </c>
      <c r="AA19" s="185">
        <v>325593.70669300004</v>
      </c>
      <c r="AB19" s="185">
        <v>9107614.2169400007</v>
      </c>
      <c r="AC19" s="185">
        <v>535013.49279000005</v>
      </c>
      <c r="AD19" s="185">
        <f t="shared" si="6"/>
        <v>209419786.097</v>
      </c>
      <c r="AE19" s="236">
        <f t="shared" si="3"/>
        <v>22.993923667460894</v>
      </c>
      <c r="AG19" s="265">
        <v>2041</v>
      </c>
      <c r="AH19" s="185">
        <v>1461.9752591705421</v>
      </c>
      <c r="AI19" s="185">
        <v>12806903.270333949</v>
      </c>
      <c r="AJ19" s="185">
        <v>475398301.53449041</v>
      </c>
      <c r="AK19" s="185">
        <f t="shared" si="7"/>
        <v>475398301.53449041</v>
      </c>
      <c r="AL19" s="185">
        <f t="shared" si="8"/>
        <v>711695177.63149047</v>
      </c>
      <c r="AM19" s="185">
        <f t="shared" si="9"/>
        <v>22584335.587273952</v>
      </c>
    </row>
    <row r="20" spans="1:39" x14ac:dyDescent="0.25">
      <c r="A20" s="265">
        <v>2042</v>
      </c>
      <c r="B20" s="185">
        <v>690528.8</v>
      </c>
      <c r="C20" s="185">
        <v>679450.7</v>
      </c>
      <c r="D20" s="185">
        <v>28925.58</v>
      </c>
      <c r="E20" s="185">
        <f t="shared" si="0"/>
        <v>28925580</v>
      </c>
      <c r="G20" s="265">
        <v>2042</v>
      </c>
      <c r="H20" s="185">
        <v>354245.65700000001</v>
      </c>
      <c r="I20" s="185">
        <v>9334170.4299999997</v>
      </c>
      <c r="J20" s="185">
        <v>565845.95500000007</v>
      </c>
      <c r="K20" s="185">
        <f t="shared" si="4"/>
        <v>211600298.00000006</v>
      </c>
      <c r="L20" s="236">
        <f t="shared" si="2"/>
        <v>22.669427303353842</v>
      </c>
      <c r="N20" s="265">
        <v>2042</v>
      </c>
      <c r="O20" s="185">
        <v>1455.6169100484135</v>
      </c>
      <c r="P20" s="185">
        <v>12751204.132024102</v>
      </c>
      <c r="Q20" s="185">
        <v>477354863.1496551</v>
      </c>
      <c r="R20" s="185">
        <f t="shared" si="5"/>
        <v>477354863.1496551</v>
      </c>
      <c r="T20" s="265">
        <v>2042</v>
      </c>
      <c r="U20" s="185">
        <v>690528.8</v>
      </c>
      <c r="V20" s="185">
        <v>670273.80000000005</v>
      </c>
      <c r="W20" s="185">
        <v>26991.4</v>
      </c>
      <c r="X20" s="185">
        <f t="shared" si="1"/>
        <v>26991400</v>
      </c>
      <c r="Z20" s="265">
        <v>2042</v>
      </c>
      <c r="AA20" s="185">
        <v>333710.10724099999</v>
      </c>
      <c r="AB20" s="185">
        <v>9250767.30057</v>
      </c>
      <c r="AC20" s="185">
        <v>551277.31743100006</v>
      </c>
      <c r="AD20" s="185">
        <f t="shared" si="6"/>
        <v>217567210.19000006</v>
      </c>
      <c r="AE20" s="236">
        <f t="shared" si="3"/>
        <v>23.51882855993949</v>
      </c>
      <c r="AG20" s="265">
        <v>2042</v>
      </c>
      <c r="AH20" s="185">
        <v>1455.6169100484135</v>
      </c>
      <c r="AI20" s="185">
        <v>12751204.132024102</v>
      </c>
      <c r="AJ20" s="185">
        <v>477354863.1496551</v>
      </c>
      <c r="AK20" s="185">
        <f t="shared" si="7"/>
        <v>477354863.1496551</v>
      </c>
      <c r="AL20" s="185">
        <f t="shared" si="8"/>
        <v>721913473.33965516</v>
      </c>
      <c r="AM20" s="185">
        <f t="shared" si="9"/>
        <v>22672245.232594103</v>
      </c>
    </row>
    <row r="21" spans="1:39" x14ac:dyDescent="0.25">
      <c r="A21" s="265">
        <v>2043</v>
      </c>
      <c r="B21" s="185">
        <v>692254</v>
      </c>
      <c r="C21" s="185">
        <v>682122.4</v>
      </c>
      <c r="D21" s="185">
        <v>29932.12</v>
      </c>
      <c r="E21" s="185">
        <f t="shared" si="0"/>
        <v>29932120</v>
      </c>
      <c r="G21" s="265">
        <v>2043</v>
      </c>
      <c r="H21" s="185">
        <v>366288.58299999998</v>
      </c>
      <c r="I21" s="185">
        <v>8995039.5500000007</v>
      </c>
      <c r="J21" s="185">
        <v>540398.36599999992</v>
      </c>
      <c r="K21" s="185">
        <f t="shared" si="4"/>
        <v>174109782.99999994</v>
      </c>
      <c r="L21" s="236">
        <f t="shared" si="2"/>
        <v>19.356199829049103</v>
      </c>
      <c r="N21" s="265">
        <v>2043</v>
      </c>
      <c r="O21" s="185">
        <v>1452.3661033522137</v>
      </c>
      <c r="P21" s="185">
        <v>12722727.065365393</v>
      </c>
      <c r="Q21" s="185">
        <v>496315598.45671517</v>
      </c>
      <c r="R21" s="185">
        <f t="shared" si="5"/>
        <v>496315598.45671517</v>
      </c>
      <c r="T21" s="265">
        <v>2043</v>
      </c>
      <c r="U21" s="185">
        <v>692254</v>
      </c>
      <c r="V21" s="185">
        <v>673690.6</v>
      </c>
      <c r="W21" s="185">
        <v>28212.51</v>
      </c>
      <c r="X21" s="185">
        <f t="shared" si="1"/>
        <v>28212510</v>
      </c>
      <c r="Z21" s="265">
        <v>2043</v>
      </c>
      <c r="AA21" s="185">
        <v>348178.58291499998</v>
      </c>
      <c r="AB21" s="185">
        <v>8967541.7925499994</v>
      </c>
      <c r="AC21" s="185">
        <v>531072.34914199996</v>
      </c>
      <c r="AD21" s="185">
        <f t="shared" si="6"/>
        <v>182893766.227</v>
      </c>
      <c r="AE21" s="236">
        <f t="shared" si="3"/>
        <v>20.395083787503882</v>
      </c>
      <c r="AG21" s="265">
        <v>2043</v>
      </c>
      <c r="AH21" s="185">
        <v>1452.3661033522137</v>
      </c>
      <c r="AI21" s="185">
        <v>12722727.065365393</v>
      </c>
      <c r="AJ21" s="185">
        <v>496315598.45671517</v>
      </c>
      <c r="AK21" s="185">
        <f t="shared" si="7"/>
        <v>496315598.45671517</v>
      </c>
      <c r="AL21" s="185">
        <f t="shared" si="8"/>
        <v>707421874.68371511</v>
      </c>
      <c r="AM21" s="185">
        <f t="shared" si="9"/>
        <v>22363959.457915395</v>
      </c>
    </row>
    <row r="22" spans="1:39" x14ac:dyDescent="0.25">
      <c r="A22" s="265">
        <v>2044</v>
      </c>
      <c r="B22" s="185">
        <v>696026.6</v>
      </c>
      <c r="C22" s="185">
        <v>686102.4</v>
      </c>
      <c r="D22" s="185">
        <v>30601.91</v>
      </c>
      <c r="E22" s="185">
        <f t="shared" si="0"/>
        <v>30601910</v>
      </c>
      <c r="G22" s="265">
        <v>2044</v>
      </c>
      <c r="H22" s="185">
        <v>372866.31400000001</v>
      </c>
      <c r="I22" s="185">
        <v>8875557.6600000001</v>
      </c>
      <c r="J22" s="185">
        <v>537761.98</v>
      </c>
      <c r="K22" s="185">
        <f t="shared" si="4"/>
        <v>164895665.99999997</v>
      </c>
      <c r="L22" s="236">
        <f t="shared" si="2"/>
        <v>18.578625965458485</v>
      </c>
      <c r="N22" s="265">
        <v>2044</v>
      </c>
      <c r="O22" s="185">
        <v>1479.63598647197</v>
      </c>
      <c r="P22" s="185">
        <v>12997122.505169785</v>
      </c>
      <c r="Q22" s="185">
        <v>508326685.97168154</v>
      </c>
      <c r="R22" s="185">
        <f t="shared" si="5"/>
        <v>508326685.97168154</v>
      </c>
      <c r="T22" s="265">
        <v>2044</v>
      </c>
      <c r="U22" s="185">
        <v>696026.6</v>
      </c>
      <c r="V22" s="185">
        <v>670501.6</v>
      </c>
      <c r="W22" s="185">
        <v>28236.01</v>
      </c>
      <c r="X22" s="185">
        <f t="shared" si="1"/>
        <v>28236010</v>
      </c>
      <c r="Z22" s="265">
        <v>2044</v>
      </c>
      <c r="AA22" s="185">
        <v>352098.58513600001</v>
      </c>
      <c r="AB22" s="185">
        <v>8842212.0606399998</v>
      </c>
      <c r="AC22" s="185">
        <v>527388.59532900003</v>
      </c>
      <c r="AD22" s="185">
        <f t="shared" si="6"/>
        <v>175290010.19300002</v>
      </c>
      <c r="AE22" s="236">
        <f t="shared" si="3"/>
        <v>19.824225995809527</v>
      </c>
      <c r="AG22" s="265">
        <v>2044</v>
      </c>
      <c r="AH22" s="185">
        <v>1479.63598647197</v>
      </c>
      <c r="AI22" s="185">
        <v>12997122.505169785</v>
      </c>
      <c r="AJ22" s="185">
        <v>508326685.97168154</v>
      </c>
      <c r="AK22" s="185">
        <f t="shared" si="7"/>
        <v>508326685.97168154</v>
      </c>
      <c r="AL22" s="185">
        <f t="shared" si="8"/>
        <v>711852706.16468155</v>
      </c>
      <c r="AM22" s="185">
        <f t="shared" si="9"/>
        <v>22509836.165809788</v>
      </c>
    </row>
    <row r="23" spans="1:39" x14ac:dyDescent="0.25">
      <c r="A23" s="265">
        <v>2045</v>
      </c>
      <c r="B23" s="185">
        <v>692540.4</v>
      </c>
      <c r="C23" s="185">
        <v>683890.4</v>
      </c>
      <c r="D23" s="185">
        <v>33435.629999999997</v>
      </c>
      <c r="E23" s="185">
        <f t="shared" si="0"/>
        <v>33435629.999999996</v>
      </c>
      <c r="G23" s="265">
        <v>2045</v>
      </c>
      <c r="H23" s="185">
        <v>398365.68699999998</v>
      </c>
      <c r="I23" s="185">
        <v>8749988.4800000004</v>
      </c>
      <c r="J23" s="185">
        <v>582074.08199999994</v>
      </c>
      <c r="K23" s="185">
        <f t="shared" si="4"/>
        <v>183708394.99999997</v>
      </c>
      <c r="L23" s="236">
        <f t="shared" si="2"/>
        <v>20.995272784633421</v>
      </c>
      <c r="N23" s="265">
        <v>2045</v>
      </c>
      <c r="O23" s="185">
        <v>1466.6008777247475</v>
      </c>
      <c r="P23" s="185">
        <v>12847423.688868789</v>
      </c>
      <c r="Q23" s="185">
        <v>545992224.00230062</v>
      </c>
      <c r="R23" s="185">
        <f t="shared" si="5"/>
        <v>545992224.00230062</v>
      </c>
      <c r="T23" s="265">
        <v>2045</v>
      </c>
      <c r="U23" s="185">
        <v>692540.4</v>
      </c>
      <c r="V23" s="185">
        <v>672492.4</v>
      </c>
      <c r="W23" s="185">
        <v>30272.080000000002</v>
      </c>
      <c r="X23" s="185">
        <f t="shared" si="1"/>
        <v>30272080</v>
      </c>
      <c r="Z23" s="265">
        <v>2045</v>
      </c>
      <c r="AA23" s="185">
        <v>372041.477655</v>
      </c>
      <c r="AB23" s="185">
        <v>8732129.0095300004</v>
      </c>
      <c r="AC23" s="185">
        <v>565904.27188300004</v>
      </c>
      <c r="AD23" s="185">
        <f t="shared" si="6"/>
        <v>193862794.22800004</v>
      </c>
      <c r="AE23" s="236">
        <f t="shared" si="3"/>
        <v>22.201091396659809</v>
      </c>
      <c r="AG23" s="265">
        <v>2045</v>
      </c>
      <c r="AH23" s="185">
        <v>1466.6008777247475</v>
      </c>
      <c r="AI23" s="185">
        <v>12847423.688868789</v>
      </c>
      <c r="AJ23" s="185">
        <v>545992224.00230062</v>
      </c>
      <c r="AK23" s="185">
        <f t="shared" si="7"/>
        <v>545992224.00230062</v>
      </c>
      <c r="AL23" s="185">
        <f t="shared" si="8"/>
        <v>770127098.23030066</v>
      </c>
      <c r="AM23" s="185">
        <f t="shared" si="9"/>
        <v>22252045.09839879</v>
      </c>
    </row>
    <row r="24" spans="1:39" x14ac:dyDescent="0.25">
      <c r="A24" s="265">
        <v>2046</v>
      </c>
      <c r="B24" s="185">
        <v>691797.2</v>
      </c>
      <c r="C24" s="185">
        <v>680649.7</v>
      </c>
      <c r="D24" s="185">
        <v>34403.71</v>
      </c>
      <c r="E24" s="185">
        <f t="shared" si="0"/>
        <v>34403710</v>
      </c>
      <c r="G24" s="265">
        <v>2046</v>
      </c>
      <c r="H24" s="185">
        <v>407078.37900000002</v>
      </c>
      <c r="I24" s="185">
        <v>8605790.8499999996</v>
      </c>
      <c r="J24" s="185">
        <v>584979.83499999996</v>
      </c>
      <c r="K24" s="185">
        <f t="shared" si="4"/>
        <v>177901455.99999994</v>
      </c>
      <c r="L24" s="236">
        <f t="shared" si="2"/>
        <v>20.672296027273305</v>
      </c>
      <c r="N24" s="265">
        <v>2046</v>
      </c>
      <c r="O24" s="185">
        <v>1454.7808913103213</v>
      </c>
      <c r="P24" s="185">
        <v>12743880.607878415</v>
      </c>
      <c r="Q24" s="185">
        <v>562036375.70027101</v>
      </c>
      <c r="R24" s="185">
        <f t="shared" si="5"/>
        <v>562036375.70027101</v>
      </c>
      <c r="T24" s="265">
        <v>2046</v>
      </c>
      <c r="U24" s="185">
        <v>691797.2</v>
      </c>
      <c r="V24" s="185">
        <v>668284.80000000005</v>
      </c>
      <c r="W24" s="185">
        <v>31338.81</v>
      </c>
      <c r="X24" s="185">
        <f t="shared" si="1"/>
        <v>31338810</v>
      </c>
      <c r="Z24" s="265">
        <v>2046</v>
      </c>
      <c r="AA24" s="185">
        <v>386069.02210099995</v>
      </c>
      <c r="AB24" s="185">
        <v>8653568.9535099994</v>
      </c>
      <c r="AC24" s="185">
        <v>568804.63240300003</v>
      </c>
      <c r="AD24" s="185">
        <f t="shared" si="6"/>
        <v>182735610.30200008</v>
      </c>
      <c r="AE24" s="236">
        <f t="shared" si="3"/>
        <v>21.116791382112943</v>
      </c>
      <c r="AG24" s="265">
        <v>2046</v>
      </c>
      <c r="AH24" s="185">
        <v>1454.7808913103213</v>
      </c>
      <c r="AI24" s="185">
        <v>12743880.607878415</v>
      </c>
      <c r="AJ24" s="185">
        <v>562036375.70027101</v>
      </c>
      <c r="AK24" s="185">
        <f t="shared" si="7"/>
        <v>562036375.70027101</v>
      </c>
      <c r="AL24" s="185">
        <f t="shared" si="8"/>
        <v>776110796.00227106</v>
      </c>
      <c r="AM24" s="185">
        <f t="shared" si="9"/>
        <v>22065734.361388415</v>
      </c>
    </row>
    <row r="25" spans="1:39" x14ac:dyDescent="0.25">
      <c r="A25" s="265">
        <v>2047</v>
      </c>
      <c r="B25" s="185">
        <v>692127</v>
      </c>
      <c r="C25" s="185">
        <v>681123.2</v>
      </c>
      <c r="D25" s="185">
        <v>35243.93</v>
      </c>
      <c r="E25" s="185">
        <f t="shared" si="0"/>
        <v>35243930</v>
      </c>
      <c r="G25" s="265">
        <v>2047</v>
      </c>
      <c r="H25" s="185">
        <v>421062.397</v>
      </c>
      <c r="I25" s="185">
        <v>8647104.1500000004</v>
      </c>
      <c r="J25" s="185">
        <v>604111.46799999999</v>
      </c>
      <c r="K25" s="185">
        <f t="shared" si="4"/>
        <v>183049071</v>
      </c>
      <c r="L25" s="236">
        <f t="shared" si="2"/>
        <v>21.168829220126831</v>
      </c>
      <c r="N25" s="265">
        <v>2047</v>
      </c>
      <c r="O25" s="185">
        <v>1461.3781519029383</v>
      </c>
      <c r="P25" s="185">
        <v>12801672.61066974</v>
      </c>
      <c r="Q25" s="185">
        <v>580611915.97177291</v>
      </c>
      <c r="R25" s="185">
        <f t="shared" si="5"/>
        <v>580611915.97177291</v>
      </c>
      <c r="T25" s="265">
        <v>2047</v>
      </c>
      <c r="U25" s="185">
        <v>692127</v>
      </c>
      <c r="V25" s="185">
        <v>668764.6</v>
      </c>
      <c r="W25" s="185">
        <v>31897.72</v>
      </c>
      <c r="X25" s="185">
        <f t="shared" si="1"/>
        <v>31897720</v>
      </c>
      <c r="Z25" s="265">
        <v>2047</v>
      </c>
      <c r="AA25" s="185">
        <v>390388.25966099999</v>
      </c>
      <c r="AB25" s="185">
        <v>8589885.2416099999</v>
      </c>
      <c r="AC25" s="185">
        <v>577440.73566400004</v>
      </c>
      <c r="AD25" s="185">
        <f t="shared" si="6"/>
        <v>187052476.00300005</v>
      </c>
      <c r="AE25" s="236">
        <f t="shared" si="3"/>
        <v>21.775899298037753</v>
      </c>
      <c r="AG25" s="265">
        <v>2047</v>
      </c>
      <c r="AH25" s="185">
        <v>1461.3781519029383</v>
      </c>
      <c r="AI25" s="185">
        <v>12801672.61066974</v>
      </c>
      <c r="AJ25" s="185">
        <v>580611915.97177291</v>
      </c>
      <c r="AK25" s="185">
        <f t="shared" si="7"/>
        <v>580611915.97177291</v>
      </c>
      <c r="AL25" s="185">
        <f t="shared" si="8"/>
        <v>799562111.97477293</v>
      </c>
      <c r="AM25" s="185">
        <f t="shared" si="9"/>
        <v>22060322.452279739</v>
      </c>
    </row>
    <row r="26" spans="1:39" x14ac:dyDescent="0.25">
      <c r="A26" s="265">
        <v>2048</v>
      </c>
      <c r="B26" s="185">
        <v>693383</v>
      </c>
      <c r="C26" s="185">
        <v>684460.1</v>
      </c>
      <c r="D26" s="185">
        <v>36399.17</v>
      </c>
      <c r="E26" s="185">
        <f t="shared" si="0"/>
        <v>36399170</v>
      </c>
      <c r="G26" s="265">
        <v>2048</v>
      </c>
      <c r="H26" s="185">
        <v>427475.13400000002</v>
      </c>
      <c r="I26" s="185">
        <v>8468323.3200000003</v>
      </c>
      <c r="J26" s="185">
        <v>614920.80000000005</v>
      </c>
      <c r="K26" s="185">
        <f t="shared" si="4"/>
        <v>187445666.00000003</v>
      </c>
      <c r="L26" s="236">
        <f t="shared" si="2"/>
        <v>22.134920800355083</v>
      </c>
      <c r="N26" s="265">
        <v>2048</v>
      </c>
      <c r="O26" s="185">
        <v>1455.5099663035467</v>
      </c>
      <c r="P26" s="185">
        <v>12785199.544010354</v>
      </c>
      <c r="Q26" s="185">
        <v>599141301.09911919</v>
      </c>
      <c r="R26" s="185">
        <f t="shared" si="5"/>
        <v>599141301.09911919</v>
      </c>
      <c r="T26" s="265">
        <v>2048</v>
      </c>
      <c r="U26" s="185">
        <v>693383</v>
      </c>
      <c r="V26" s="185">
        <v>670430.1</v>
      </c>
      <c r="W26" s="185">
        <v>32994.5</v>
      </c>
      <c r="X26" s="185">
        <f t="shared" si="1"/>
        <v>32994500</v>
      </c>
      <c r="Z26" s="265">
        <v>2048</v>
      </c>
      <c r="AA26" s="185">
        <v>399096.078958</v>
      </c>
      <c r="AB26" s="185">
        <v>8474241.8634699993</v>
      </c>
      <c r="AC26" s="185">
        <v>577079.62818700005</v>
      </c>
      <c r="AD26" s="185">
        <f t="shared" si="6"/>
        <v>177983549.22900006</v>
      </c>
      <c r="AE26" s="236">
        <f t="shared" si="3"/>
        <v>21.002887585287784</v>
      </c>
      <c r="AG26" s="265">
        <v>2048</v>
      </c>
      <c r="AH26" s="185">
        <v>1455.5099663035467</v>
      </c>
      <c r="AI26" s="185">
        <v>12785199.544010354</v>
      </c>
      <c r="AJ26" s="185">
        <v>599141301.09911919</v>
      </c>
      <c r="AK26" s="185">
        <f t="shared" si="7"/>
        <v>599141301.09911919</v>
      </c>
      <c r="AL26" s="185">
        <f t="shared" si="8"/>
        <v>810119350.32811928</v>
      </c>
      <c r="AM26" s="185">
        <f t="shared" si="9"/>
        <v>21929871.507480353</v>
      </c>
    </row>
    <row r="27" spans="1:39" x14ac:dyDescent="0.25">
      <c r="A27" s="265">
        <v>2049</v>
      </c>
      <c r="B27" s="185">
        <v>692503.2</v>
      </c>
      <c r="C27" s="185">
        <v>679953.4</v>
      </c>
      <c r="D27" s="185">
        <v>38050.589999999997</v>
      </c>
      <c r="E27" s="185">
        <f t="shared" si="0"/>
        <v>38050590</v>
      </c>
      <c r="G27" s="265">
        <v>2049</v>
      </c>
      <c r="H27" s="185">
        <v>435953.08499999996</v>
      </c>
      <c r="I27" s="185">
        <v>8445766.2799999993</v>
      </c>
      <c r="J27" s="185">
        <v>635841.07799999998</v>
      </c>
      <c r="K27" s="185">
        <f t="shared" si="4"/>
        <v>199887993.00000003</v>
      </c>
      <c r="L27" s="236">
        <f t="shared" si="2"/>
        <v>23.667241831371168</v>
      </c>
      <c r="N27" s="265">
        <v>2049</v>
      </c>
      <c r="O27" s="185">
        <v>1460.8599208017663</v>
      </c>
      <c r="P27" s="185">
        <v>12797132.906223472</v>
      </c>
      <c r="Q27" s="185">
        <v>622879794.31688154</v>
      </c>
      <c r="R27" s="185">
        <f t="shared" si="5"/>
        <v>622879794.31688154</v>
      </c>
      <c r="T27" s="265">
        <v>2049</v>
      </c>
      <c r="U27" s="185">
        <v>692503.2</v>
      </c>
      <c r="V27" s="185">
        <v>671843.1</v>
      </c>
      <c r="W27" s="185">
        <v>33886.949999999997</v>
      </c>
      <c r="X27" s="185">
        <f t="shared" si="1"/>
        <v>33886950</v>
      </c>
      <c r="Z27" s="265">
        <v>2049</v>
      </c>
      <c r="AA27" s="185">
        <v>406984.58502400003</v>
      </c>
      <c r="AB27" s="185">
        <v>8441080.7660300005</v>
      </c>
      <c r="AC27" s="185">
        <v>592003.532289</v>
      </c>
      <c r="AD27" s="185">
        <f t="shared" si="6"/>
        <v>185018947.26499996</v>
      </c>
      <c r="AE27" s="236">
        <f t="shared" si="3"/>
        <v>21.918869442593646</v>
      </c>
      <c r="AG27" s="265">
        <v>2049</v>
      </c>
      <c r="AH27" s="185">
        <v>1460.8599208017663</v>
      </c>
      <c r="AI27" s="185">
        <v>12797132.906223472</v>
      </c>
      <c r="AJ27" s="185">
        <v>622879794.31688154</v>
      </c>
      <c r="AK27" s="185">
        <f t="shared" si="7"/>
        <v>622879794.31688154</v>
      </c>
      <c r="AL27" s="185">
        <f t="shared" si="8"/>
        <v>841785691.58188152</v>
      </c>
      <c r="AM27" s="185">
        <f t="shared" si="9"/>
        <v>21910056.772253476</v>
      </c>
    </row>
    <row r="28" spans="1:39" x14ac:dyDescent="0.25">
      <c r="A28" s="266" t="s">
        <v>512</v>
      </c>
      <c r="B28" s="267">
        <f>SUM(B3:B27)</f>
        <v>13854943.799999999</v>
      </c>
      <c r="C28" s="267">
        <f t="shared" ref="C28:E28" si="10">SUM(C3:C27)</f>
        <v>13665744</v>
      </c>
      <c r="D28" s="267">
        <f t="shared" si="10"/>
        <v>558103.69999999995</v>
      </c>
      <c r="E28" s="185">
        <f t="shared" si="10"/>
        <v>558103700</v>
      </c>
      <c r="G28" s="266" t="s">
        <v>512</v>
      </c>
      <c r="H28" s="267">
        <f>SUM(H3:H27)</f>
        <v>6243728.4639999997</v>
      </c>
      <c r="I28" s="267">
        <f t="shared" ref="I28:K28" si="11">SUM(I3:I27)</f>
        <v>160849316.70999998</v>
      </c>
      <c r="J28" s="267">
        <f t="shared" si="11"/>
        <v>9326628.6450000014</v>
      </c>
      <c r="K28" s="185">
        <f t="shared" si="11"/>
        <v>3082900181</v>
      </c>
      <c r="L28" s="236">
        <f>(J28-H28)*1000/I28</f>
        <v>19.166386553933918</v>
      </c>
      <c r="N28" s="266" t="s">
        <v>512</v>
      </c>
      <c r="O28" s="267">
        <f>SUM(O3:O27)</f>
        <v>29305.42148121541</v>
      </c>
      <c r="P28" s="267">
        <f t="shared" ref="P28:R28" si="12">SUM(P3:P27)</f>
        <v>256891147.98508731</v>
      </c>
      <c r="Q28" s="267">
        <f t="shared" si="12"/>
        <v>9348274901.6864071</v>
      </c>
      <c r="R28" s="185">
        <f t="shared" si="12"/>
        <v>9348274901.6864071</v>
      </c>
      <c r="T28" s="266" t="s">
        <v>512</v>
      </c>
      <c r="U28" s="267">
        <f>SUM(U3:U27)</f>
        <v>13854943.799999999</v>
      </c>
      <c r="V28" s="267">
        <f t="shared" ref="V28:X28" si="13">SUM(V3:V27)</f>
        <v>13484319.1</v>
      </c>
      <c r="W28" s="267">
        <f t="shared" si="13"/>
        <v>517410.34</v>
      </c>
      <c r="X28" s="185">
        <f t="shared" si="13"/>
        <v>517410340</v>
      </c>
      <c r="Z28" s="266" t="s">
        <v>512</v>
      </c>
      <c r="AA28" s="267">
        <f>SUM(AA3:AA27)</f>
        <v>5910910.5684000012</v>
      </c>
      <c r="AB28" s="267">
        <f t="shared" ref="AB28:AD28" si="14">SUM(AB3:AB27)</f>
        <v>160093214.94266999</v>
      </c>
      <c r="AC28" s="267">
        <f t="shared" si="14"/>
        <v>9068672.7822099999</v>
      </c>
      <c r="AD28" s="185">
        <f t="shared" si="14"/>
        <v>3157762213.8100004</v>
      </c>
      <c r="AE28" s="236">
        <f>(AC28-AA28)*1000/AB28</f>
        <v>19.724522459873178</v>
      </c>
      <c r="AG28" s="266" t="s">
        <v>512</v>
      </c>
      <c r="AH28" s="267">
        <f>SUM(AH3:AH27)</f>
        <v>29305.42148121541</v>
      </c>
      <c r="AI28" s="267">
        <f t="shared" ref="AI28:AK28" si="15">SUM(AI3:AI27)</f>
        <v>256891147.98508731</v>
      </c>
      <c r="AJ28" s="267">
        <f t="shared" si="15"/>
        <v>9348274901.6864071</v>
      </c>
      <c r="AK28" s="185">
        <f t="shared" si="15"/>
        <v>9348274901.6864071</v>
      </c>
      <c r="AL28" s="185">
        <f>SUM(AL8:AL27)</f>
        <v>13023447455.496407</v>
      </c>
      <c r="AM28" s="185">
        <f>SUM(AM8:AM27)</f>
        <v>430468682.02775735</v>
      </c>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CBFFC-9811-4A80-A7B2-E887762D3771}">
  <sheetPr codeName="Sheet48">
    <tabColor theme="5" tint="0.39997558519241921"/>
  </sheetPr>
  <dimension ref="A1:B1"/>
  <sheetViews>
    <sheetView workbookViewId="0"/>
  </sheetViews>
  <sheetFormatPr defaultRowHeight="15" x14ac:dyDescent="0.25"/>
  <cols>
    <col min="1" max="16384" width="9.140625" style="3"/>
  </cols>
  <sheetData>
    <row r="1" spans="1:2" x14ac:dyDescent="0.25">
      <c r="A1" s="319" t="s">
        <v>309</v>
      </c>
      <c r="B1" s="320" t="s">
        <v>308</v>
      </c>
    </row>
  </sheetData>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AFEFD-500C-4336-8890-6056C49AE5CF}">
  <sheetPr codeName="Sheet49">
    <tabColor theme="5" tint="0.39997558519241921"/>
  </sheetPr>
  <dimension ref="A3:J27"/>
  <sheetViews>
    <sheetView workbookViewId="0"/>
  </sheetViews>
  <sheetFormatPr defaultRowHeight="12.75" x14ac:dyDescent="0.25"/>
  <cols>
    <col min="1" max="1" width="21.85546875" style="282" customWidth="1"/>
    <col min="2" max="10" width="10.42578125" style="300" customWidth="1"/>
    <col min="11" max="16384" width="9.140625" style="282"/>
  </cols>
  <sheetData>
    <row r="3" spans="1:10" ht="15" x14ac:dyDescent="0.25">
      <c r="A3" s="57" t="s">
        <v>778</v>
      </c>
      <c r="B3" s="56"/>
      <c r="C3" s="56"/>
      <c r="D3" s="56"/>
      <c r="E3" s="56"/>
      <c r="F3" s="56"/>
      <c r="G3" s="56"/>
      <c r="H3" s="56"/>
      <c r="I3" s="56"/>
      <c r="J3" s="56"/>
    </row>
    <row r="4" spans="1:10" ht="48" customHeight="1" x14ac:dyDescent="0.25">
      <c r="A4" s="55" t="s">
        <v>266</v>
      </c>
      <c r="B4" s="301" t="s">
        <v>342</v>
      </c>
      <c r="C4" s="54" t="s">
        <v>341</v>
      </c>
      <c r="D4" s="301" t="s">
        <v>340</v>
      </c>
      <c r="E4" s="302" t="s">
        <v>339</v>
      </c>
      <c r="F4" s="301" t="s">
        <v>338</v>
      </c>
      <c r="G4" s="302" t="s">
        <v>337</v>
      </c>
      <c r="H4" s="301" t="s">
        <v>336</v>
      </c>
      <c r="I4" s="301" t="s">
        <v>335</v>
      </c>
      <c r="J4" s="54" t="s">
        <v>334</v>
      </c>
    </row>
    <row r="5" spans="1:10" ht="13.5" customHeight="1" x14ac:dyDescent="0.25">
      <c r="A5" s="53" t="s">
        <v>333</v>
      </c>
      <c r="B5" s="303">
        <v>2026</v>
      </c>
      <c r="C5" s="303">
        <v>650</v>
      </c>
      <c r="D5" s="303">
        <v>4</v>
      </c>
      <c r="E5" s="304">
        <v>4507</v>
      </c>
      <c r="F5" s="305">
        <v>1</v>
      </c>
      <c r="G5" s="304">
        <v>4507</v>
      </c>
      <c r="H5" s="306">
        <v>5.0599999999999996</v>
      </c>
      <c r="I5" s="306">
        <v>45.68</v>
      </c>
      <c r="J5" s="307">
        <v>8638</v>
      </c>
    </row>
    <row r="6" spans="1:10" ht="23.1" customHeight="1" x14ac:dyDescent="0.25">
      <c r="A6" s="52" t="s">
        <v>332</v>
      </c>
      <c r="B6" s="308">
        <v>2026</v>
      </c>
      <c r="C6" s="308">
        <v>650</v>
      </c>
      <c r="D6" s="308">
        <v>4</v>
      </c>
      <c r="E6" s="309">
        <v>5577</v>
      </c>
      <c r="F6" s="310">
        <v>1.01</v>
      </c>
      <c r="G6" s="309">
        <v>5633</v>
      </c>
      <c r="H6" s="311">
        <v>7.97</v>
      </c>
      <c r="I6" s="311">
        <v>61.11</v>
      </c>
      <c r="J6" s="312">
        <v>9751</v>
      </c>
    </row>
    <row r="7" spans="1:10" ht="13.5" customHeight="1" x14ac:dyDescent="0.25">
      <c r="A7" s="52" t="s">
        <v>331</v>
      </c>
      <c r="B7" s="308">
        <v>2026</v>
      </c>
      <c r="C7" s="308">
        <v>650</v>
      </c>
      <c r="D7" s="308">
        <v>4</v>
      </c>
      <c r="E7" s="309">
        <v>7176</v>
      </c>
      <c r="F7" s="310">
        <v>1.02</v>
      </c>
      <c r="G7" s="309">
        <v>7319</v>
      </c>
      <c r="H7" s="311">
        <v>12.35</v>
      </c>
      <c r="I7" s="311">
        <v>67.02</v>
      </c>
      <c r="J7" s="312">
        <v>12507</v>
      </c>
    </row>
    <row r="8" spans="1:10" ht="13.5" customHeight="1" x14ac:dyDescent="0.25">
      <c r="A8" s="52" t="s">
        <v>330</v>
      </c>
      <c r="B8" s="308">
        <v>2025</v>
      </c>
      <c r="C8" s="308">
        <v>418</v>
      </c>
      <c r="D8" s="308">
        <v>3</v>
      </c>
      <c r="E8" s="309">
        <v>1330</v>
      </c>
      <c r="F8" s="310">
        <v>1</v>
      </c>
      <c r="G8" s="309">
        <v>1330</v>
      </c>
      <c r="H8" s="311">
        <v>2.87</v>
      </c>
      <c r="I8" s="311">
        <v>15.87</v>
      </c>
      <c r="J8" s="312">
        <v>6431</v>
      </c>
    </row>
    <row r="9" spans="1:10" ht="13.5" customHeight="1" x14ac:dyDescent="0.25">
      <c r="A9" s="52" t="s">
        <v>329</v>
      </c>
      <c r="B9" s="308">
        <v>2025</v>
      </c>
      <c r="C9" s="312">
        <v>1083</v>
      </c>
      <c r="D9" s="308">
        <v>3</v>
      </c>
      <c r="E9" s="309">
        <v>1176</v>
      </c>
      <c r="F9" s="310">
        <v>1</v>
      </c>
      <c r="G9" s="309">
        <v>1176</v>
      </c>
      <c r="H9" s="311">
        <v>2.1</v>
      </c>
      <c r="I9" s="311">
        <v>13.73</v>
      </c>
      <c r="J9" s="312">
        <v>6370</v>
      </c>
    </row>
    <row r="10" spans="1:10" ht="13.5" customHeight="1" x14ac:dyDescent="0.25">
      <c r="A10" s="52" t="s">
        <v>328</v>
      </c>
      <c r="B10" s="308">
        <v>2025</v>
      </c>
      <c r="C10" s="308">
        <v>377</v>
      </c>
      <c r="D10" s="308">
        <v>3</v>
      </c>
      <c r="E10" s="309">
        <v>3019</v>
      </c>
      <c r="F10" s="310">
        <v>1.04</v>
      </c>
      <c r="G10" s="309">
        <v>3140</v>
      </c>
      <c r="H10" s="311">
        <v>6.57</v>
      </c>
      <c r="I10" s="311">
        <v>31.06</v>
      </c>
      <c r="J10" s="312">
        <v>7124</v>
      </c>
    </row>
    <row r="11" spans="1:10" ht="13.5" customHeight="1" x14ac:dyDescent="0.25">
      <c r="A11" s="52" t="s">
        <v>327</v>
      </c>
      <c r="B11" s="308">
        <v>2024</v>
      </c>
      <c r="C11" s="308">
        <v>21</v>
      </c>
      <c r="D11" s="308">
        <v>2</v>
      </c>
      <c r="E11" s="309">
        <v>2240</v>
      </c>
      <c r="F11" s="310">
        <v>1</v>
      </c>
      <c r="G11" s="309">
        <v>2240</v>
      </c>
      <c r="H11" s="311">
        <v>6.4</v>
      </c>
      <c r="I11" s="311">
        <v>39.57</v>
      </c>
      <c r="J11" s="312">
        <v>8295</v>
      </c>
    </row>
    <row r="12" spans="1:10" ht="27" customHeight="1" x14ac:dyDescent="0.25">
      <c r="A12" s="313" t="s">
        <v>326</v>
      </c>
      <c r="B12" s="308">
        <v>2024</v>
      </c>
      <c r="C12" s="308">
        <v>105</v>
      </c>
      <c r="D12" s="308">
        <v>2</v>
      </c>
      <c r="E12" s="309">
        <v>1428</v>
      </c>
      <c r="F12" s="310">
        <v>1</v>
      </c>
      <c r="G12" s="309">
        <v>1428</v>
      </c>
      <c r="H12" s="311">
        <v>5.29</v>
      </c>
      <c r="I12" s="311">
        <v>18.350000000000001</v>
      </c>
      <c r="J12" s="312">
        <v>9124</v>
      </c>
    </row>
    <row r="13" spans="1:10" ht="23.1" customHeight="1" x14ac:dyDescent="0.25">
      <c r="A13" s="52" t="s">
        <v>325</v>
      </c>
      <c r="B13" s="308">
        <v>2024</v>
      </c>
      <c r="C13" s="308">
        <v>237</v>
      </c>
      <c r="D13" s="308">
        <v>2</v>
      </c>
      <c r="E13" s="314">
        <v>867</v>
      </c>
      <c r="F13" s="310">
        <v>1</v>
      </c>
      <c r="G13" s="314">
        <v>867</v>
      </c>
      <c r="H13" s="311">
        <v>5.0599999999999996</v>
      </c>
      <c r="I13" s="311">
        <v>7.88</v>
      </c>
      <c r="J13" s="312">
        <v>9905</v>
      </c>
    </row>
    <row r="14" spans="1:10" ht="13.5" customHeight="1" x14ac:dyDescent="0.25">
      <c r="A14" s="52" t="s">
        <v>324</v>
      </c>
      <c r="B14" s="308">
        <v>2025</v>
      </c>
      <c r="C14" s="308">
        <v>10</v>
      </c>
      <c r="D14" s="308">
        <v>3</v>
      </c>
      <c r="E14" s="309">
        <v>6771</v>
      </c>
      <c r="F14" s="310">
        <v>1.08</v>
      </c>
      <c r="G14" s="309">
        <v>7291</v>
      </c>
      <c r="H14" s="311">
        <v>0.66</v>
      </c>
      <c r="I14" s="311">
        <v>34.65</v>
      </c>
      <c r="J14" s="312">
        <v>6469</v>
      </c>
    </row>
    <row r="15" spans="1:10" ht="13.5" customHeight="1" x14ac:dyDescent="0.25">
      <c r="A15" s="52" t="s">
        <v>323</v>
      </c>
      <c r="B15" s="308">
        <v>2028</v>
      </c>
      <c r="C15" s="312">
        <v>2156</v>
      </c>
      <c r="D15" s="308">
        <v>6</v>
      </c>
      <c r="E15" s="309">
        <v>7406</v>
      </c>
      <c r="F15" s="310">
        <v>1.05</v>
      </c>
      <c r="G15" s="309">
        <v>7777</v>
      </c>
      <c r="H15" s="311">
        <v>2.67</v>
      </c>
      <c r="I15" s="311">
        <v>136.91</v>
      </c>
      <c r="J15" s="312">
        <v>10447</v>
      </c>
    </row>
    <row r="16" spans="1:10" ht="13.5" customHeight="1" x14ac:dyDescent="0.25">
      <c r="A16" s="52" t="s">
        <v>322</v>
      </c>
      <c r="B16" s="308">
        <v>2028</v>
      </c>
      <c r="C16" s="308">
        <v>600</v>
      </c>
      <c r="D16" s="308">
        <v>6</v>
      </c>
      <c r="E16" s="309">
        <v>7590</v>
      </c>
      <c r="F16" s="310">
        <v>1.1000000000000001</v>
      </c>
      <c r="G16" s="309">
        <v>8349</v>
      </c>
      <c r="H16" s="311">
        <v>3.38</v>
      </c>
      <c r="I16" s="311">
        <v>106.92</v>
      </c>
      <c r="J16" s="312">
        <v>10447</v>
      </c>
    </row>
    <row r="17" spans="1:10" ht="13.5" customHeight="1" x14ac:dyDescent="0.25">
      <c r="A17" s="52" t="s">
        <v>321</v>
      </c>
      <c r="B17" s="308">
        <v>2025</v>
      </c>
      <c r="C17" s="308">
        <v>2</v>
      </c>
      <c r="D17" s="308">
        <v>3</v>
      </c>
      <c r="E17" s="309">
        <v>1915</v>
      </c>
      <c r="F17" s="310">
        <v>1</v>
      </c>
      <c r="G17" s="309">
        <v>1915</v>
      </c>
      <c r="H17" s="311">
        <v>9.69</v>
      </c>
      <c r="I17" s="311">
        <v>21.79</v>
      </c>
      <c r="J17" s="312">
        <v>8912</v>
      </c>
    </row>
    <row r="18" spans="1:10" ht="13.5" customHeight="1" x14ac:dyDescent="0.25">
      <c r="A18" s="52" t="s">
        <v>320</v>
      </c>
      <c r="B18" s="308">
        <v>2024</v>
      </c>
      <c r="C18" s="308">
        <v>1</v>
      </c>
      <c r="D18" s="308">
        <v>2</v>
      </c>
      <c r="E18" s="309">
        <v>2300</v>
      </c>
      <c r="F18" s="310">
        <v>1</v>
      </c>
      <c r="G18" s="309">
        <v>2300</v>
      </c>
      <c r="H18" s="311">
        <v>9.69</v>
      </c>
      <c r="I18" s="311">
        <v>21.79</v>
      </c>
      <c r="J18" s="312">
        <v>9894</v>
      </c>
    </row>
    <row r="19" spans="1:10" ht="13.5" customHeight="1" x14ac:dyDescent="0.25">
      <c r="A19" s="52" t="s">
        <v>319</v>
      </c>
      <c r="B19" s="308">
        <v>2023</v>
      </c>
      <c r="C19" s="308">
        <v>50</v>
      </c>
      <c r="D19" s="308">
        <v>1</v>
      </c>
      <c r="E19" s="309">
        <v>1270</v>
      </c>
      <c r="F19" s="310">
        <v>1</v>
      </c>
      <c r="G19" s="309">
        <v>1270</v>
      </c>
      <c r="H19" s="311">
        <v>0</v>
      </c>
      <c r="I19" s="311">
        <v>45.76</v>
      </c>
      <c r="J19" s="51" t="s">
        <v>310</v>
      </c>
    </row>
    <row r="20" spans="1:10" ht="13.5" customHeight="1" x14ac:dyDescent="0.25">
      <c r="A20" s="52" t="s">
        <v>318</v>
      </c>
      <c r="B20" s="308">
        <v>2026</v>
      </c>
      <c r="C20" s="308">
        <v>50</v>
      </c>
      <c r="D20" s="308">
        <v>4</v>
      </c>
      <c r="E20" s="309">
        <v>4996</v>
      </c>
      <c r="F20" s="310">
        <v>1</v>
      </c>
      <c r="G20" s="309">
        <v>4998</v>
      </c>
      <c r="H20" s="311">
        <v>5.44</v>
      </c>
      <c r="I20" s="311">
        <v>141.5</v>
      </c>
      <c r="J20" s="312">
        <v>13500</v>
      </c>
    </row>
    <row r="21" spans="1:10" ht="13.5" customHeight="1" x14ac:dyDescent="0.25">
      <c r="A21" s="52" t="s">
        <v>317</v>
      </c>
      <c r="B21" s="308">
        <v>2026</v>
      </c>
      <c r="C21" s="308">
        <v>50</v>
      </c>
      <c r="D21" s="308">
        <v>4</v>
      </c>
      <c r="E21" s="309">
        <v>3403</v>
      </c>
      <c r="F21" s="310">
        <v>1</v>
      </c>
      <c r="G21" s="309">
        <v>3403</v>
      </c>
      <c r="H21" s="311">
        <v>1.31</v>
      </c>
      <c r="I21" s="311">
        <v>153.97999999999999</v>
      </c>
      <c r="J21" s="312">
        <v>8881</v>
      </c>
    </row>
    <row r="22" spans="1:10" ht="13.5" customHeight="1" x14ac:dyDescent="0.25">
      <c r="A22" s="52" t="s">
        <v>316</v>
      </c>
      <c r="B22" s="308">
        <v>2026</v>
      </c>
      <c r="C22" s="308">
        <v>100</v>
      </c>
      <c r="D22" s="308">
        <v>4</v>
      </c>
      <c r="E22" s="309">
        <v>3421</v>
      </c>
      <c r="F22" s="310">
        <v>1</v>
      </c>
      <c r="G22" s="309">
        <v>3421</v>
      </c>
      <c r="H22" s="311">
        <v>1.57</v>
      </c>
      <c r="I22" s="311">
        <v>47.06</v>
      </c>
      <c r="J22" s="51" t="s">
        <v>310</v>
      </c>
    </row>
    <row r="23" spans="1:10" ht="13.5" customHeight="1" x14ac:dyDescent="0.25">
      <c r="A23" s="52" t="s">
        <v>315</v>
      </c>
      <c r="B23" s="308">
        <v>2025</v>
      </c>
      <c r="C23" s="308">
        <v>200</v>
      </c>
      <c r="D23" s="308">
        <v>3</v>
      </c>
      <c r="E23" s="309">
        <v>2098</v>
      </c>
      <c r="F23" s="310">
        <v>1</v>
      </c>
      <c r="G23" s="309">
        <v>2098</v>
      </c>
      <c r="H23" s="311">
        <v>0</v>
      </c>
      <c r="I23" s="311">
        <v>29.64</v>
      </c>
      <c r="J23" s="51" t="s">
        <v>310</v>
      </c>
    </row>
    <row r="24" spans="1:10" ht="13.5" customHeight="1" x14ac:dyDescent="0.25">
      <c r="A24" s="52" t="s">
        <v>314</v>
      </c>
      <c r="B24" s="308">
        <v>2026</v>
      </c>
      <c r="C24" s="308">
        <v>400</v>
      </c>
      <c r="D24" s="308">
        <v>4</v>
      </c>
      <c r="E24" s="309">
        <v>5338</v>
      </c>
      <c r="F24" s="310">
        <v>1.25</v>
      </c>
      <c r="G24" s="309">
        <v>6672</v>
      </c>
      <c r="H24" s="311">
        <v>0</v>
      </c>
      <c r="I24" s="311">
        <v>123.81</v>
      </c>
      <c r="J24" s="51" t="s">
        <v>310</v>
      </c>
    </row>
    <row r="25" spans="1:10" ht="13.5" customHeight="1" x14ac:dyDescent="0.25">
      <c r="A25" s="52" t="s">
        <v>313</v>
      </c>
      <c r="B25" s="308">
        <v>2025</v>
      </c>
      <c r="C25" s="308">
        <v>115</v>
      </c>
      <c r="D25" s="308">
        <v>3</v>
      </c>
      <c r="E25" s="309">
        <v>8732</v>
      </c>
      <c r="F25" s="310">
        <v>1</v>
      </c>
      <c r="G25" s="309">
        <v>8732</v>
      </c>
      <c r="H25" s="311">
        <v>0</v>
      </c>
      <c r="I25" s="311">
        <v>96.1</v>
      </c>
      <c r="J25" s="51" t="s">
        <v>310</v>
      </c>
    </row>
    <row r="26" spans="1:10" ht="27" customHeight="1" x14ac:dyDescent="0.25">
      <c r="A26" s="313" t="s">
        <v>312</v>
      </c>
      <c r="B26" s="308">
        <v>2024</v>
      </c>
      <c r="C26" s="308">
        <v>150</v>
      </c>
      <c r="D26" s="308">
        <v>2</v>
      </c>
      <c r="E26" s="309">
        <v>1448</v>
      </c>
      <c r="F26" s="310">
        <v>1</v>
      </c>
      <c r="G26" s="309">
        <v>1448</v>
      </c>
      <c r="H26" s="311">
        <v>0</v>
      </c>
      <c r="I26" s="311">
        <v>17.16</v>
      </c>
      <c r="J26" s="51" t="s">
        <v>310</v>
      </c>
    </row>
    <row r="27" spans="1:10" ht="13.5" customHeight="1" x14ac:dyDescent="0.25">
      <c r="A27" s="50" t="s">
        <v>311</v>
      </c>
      <c r="B27" s="315">
        <v>2024</v>
      </c>
      <c r="C27" s="315">
        <v>150</v>
      </c>
      <c r="D27" s="315">
        <v>2</v>
      </c>
      <c r="E27" s="316">
        <v>1808</v>
      </c>
      <c r="F27" s="317">
        <v>1</v>
      </c>
      <c r="G27" s="316">
        <v>1808</v>
      </c>
      <c r="H27" s="318">
        <v>0</v>
      </c>
      <c r="I27" s="318">
        <v>32.42</v>
      </c>
      <c r="J27" s="49" t="s">
        <v>310</v>
      </c>
    </row>
  </sheetData>
  <pageMargins left="0.7" right="0.7" top="0.75" bottom="0.75" header="0.3" footer="0.3"/>
  <pageSetup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3249C-DCB8-4F80-8185-607F59921744}">
  <sheetPr codeName="Sheet50">
    <tabColor theme="5" tint="0.39997558519241921"/>
  </sheetPr>
  <dimension ref="A3:Z44"/>
  <sheetViews>
    <sheetView zoomScale="115" zoomScaleNormal="115" workbookViewId="0">
      <pane xSplit="1" ySplit="9" topLeftCell="B10" activePane="bottomRight" state="frozen"/>
      <selection pane="topRight"/>
      <selection pane="bottomLeft"/>
      <selection pane="bottomRight"/>
    </sheetView>
  </sheetViews>
  <sheetFormatPr defaultRowHeight="12.75" x14ac:dyDescent="0.25"/>
  <cols>
    <col min="1" max="1" width="29.85546875" style="282" customWidth="1"/>
    <col min="2" max="26" width="17.7109375" style="282" customWidth="1"/>
    <col min="27" max="16384" width="9.140625" style="282"/>
  </cols>
  <sheetData>
    <row r="3" spans="1:26" ht="31.5" customHeight="1" x14ac:dyDescent="0.2">
      <c r="A3" s="658" t="s">
        <v>373</v>
      </c>
      <c r="B3" s="658"/>
      <c r="C3" s="658"/>
      <c r="D3" s="658"/>
      <c r="E3" s="658"/>
      <c r="F3" s="658"/>
      <c r="G3" s="658"/>
      <c r="H3" s="281"/>
      <c r="I3" s="281"/>
      <c r="J3" s="281"/>
      <c r="K3" s="281"/>
      <c r="L3" s="281"/>
      <c r="M3" s="281"/>
      <c r="N3" s="281"/>
      <c r="O3" s="281"/>
    </row>
    <row r="4" spans="1:26" x14ac:dyDescent="0.2">
      <c r="A4" s="281"/>
      <c r="B4" s="281"/>
      <c r="C4" s="281"/>
      <c r="D4" s="281"/>
      <c r="E4" s="281"/>
      <c r="F4" s="281"/>
      <c r="G4" s="281"/>
      <c r="H4" s="281"/>
      <c r="I4" s="281"/>
      <c r="J4" s="281"/>
      <c r="K4" s="281"/>
      <c r="L4" s="281"/>
      <c r="M4" s="281"/>
      <c r="N4" s="281"/>
      <c r="O4" s="281"/>
    </row>
    <row r="5" spans="1:26" x14ac:dyDescent="0.2">
      <c r="A5" s="281" t="s">
        <v>372</v>
      </c>
      <c r="B5" s="66">
        <v>1</v>
      </c>
      <c r="C5" s="66">
        <v>2</v>
      </c>
      <c r="D5" s="66">
        <v>3</v>
      </c>
      <c r="E5" s="66">
        <v>4</v>
      </c>
      <c r="F5" s="66">
        <v>5</v>
      </c>
      <c r="G5" s="66">
        <v>6</v>
      </c>
      <c r="H5" s="66">
        <v>7</v>
      </c>
      <c r="I5" s="66">
        <v>8</v>
      </c>
      <c r="J5" s="66">
        <v>9</v>
      </c>
      <c r="K5" s="66">
        <v>10</v>
      </c>
      <c r="L5" s="66">
        <v>11</v>
      </c>
      <c r="M5" s="66">
        <v>12</v>
      </c>
      <c r="N5" s="66">
        <v>13</v>
      </c>
      <c r="O5" s="66">
        <v>14</v>
      </c>
      <c r="P5" s="66">
        <v>15</v>
      </c>
      <c r="Q5" s="66">
        <v>16</v>
      </c>
      <c r="R5" s="66">
        <v>17</v>
      </c>
      <c r="S5" s="66">
        <v>18</v>
      </c>
      <c r="T5" s="66">
        <v>19</v>
      </c>
      <c r="U5" s="66">
        <v>20</v>
      </c>
      <c r="V5" s="66">
        <v>21</v>
      </c>
      <c r="W5" s="66">
        <v>22</v>
      </c>
      <c r="X5" s="66">
        <v>23</v>
      </c>
      <c r="Y5" s="66">
        <v>24</v>
      </c>
      <c r="Z5" s="66">
        <v>25</v>
      </c>
    </row>
    <row r="6" spans="1:26" x14ac:dyDescent="0.25">
      <c r="A6" s="283" t="s">
        <v>371</v>
      </c>
      <c r="B6" s="242" t="s">
        <v>675</v>
      </c>
      <c r="C6" s="242" t="s">
        <v>676</v>
      </c>
      <c r="D6" s="242" t="s">
        <v>677</v>
      </c>
      <c r="E6" s="242" t="s">
        <v>678</v>
      </c>
      <c r="F6" s="242" t="s">
        <v>679</v>
      </c>
      <c r="G6" s="242" t="s">
        <v>680</v>
      </c>
      <c r="H6" s="242" t="s">
        <v>681</v>
      </c>
      <c r="I6" s="242" t="s">
        <v>682</v>
      </c>
      <c r="J6" s="242" t="s">
        <v>683</v>
      </c>
      <c r="K6" s="242" t="s">
        <v>684</v>
      </c>
      <c r="L6" s="242" t="s">
        <v>685</v>
      </c>
      <c r="M6" s="242" t="s">
        <v>686</v>
      </c>
      <c r="N6" s="242" t="s">
        <v>687</v>
      </c>
      <c r="O6" s="242" t="s">
        <v>688</v>
      </c>
      <c r="P6" s="242" t="s">
        <v>689</v>
      </c>
      <c r="Q6" s="242" t="s">
        <v>690</v>
      </c>
      <c r="R6" s="242" t="s">
        <v>691</v>
      </c>
      <c r="S6" s="242" t="s">
        <v>692</v>
      </c>
      <c r="T6" s="242" t="s">
        <v>693</v>
      </c>
      <c r="U6" s="242" t="s">
        <v>694</v>
      </c>
      <c r="V6" s="242" t="s">
        <v>695</v>
      </c>
      <c r="W6" s="242" t="s">
        <v>696</v>
      </c>
      <c r="X6" s="242" t="s">
        <v>697</v>
      </c>
      <c r="Y6" s="242" t="s">
        <v>698</v>
      </c>
      <c r="Z6" s="242" t="s">
        <v>699</v>
      </c>
    </row>
    <row r="7" spans="1:26" ht="51" x14ac:dyDescent="0.25">
      <c r="A7" s="284" t="s">
        <v>370</v>
      </c>
      <c r="B7" s="242" t="s">
        <v>700</v>
      </c>
      <c r="C7" s="242" t="s">
        <v>701</v>
      </c>
      <c r="D7" s="242" t="s">
        <v>702</v>
      </c>
      <c r="E7" s="242" t="s">
        <v>703</v>
      </c>
      <c r="F7" s="242" t="s">
        <v>704</v>
      </c>
      <c r="G7" s="242" t="s">
        <v>705</v>
      </c>
      <c r="H7" s="242" t="s">
        <v>706</v>
      </c>
      <c r="I7" s="242" t="s">
        <v>707</v>
      </c>
      <c r="J7" s="242" t="s">
        <v>708</v>
      </c>
      <c r="K7" s="242" t="s">
        <v>709</v>
      </c>
      <c r="L7" s="242" t="s">
        <v>710</v>
      </c>
      <c r="M7" s="242" t="s">
        <v>711</v>
      </c>
      <c r="N7" s="242" t="s">
        <v>712</v>
      </c>
      <c r="O7" s="242" t="s">
        <v>713</v>
      </c>
      <c r="P7" s="242" t="s">
        <v>714</v>
      </c>
      <c r="Q7" s="242" t="s">
        <v>715</v>
      </c>
      <c r="R7" s="242" t="s">
        <v>716</v>
      </c>
      <c r="S7" s="242" t="s">
        <v>717</v>
      </c>
      <c r="T7" s="242" t="s">
        <v>718</v>
      </c>
      <c r="U7" s="242" t="s">
        <v>719</v>
      </c>
      <c r="V7" s="242" t="s">
        <v>720</v>
      </c>
      <c r="W7" s="242" t="s">
        <v>721</v>
      </c>
      <c r="X7" s="242" t="s">
        <v>722</v>
      </c>
      <c r="Y7" s="242" t="s">
        <v>723</v>
      </c>
      <c r="Z7" s="242" t="s">
        <v>724</v>
      </c>
    </row>
    <row r="8" spans="1:26" ht="25.5" x14ac:dyDescent="0.25">
      <c r="A8" s="65" t="s">
        <v>369</v>
      </c>
      <c r="B8" s="242" t="s">
        <v>725</v>
      </c>
      <c r="C8" s="242" t="s">
        <v>726</v>
      </c>
      <c r="D8" s="242" t="s">
        <v>727</v>
      </c>
      <c r="E8" s="242" t="s">
        <v>728</v>
      </c>
      <c r="F8" s="242" t="s">
        <v>729</v>
      </c>
      <c r="G8" s="242" t="s">
        <v>730</v>
      </c>
      <c r="H8" s="242" t="s">
        <v>731</v>
      </c>
      <c r="I8" s="242" t="s">
        <v>732</v>
      </c>
      <c r="J8" s="242" t="s">
        <v>733</v>
      </c>
      <c r="K8" s="242" t="s">
        <v>734</v>
      </c>
      <c r="L8" s="242" t="s">
        <v>735</v>
      </c>
      <c r="M8" s="242" t="s">
        <v>736</v>
      </c>
      <c r="N8" s="242" t="s">
        <v>737</v>
      </c>
      <c r="O8" s="242" t="s">
        <v>738</v>
      </c>
      <c r="P8" s="242" t="s">
        <v>739</v>
      </c>
      <c r="Q8" s="242" t="s">
        <v>740</v>
      </c>
      <c r="R8" s="242" t="s">
        <v>741</v>
      </c>
      <c r="S8" s="242" t="s">
        <v>742</v>
      </c>
      <c r="T8" s="242" t="s">
        <v>743</v>
      </c>
      <c r="U8" s="242" t="s">
        <v>744</v>
      </c>
      <c r="V8" s="242" t="s">
        <v>745</v>
      </c>
      <c r="W8" s="242" t="s">
        <v>746</v>
      </c>
      <c r="X8" s="242" t="s">
        <v>747</v>
      </c>
      <c r="Y8" s="242" t="s">
        <v>748</v>
      </c>
      <c r="Z8" s="242" t="s">
        <v>749</v>
      </c>
    </row>
    <row r="9" spans="1:26" ht="24" customHeight="1" x14ac:dyDescent="0.25">
      <c r="A9" s="64" t="s">
        <v>266</v>
      </c>
      <c r="B9" s="285"/>
      <c r="C9" s="285"/>
      <c r="D9" s="286"/>
      <c r="E9" s="286"/>
      <c r="F9" s="285"/>
      <c r="G9" s="285"/>
      <c r="H9" s="285"/>
      <c r="I9" s="285"/>
      <c r="J9" s="285"/>
      <c r="K9" s="286"/>
      <c r="L9" s="286"/>
      <c r="M9" s="285"/>
      <c r="N9" s="287"/>
      <c r="O9" s="288"/>
      <c r="P9" s="289"/>
      <c r="Q9" s="288"/>
      <c r="R9" s="288"/>
      <c r="S9" s="288"/>
      <c r="T9" s="290"/>
      <c r="U9" s="289"/>
      <c r="V9" s="288"/>
      <c r="W9" s="290"/>
      <c r="X9" s="288"/>
      <c r="Y9" s="288"/>
      <c r="Z9" s="290"/>
    </row>
    <row r="10" spans="1:26" ht="12" customHeight="1" x14ac:dyDescent="0.25">
      <c r="A10" s="63" t="s">
        <v>368</v>
      </c>
      <c r="B10" s="291">
        <v>4188</v>
      </c>
      <c r="C10" s="292">
        <v>4311</v>
      </c>
      <c r="D10" s="292">
        <v>4711</v>
      </c>
      <c r="E10" s="292">
        <v>4835</v>
      </c>
      <c r="F10" s="292">
        <v>4892</v>
      </c>
      <c r="G10" s="291">
        <v>4334</v>
      </c>
      <c r="H10" s="292">
        <v>5222</v>
      </c>
      <c r="I10" s="62" t="s">
        <v>310</v>
      </c>
      <c r="J10" s="291">
        <v>5104</v>
      </c>
      <c r="K10" s="292">
        <v>5269</v>
      </c>
      <c r="L10" s="292">
        <v>4495</v>
      </c>
      <c r="M10" s="291">
        <v>5664</v>
      </c>
      <c r="N10" s="291">
        <v>4851</v>
      </c>
      <c r="O10" s="291">
        <v>4337</v>
      </c>
      <c r="P10" s="292">
        <v>4401</v>
      </c>
      <c r="Q10" s="292">
        <v>4460</v>
      </c>
      <c r="R10" s="292">
        <v>4366</v>
      </c>
      <c r="S10" s="292">
        <v>4638</v>
      </c>
      <c r="T10" s="291">
        <v>4415</v>
      </c>
      <c r="U10" s="292">
        <v>4600</v>
      </c>
      <c r="V10" s="62" t="s">
        <v>310</v>
      </c>
      <c r="W10" s="61" t="s">
        <v>310</v>
      </c>
      <c r="X10" s="292">
        <v>4874</v>
      </c>
      <c r="Y10" s="292">
        <v>4556</v>
      </c>
      <c r="Z10" s="291">
        <v>4754</v>
      </c>
    </row>
    <row r="11" spans="1:26" ht="12" customHeight="1" x14ac:dyDescent="0.25">
      <c r="A11" s="58" t="s">
        <v>367</v>
      </c>
      <c r="B11" s="293">
        <v>5281</v>
      </c>
      <c r="C11" s="294">
        <v>5421</v>
      </c>
      <c r="D11" s="294">
        <v>5852</v>
      </c>
      <c r="E11" s="294">
        <v>6011</v>
      </c>
      <c r="F11" s="294">
        <v>6058</v>
      </c>
      <c r="G11" s="293">
        <v>5456</v>
      </c>
      <c r="H11" s="294">
        <v>6463</v>
      </c>
      <c r="I11" s="59" t="s">
        <v>310</v>
      </c>
      <c r="J11" s="293">
        <v>6334</v>
      </c>
      <c r="K11" s="294">
        <v>6504</v>
      </c>
      <c r="L11" s="294">
        <v>5632</v>
      </c>
      <c r="M11" s="293">
        <v>6914</v>
      </c>
      <c r="N11" s="293">
        <v>6055</v>
      </c>
      <c r="O11" s="293">
        <v>5460</v>
      </c>
      <c r="P11" s="294">
        <v>5511</v>
      </c>
      <c r="Q11" s="294">
        <v>5593</v>
      </c>
      <c r="R11" s="294">
        <v>5475</v>
      </c>
      <c r="S11" s="294">
        <v>5778</v>
      </c>
      <c r="T11" s="293">
        <v>5526</v>
      </c>
      <c r="U11" s="294">
        <v>5765</v>
      </c>
      <c r="V11" s="59" t="s">
        <v>310</v>
      </c>
      <c r="W11" s="60" t="s">
        <v>310</v>
      </c>
      <c r="X11" s="294">
        <v>6059</v>
      </c>
      <c r="Y11" s="294">
        <v>5704</v>
      </c>
      <c r="Z11" s="293">
        <v>5918</v>
      </c>
    </row>
    <row r="12" spans="1:26" ht="12" customHeight="1" x14ac:dyDescent="0.25">
      <c r="A12" s="58" t="s">
        <v>331</v>
      </c>
      <c r="B12" s="293">
        <v>6907</v>
      </c>
      <c r="C12" s="294">
        <v>7083</v>
      </c>
      <c r="D12" s="294">
        <v>7558</v>
      </c>
      <c r="E12" s="294">
        <v>7812</v>
      </c>
      <c r="F12" s="294">
        <v>7820</v>
      </c>
      <c r="G12" s="293">
        <v>7152</v>
      </c>
      <c r="H12" s="294">
        <v>8281</v>
      </c>
      <c r="I12" s="59" t="s">
        <v>310</v>
      </c>
      <c r="J12" s="293">
        <v>8068</v>
      </c>
      <c r="K12" s="294">
        <v>8294</v>
      </c>
      <c r="L12" s="294">
        <v>7292</v>
      </c>
      <c r="M12" s="293">
        <v>8831</v>
      </c>
      <c r="N12" s="293">
        <v>7750</v>
      </c>
      <c r="O12" s="293">
        <v>7165</v>
      </c>
      <c r="P12" s="294">
        <v>7228</v>
      </c>
      <c r="Q12" s="294">
        <v>7313</v>
      </c>
      <c r="R12" s="294">
        <v>7127</v>
      </c>
      <c r="S12" s="294">
        <v>7489</v>
      </c>
      <c r="T12" s="293">
        <v>7178</v>
      </c>
      <c r="U12" s="294">
        <v>7466</v>
      </c>
      <c r="V12" s="59" t="s">
        <v>310</v>
      </c>
      <c r="W12" s="60" t="s">
        <v>310</v>
      </c>
      <c r="X12" s="294">
        <v>7833</v>
      </c>
      <c r="Y12" s="294">
        <v>7355</v>
      </c>
      <c r="Z12" s="293">
        <v>7697</v>
      </c>
    </row>
    <row r="13" spans="1:26" ht="12" customHeight="1" x14ac:dyDescent="0.25">
      <c r="A13" s="58" t="s">
        <v>366</v>
      </c>
      <c r="B13" s="293">
        <v>1200</v>
      </c>
      <c r="C13" s="294">
        <v>1225</v>
      </c>
      <c r="D13" s="294">
        <v>1366</v>
      </c>
      <c r="E13" s="294">
        <v>1379</v>
      </c>
      <c r="F13" s="294">
        <v>1414</v>
      </c>
      <c r="G13" s="293">
        <v>1236</v>
      </c>
      <c r="H13" s="294">
        <v>1594</v>
      </c>
      <c r="I13" s="294">
        <v>2116</v>
      </c>
      <c r="J13" s="293">
        <v>1599</v>
      </c>
      <c r="K13" s="294">
        <v>1597</v>
      </c>
      <c r="L13" s="294">
        <v>1324</v>
      </c>
      <c r="M13" s="293">
        <v>1600</v>
      </c>
      <c r="N13" s="293">
        <v>1524</v>
      </c>
      <c r="O13" s="293">
        <v>1220</v>
      </c>
      <c r="P13" s="294">
        <v>1235</v>
      </c>
      <c r="Q13" s="294">
        <v>1273</v>
      </c>
      <c r="R13" s="294">
        <v>1234</v>
      </c>
      <c r="S13" s="294">
        <v>1309</v>
      </c>
      <c r="T13" s="293">
        <v>1222</v>
      </c>
      <c r="U13" s="294">
        <v>1201</v>
      </c>
      <c r="V13" s="294">
        <v>1759</v>
      </c>
      <c r="W13" s="293">
        <v>1719</v>
      </c>
      <c r="X13" s="294">
        <v>1399</v>
      </c>
      <c r="Y13" s="294">
        <v>1132</v>
      </c>
      <c r="Z13" s="293">
        <v>1224</v>
      </c>
    </row>
    <row r="14" spans="1:26" ht="12" customHeight="1" x14ac:dyDescent="0.25">
      <c r="A14" s="58" t="s">
        <v>365</v>
      </c>
      <c r="B14" s="295">
        <v>1045</v>
      </c>
      <c r="C14" s="296">
        <v>1072</v>
      </c>
      <c r="D14" s="294">
        <v>1215</v>
      </c>
      <c r="E14" s="294">
        <v>1236</v>
      </c>
      <c r="F14" s="294">
        <v>1268</v>
      </c>
      <c r="G14" s="295">
        <v>1084</v>
      </c>
      <c r="H14" s="294">
        <v>1393</v>
      </c>
      <c r="I14" s="294">
        <v>1909</v>
      </c>
      <c r="J14" s="293">
        <v>1370</v>
      </c>
      <c r="K14" s="294">
        <v>1401</v>
      </c>
      <c r="L14" s="294">
        <v>1147</v>
      </c>
      <c r="M14" s="293">
        <v>1469</v>
      </c>
      <c r="N14" s="293">
        <v>1295</v>
      </c>
      <c r="O14" s="295">
        <v>1071</v>
      </c>
      <c r="P14" s="296">
        <v>1085</v>
      </c>
      <c r="Q14" s="294">
        <v>1124</v>
      </c>
      <c r="R14" s="296">
        <v>1083</v>
      </c>
      <c r="S14" s="294">
        <v>1163</v>
      </c>
      <c r="T14" s="295">
        <v>1074</v>
      </c>
      <c r="U14" s="296">
        <v>1034</v>
      </c>
      <c r="V14" s="294">
        <v>1547</v>
      </c>
      <c r="W14" s="293">
        <v>1504</v>
      </c>
      <c r="X14" s="294">
        <v>1213</v>
      </c>
      <c r="Y14" s="296">
        <v>974</v>
      </c>
      <c r="Z14" s="295">
        <v>1092</v>
      </c>
    </row>
    <row r="15" spans="1:26" ht="12" customHeight="1" x14ac:dyDescent="0.25">
      <c r="A15" s="58" t="s">
        <v>364</v>
      </c>
      <c r="B15" s="293">
        <v>2945</v>
      </c>
      <c r="C15" s="294">
        <v>2972</v>
      </c>
      <c r="D15" s="294">
        <v>3175</v>
      </c>
      <c r="E15" s="294">
        <v>3182</v>
      </c>
      <c r="F15" s="294">
        <v>3231</v>
      </c>
      <c r="G15" s="293">
        <v>2999</v>
      </c>
      <c r="H15" s="294">
        <v>3334</v>
      </c>
      <c r="I15" s="294">
        <v>3776</v>
      </c>
      <c r="J15" s="293">
        <v>3258</v>
      </c>
      <c r="K15" s="294">
        <v>3307</v>
      </c>
      <c r="L15" s="294">
        <v>3041</v>
      </c>
      <c r="M15" s="293">
        <v>3447</v>
      </c>
      <c r="N15" s="293">
        <v>3168</v>
      </c>
      <c r="O15" s="293">
        <v>2962</v>
      </c>
      <c r="P15" s="294">
        <v>2977</v>
      </c>
      <c r="Q15" s="294">
        <v>3044</v>
      </c>
      <c r="R15" s="294">
        <v>2966</v>
      </c>
      <c r="S15" s="294">
        <v>3065</v>
      </c>
      <c r="T15" s="293">
        <v>2921</v>
      </c>
      <c r="U15" s="294">
        <v>2702</v>
      </c>
      <c r="V15" s="294">
        <v>3389</v>
      </c>
      <c r="W15" s="293">
        <v>3351</v>
      </c>
      <c r="X15" s="294">
        <v>3126</v>
      </c>
      <c r="Y15" s="294">
        <v>2541</v>
      </c>
      <c r="Z15" s="293">
        <v>2854</v>
      </c>
    </row>
    <row r="16" spans="1:26" ht="12" customHeight="1" x14ac:dyDescent="0.25">
      <c r="A16" s="58" t="s">
        <v>363</v>
      </c>
      <c r="B16" s="293">
        <v>2106</v>
      </c>
      <c r="C16" s="294">
        <v>2152</v>
      </c>
      <c r="D16" s="294">
        <v>2300</v>
      </c>
      <c r="E16" s="294">
        <v>2391</v>
      </c>
      <c r="F16" s="294">
        <v>2365</v>
      </c>
      <c r="G16" s="293">
        <v>2182</v>
      </c>
      <c r="H16" s="294">
        <v>2451</v>
      </c>
      <c r="I16" s="294">
        <v>3073</v>
      </c>
      <c r="J16" s="293">
        <v>2359</v>
      </c>
      <c r="K16" s="294">
        <v>2452</v>
      </c>
      <c r="L16" s="294">
        <v>2197</v>
      </c>
      <c r="M16" s="293">
        <v>2673</v>
      </c>
      <c r="N16" s="293">
        <v>2282</v>
      </c>
      <c r="O16" s="293">
        <v>2194</v>
      </c>
      <c r="P16" s="294">
        <v>2200</v>
      </c>
      <c r="Q16" s="294">
        <v>2238</v>
      </c>
      <c r="R16" s="294">
        <v>2178</v>
      </c>
      <c r="S16" s="294">
        <v>2295</v>
      </c>
      <c r="T16" s="293">
        <v>2200</v>
      </c>
      <c r="U16" s="294">
        <v>2221</v>
      </c>
      <c r="V16" s="294">
        <v>2661</v>
      </c>
      <c r="W16" s="293">
        <v>2613</v>
      </c>
      <c r="X16" s="294">
        <v>2367</v>
      </c>
      <c r="Y16" s="294">
        <v>2192</v>
      </c>
      <c r="Z16" s="293">
        <v>2347</v>
      </c>
    </row>
    <row r="17" spans="1:26" ht="12" customHeight="1" x14ac:dyDescent="0.25">
      <c r="A17" s="58" t="s">
        <v>362</v>
      </c>
      <c r="B17" s="293">
        <v>1263</v>
      </c>
      <c r="C17" s="294">
        <v>1289</v>
      </c>
      <c r="D17" s="294">
        <v>1494</v>
      </c>
      <c r="E17" s="294">
        <v>1498</v>
      </c>
      <c r="F17" s="294">
        <v>1543</v>
      </c>
      <c r="G17" s="293">
        <v>1316</v>
      </c>
      <c r="H17" s="294">
        <v>1607</v>
      </c>
      <c r="I17" s="294">
        <v>2057</v>
      </c>
      <c r="J17" s="293">
        <v>1551</v>
      </c>
      <c r="K17" s="294">
        <v>1598</v>
      </c>
      <c r="L17" s="294">
        <v>1370</v>
      </c>
      <c r="M17" s="293">
        <v>1755</v>
      </c>
      <c r="N17" s="293">
        <v>1454</v>
      </c>
      <c r="O17" s="293">
        <v>1309</v>
      </c>
      <c r="P17" s="294">
        <v>1320</v>
      </c>
      <c r="Q17" s="294">
        <v>1370</v>
      </c>
      <c r="R17" s="294">
        <v>1318</v>
      </c>
      <c r="S17" s="294">
        <v>1411</v>
      </c>
      <c r="T17" s="293">
        <v>1327</v>
      </c>
      <c r="U17" s="294">
        <v>1198</v>
      </c>
      <c r="V17" s="294">
        <v>1687</v>
      </c>
      <c r="W17" s="293">
        <v>1645</v>
      </c>
      <c r="X17" s="294">
        <v>1480</v>
      </c>
      <c r="Y17" s="294">
        <v>1159</v>
      </c>
      <c r="Z17" s="293">
        <v>1322</v>
      </c>
    </row>
    <row r="18" spans="1:26" ht="12" customHeight="1" x14ac:dyDescent="0.25">
      <c r="A18" s="58" t="s">
        <v>361</v>
      </c>
      <c r="B18" s="295">
        <v>764</v>
      </c>
      <c r="C18" s="296">
        <v>781</v>
      </c>
      <c r="D18" s="296">
        <v>907</v>
      </c>
      <c r="E18" s="296">
        <v>911</v>
      </c>
      <c r="F18" s="296">
        <v>939</v>
      </c>
      <c r="G18" s="295">
        <v>798</v>
      </c>
      <c r="H18" s="296">
        <v>978</v>
      </c>
      <c r="I18" s="294">
        <v>1262</v>
      </c>
      <c r="J18" s="295">
        <v>942</v>
      </c>
      <c r="K18" s="296">
        <v>973</v>
      </c>
      <c r="L18" s="296">
        <v>830</v>
      </c>
      <c r="M18" s="295">
        <v>1072</v>
      </c>
      <c r="N18" s="295">
        <v>883</v>
      </c>
      <c r="O18" s="295">
        <v>793</v>
      </c>
      <c r="P18" s="296">
        <v>801</v>
      </c>
      <c r="Q18" s="296">
        <v>831</v>
      </c>
      <c r="R18" s="296">
        <v>799</v>
      </c>
      <c r="S18" s="296">
        <v>857</v>
      </c>
      <c r="T18" s="295">
        <v>804</v>
      </c>
      <c r="U18" s="296">
        <v>726</v>
      </c>
      <c r="V18" s="296">
        <v>1031</v>
      </c>
      <c r="W18" s="295">
        <v>1004</v>
      </c>
      <c r="X18" s="296">
        <v>900</v>
      </c>
      <c r="Y18" s="296">
        <v>702</v>
      </c>
      <c r="Z18" s="295">
        <v>803</v>
      </c>
    </row>
    <row r="19" spans="1:26" ht="12" customHeight="1" x14ac:dyDescent="0.25">
      <c r="A19" s="58" t="s">
        <v>324</v>
      </c>
      <c r="B19" s="293">
        <v>6996</v>
      </c>
      <c r="C19" s="294">
        <v>7105</v>
      </c>
      <c r="D19" s="294">
        <v>7430</v>
      </c>
      <c r="E19" s="294">
        <v>7750</v>
      </c>
      <c r="F19" s="294">
        <v>7603</v>
      </c>
      <c r="G19" s="293">
        <v>7224</v>
      </c>
      <c r="H19" s="294">
        <v>7887</v>
      </c>
      <c r="I19" s="294">
        <v>9285</v>
      </c>
      <c r="J19" s="293">
        <v>7567</v>
      </c>
      <c r="K19" s="294">
        <v>7819</v>
      </c>
      <c r="L19" s="294">
        <v>7204</v>
      </c>
      <c r="M19" s="293">
        <v>8337</v>
      </c>
      <c r="N19" s="293">
        <v>7425</v>
      </c>
      <c r="O19" s="293">
        <v>7277</v>
      </c>
      <c r="P19" s="294">
        <v>7271</v>
      </c>
      <c r="Q19" s="294">
        <v>7371</v>
      </c>
      <c r="R19" s="294">
        <v>7144</v>
      </c>
      <c r="S19" s="294">
        <v>7443</v>
      </c>
      <c r="T19" s="293">
        <v>7209</v>
      </c>
      <c r="U19" s="294">
        <v>7309</v>
      </c>
      <c r="V19" s="294">
        <v>8375</v>
      </c>
      <c r="W19" s="293">
        <v>8278</v>
      </c>
      <c r="X19" s="294">
        <v>7655</v>
      </c>
      <c r="Y19" s="294">
        <v>7169</v>
      </c>
      <c r="Z19" s="293">
        <v>7636</v>
      </c>
    </row>
    <row r="20" spans="1:26" ht="12" customHeight="1" x14ac:dyDescent="0.25">
      <c r="A20" s="58" t="s">
        <v>360</v>
      </c>
      <c r="B20" s="293">
        <v>7341</v>
      </c>
      <c r="C20" s="294">
        <v>7499</v>
      </c>
      <c r="D20" s="294">
        <v>7917</v>
      </c>
      <c r="E20" s="294">
        <v>8637</v>
      </c>
      <c r="F20" s="294">
        <v>8330</v>
      </c>
      <c r="G20" s="293">
        <v>7744</v>
      </c>
      <c r="H20" s="294">
        <v>8809</v>
      </c>
      <c r="I20" s="59" t="s">
        <v>310</v>
      </c>
      <c r="J20" s="293">
        <v>8219</v>
      </c>
      <c r="K20" s="294">
        <v>8608</v>
      </c>
      <c r="L20" s="294">
        <v>7608</v>
      </c>
      <c r="M20" s="293">
        <v>9465</v>
      </c>
      <c r="N20" s="293">
        <v>7918</v>
      </c>
      <c r="O20" s="293">
        <v>7843</v>
      </c>
      <c r="P20" s="294">
        <v>7782</v>
      </c>
      <c r="Q20" s="294">
        <v>8035</v>
      </c>
      <c r="R20" s="294">
        <v>7530</v>
      </c>
      <c r="S20" s="294">
        <v>7962</v>
      </c>
      <c r="T20" s="293">
        <v>7527</v>
      </c>
      <c r="U20" s="294">
        <v>7808</v>
      </c>
      <c r="V20" s="59" t="s">
        <v>310</v>
      </c>
      <c r="W20" s="60" t="s">
        <v>310</v>
      </c>
      <c r="X20" s="294">
        <v>8451</v>
      </c>
      <c r="Y20" s="294">
        <v>7563</v>
      </c>
      <c r="Z20" s="293">
        <v>8460</v>
      </c>
    </row>
    <row r="21" spans="1:26" ht="24" customHeight="1" x14ac:dyDescent="0.25">
      <c r="A21" s="297" t="s">
        <v>359</v>
      </c>
      <c r="B21" s="293">
        <v>7779</v>
      </c>
      <c r="C21" s="294">
        <v>7962</v>
      </c>
      <c r="D21" s="294">
        <v>8674</v>
      </c>
      <c r="E21" s="294">
        <v>9044</v>
      </c>
      <c r="F21" s="294">
        <v>9041</v>
      </c>
      <c r="G21" s="293">
        <v>8061</v>
      </c>
      <c r="H21" s="294">
        <v>9338</v>
      </c>
      <c r="I21" s="59" t="s">
        <v>310</v>
      </c>
      <c r="J21" s="293">
        <v>8894</v>
      </c>
      <c r="K21" s="294">
        <v>9357</v>
      </c>
      <c r="L21" s="294">
        <v>8160</v>
      </c>
      <c r="M21" s="293">
        <v>10440</v>
      </c>
      <c r="N21" s="293">
        <v>8474</v>
      </c>
      <c r="O21" s="293">
        <v>8101</v>
      </c>
      <c r="P21" s="294">
        <v>8164</v>
      </c>
      <c r="Q21" s="294">
        <v>8349</v>
      </c>
      <c r="R21" s="294">
        <v>8082</v>
      </c>
      <c r="S21" s="294">
        <v>8583</v>
      </c>
      <c r="T21" s="293">
        <v>8150</v>
      </c>
      <c r="U21" s="294">
        <v>8258</v>
      </c>
      <c r="V21" s="59" t="s">
        <v>310</v>
      </c>
      <c r="W21" s="60" t="s">
        <v>310</v>
      </c>
      <c r="X21" s="294">
        <v>8942</v>
      </c>
      <c r="Y21" s="294">
        <v>8170</v>
      </c>
      <c r="Z21" s="293">
        <v>8880</v>
      </c>
    </row>
    <row r="22" spans="1:26" ht="12" customHeight="1" x14ac:dyDescent="0.25">
      <c r="A22" s="58" t="s">
        <v>358</v>
      </c>
      <c r="B22" s="293">
        <v>1729</v>
      </c>
      <c r="C22" s="294">
        <v>1764</v>
      </c>
      <c r="D22" s="294">
        <v>1967</v>
      </c>
      <c r="E22" s="294">
        <v>1986</v>
      </c>
      <c r="F22" s="294">
        <v>2036</v>
      </c>
      <c r="G22" s="293">
        <v>1779</v>
      </c>
      <c r="H22" s="294">
        <v>2296</v>
      </c>
      <c r="I22" s="294">
        <v>3047</v>
      </c>
      <c r="J22" s="293">
        <v>2302</v>
      </c>
      <c r="K22" s="294">
        <v>2300</v>
      </c>
      <c r="L22" s="294">
        <v>1907</v>
      </c>
      <c r="M22" s="293">
        <v>2304</v>
      </c>
      <c r="N22" s="293">
        <v>2195</v>
      </c>
      <c r="O22" s="293">
        <v>1757</v>
      </c>
      <c r="P22" s="294">
        <v>1778</v>
      </c>
      <c r="Q22" s="294">
        <v>1833</v>
      </c>
      <c r="R22" s="294">
        <v>1777</v>
      </c>
      <c r="S22" s="294">
        <v>1886</v>
      </c>
      <c r="T22" s="293">
        <v>1760</v>
      </c>
      <c r="U22" s="294">
        <v>1729</v>
      </c>
      <c r="V22" s="294">
        <v>2533</v>
      </c>
      <c r="W22" s="293">
        <v>2475</v>
      </c>
      <c r="X22" s="294">
        <v>2014</v>
      </c>
      <c r="Y22" s="294">
        <v>1630</v>
      </c>
      <c r="Z22" s="293">
        <v>1763</v>
      </c>
    </row>
    <row r="23" spans="1:26" ht="20.100000000000001" customHeight="1" x14ac:dyDescent="0.25">
      <c r="A23" s="58" t="s">
        <v>357</v>
      </c>
      <c r="B23" s="293">
        <v>2034</v>
      </c>
      <c r="C23" s="294">
        <v>2076</v>
      </c>
      <c r="D23" s="294">
        <v>2405</v>
      </c>
      <c r="E23" s="294">
        <v>2412</v>
      </c>
      <c r="F23" s="294">
        <v>2485</v>
      </c>
      <c r="G23" s="293">
        <v>2119</v>
      </c>
      <c r="H23" s="294">
        <v>2587</v>
      </c>
      <c r="I23" s="294">
        <v>3312</v>
      </c>
      <c r="J23" s="293">
        <v>2497</v>
      </c>
      <c r="K23" s="294">
        <v>2573</v>
      </c>
      <c r="L23" s="294">
        <v>2206</v>
      </c>
      <c r="M23" s="293">
        <v>2827</v>
      </c>
      <c r="N23" s="293">
        <v>2341</v>
      </c>
      <c r="O23" s="293">
        <v>2107</v>
      </c>
      <c r="P23" s="294">
        <v>2126</v>
      </c>
      <c r="Q23" s="294">
        <v>2206</v>
      </c>
      <c r="R23" s="294">
        <v>2123</v>
      </c>
      <c r="S23" s="294">
        <v>2273</v>
      </c>
      <c r="T23" s="293">
        <v>2137</v>
      </c>
      <c r="U23" s="294">
        <v>1929</v>
      </c>
      <c r="V23" s="294">
        <v>2716</v>
      </c>
      <c r="W23" s="293">
        <v>2649</v>
      </c>
      <c r="X23" s="294">
        <v>2383</v>
      </c>
      <c r="Y23" s="294">
        <v>1867</v>
      </c>
      <c r="Z23" s="293">
        <v>2128</v>
      </c>
    </row>
    <row r="24" spans="1:26" ht="12" customHeight="1" x14ac:dyDescent="0.25">
      <c r="A24" s="58" t="s">
        <v>319</v>
      </c>
      <c r="B24" s="293">
        <v>1270</v>
      </c>
      <c r="C24" s="294">
        <v>1273</v>
      </c>
      <c r="D24" s="294">
        <v>1255</v>
      </c>
      <c r="E24" s="294">
        <v>1316</v>
      </c>
      <c r="F24" s="294">
        <v>1273</v>
      </c>
      <c r="G24" s="293">
        <v>1300</v>
      </c>
      <c r="H24" s="294">
        <v>1309</v>
      </c>
      <c r="I24" s="294">
        <v>1304</v>
      </c>
      <c r="J24" s="293">
        <v>1275</v>
      </c>
      <c r="K24" s="294">
        <v>1278</v>
      </c>
      <c r="L24" s="294">
        <v>1267</v>
      </c>
      <c r="M24" s="293">
        <v>1283</v>
      </c>
      <c r="N24" s="293">
        <v>1278</v>
      </c>
      <c r="O24" s="293">
        <v>1311</v>
      </c>
      <c r="P24" s="294">
        <v>1293</v>
      </c>
      <c r="Q24" s="294">
        <v>1309</v>
      </c>
      <c r="R24" s="294">
        <v>1264</v>
      </c>
      <c r="S24" s="294">
        <v>1272</v>
      </c>
      <c r="T24" s="293">
        <v>1257</v>
      </c>
      <c r="U24" s="294">
        <v>1286</v>
      </c>
      <c r="V24" s="294">
        <v>1323</v>
      </c>
      <c r="W24" s="293">
        <v>1325</v>
      </c>
      <c r="X24" s="294">
        <v>1300</v>
      </c>
      <c r="Y24" s="294">
        <v>1259</v>
      </c>
      <c r="Z24" s="293">
        <v>1310</v>
      </c>
    </row>
    <row r="25" spans="1:26" ht="12" customHeight="1" x14ac:dyDescent="0.25">
      <c r="A25" s="58" t="s">
        <v>318</v>
      </c>
      <c r="B25" s="293">
        <v>4637</v>
      </c>
      <c r="C25" s="294">
        <v>4764</v>
      </c>
      <c r="D25" s="294">
        <v>5157</v>
      </c>
      <c r="E25" s="294">
        <v>5329</v>
      </c>
      <c r="F25" s="294">
        <v>5340</v>
      </c>
      <c r="G25" s="293">
        <v>4802</v>
      </c>
      <c r="H25" s="294">
        <v>5933</v>
      </c>
      <c r="I25" s="294">
        <v>8054</v>
      </c>
      <c r="J25" s="293">
        <v>5952</v>
      </c>
      <c r="K25" s="294">
        <v>6056</v>
      </c>
      <c r="L25" s="294">
        <v>5093</v>
      </c>
      <c r="M25" s="293">
        <v>6067</v>
      </c>
      <c r="N25" s="293">
        <v>5804</v>
      </c>
      <c r="O25" s="293">
        <v>4820</v>
      </c>
      <c r="P25" s="294">
        <v>4857</v>
      </c>
      <c r="Q25" s="294">
        <v>4921</v>
      </c>
      <c r="R25" s="294">
        <v>4825</v>
      </c>
      <c r="S25" s="294">
        <v>5126</v>
      </c>
      <c r="T25" s="293">
        <v>4926</v>
      </c>
      <c r="U25" s="294">
        <v>5276</v>
      </c>
      <c r="V25" s="294">
        <v>6759</v>
      </c>
      <c r="W25" s="293">
        <v>6606</v>
      </c>
      <c r="X25" s="294">
        <v>5455</v>
      </c>
      <c r="Y25" s="294">
        <v>5227</v>
      </c>
      <c r="Z25" s="293">
        <v>5226</v>
      </c>
    </row>
    <row r="26" spans="1:26" ht="12" customHeight="1" x14ac:dyDescent="0.25">
      <c r="A26" s="58" t="s">
        <v>356</v>
      </c>
      <c r="B26" s="60" t="s">
        <v>310</v>
      </c>
      <c r="C26" s="59" t="s">
        <v>310</v>
      </c>
      <c r="D26" s="59" t="s">
        <v>310</v>
      </c>
      <c r="E26" s="59" t="s">
        <v>310</v>
      </c>
      <c r="F26" s="59" t="s">
        <v>310</v>
      </c>
      <c r="G26" s="60" t="s">
        <v>310</v>
      </c>
      <c r="H26" s="59" t="s">
        <v>310</v>
      </c>
      <c r="I26" s="59" t="s">
        <v>310</v>
      </c>
      <c r="J26" s="60" t="s">
        <v>310</v>
      </c>
      <c r="K26" s="59" t="s">
        <v>310</v>
      </c>
      <c r="L26" s="59" t="s">
        <v>310</v>
      </c>
      <c r="M26" s="60" t="s">
        <v>310</v>
      </c>
      <c r="N26" s="60" t="s">
        <v>310</v>
      </c>
      <c r="O26" s="60" t="s">
        <v>310</v>
      </c>
      <c r="P26" s="59" t="s">
        <v>310</v>
      </c>
      <c r="Q26" s="59" t="s">
        <v>310</v>
      </c>
      <c r="R26" s="59" t="s">
        <v>310</v>
      </c>
      <c r="S26" s="59" t="s">
        <v>310</v>
      </c>
      <c r="T26" s="60" t="s">
        <v>310</v>
      </c>
      <c r="U26" s="294">
        <v>3468</v>
      </c>
      <c r="V26" s="294">
        <v>3440</v>
      </c>
      <c r="W26" s="293">
        <v>2785</v>
      </c>
      <c r="X26" s="294">
        <v>3366</v>
      </c>
      <c r="Y26" s="59" t="s">
        <v>310</v>
      </c>
      <c r="Z26" s="293">
        <v>3403</v>
      </c>
    </row>
    <row r="27" spans="1:26" ht="12" customHeight="1" x14ac:dyDescent="0.25">
      <c r="A27" s="58" t="s">
        <v>355</v>
      </c>
      <c r="B27" s="293">
        <v>4992</v>
      </c>
      <c r="C27" s="294">
        <v>6098</v>
      </c>
      <c r="D27" s="294">
        <v>2426</v>
      </c>
      <c r="E27" s="294">
        <v>1612</v>
      </c>
      <c r="F27" s="294">
        <v>3283</v>
      </c>
      <c r="G27" s="293">
        <v>4858</v>
      </c>
      <c r="H27" s="294">
        <v>2248</v>
      </c>
      <c r="I27" s="59" t="s">
        <v>310</v>
      </c>
      <c r="J27" s="293">
        <v>4599</v>
      </c>
      <c r="K27" s="294">
        <v>4777</v>
      </c>
      <c r="L27" s="294">
        <v>4164</v>
      </c>
      <c r="M27" s="60" t="s">
        <v>310</v>
      </c>
      <c r="N27" s="293">
        <v>4226</v>
      </c>
      <c r="O27" s="293">
        <v>2353</v>
      </c>
      <c r="P27" s="294">
        <v>5104</v>
      </c>
      <c r="Q27" s="294">
        <v>2638</v>
      </c>
      <c r="R27" s="294">
        <v>5049</v>
      </c>
      <c r="S27" s="294">
        <v>2128</v>
      </c>
      <c r="T27" s="293">
        <v>2000</v>
      </c>
      <c r="U27" s="294">
        <v>4056</v>
      </c>
      <c r="V27" s="294">
        <v>4291</v>
      </c>
      <c r="W27" s="293">
        <v>4132</v>
      </c>
      <c r="X27" s="294">
        <v>3421</v>
      </c>
      <c r="Y27" s="294">
        <v>4085</v>
      </c>
      <c r="Z27" s="293">
        <v>4464</v>
      </c>
    </row>
    <row r="28" spans="1:26" ht="12" customHeight="1" x14ac:dyDescent="0.25">
      <c r="A28" s="58" t="s">
        <v>354</v>
      </c>
      <c r="B28" s="293">
        <v>3059</v>
      </c>
      <c r="C28" s="59" t="s">
        <v>310</v>
      </c>
      <c r="D28" s="294">
        <v>1723</v>
      </c>
      <c r="E28" s="294">
        <v>1566</v>
      </c>
      <c r="F28" s="294">
        <v>1875</v>
      </c>
      <c r="G28" s="293">
        <v>1566</v>
      </c>
      <c r="H28" s="294">
        <v>2075</v>
      </c>
      <c r="I28" s="59" t="s">
        <v>310</v>
      </c>
      <c r="J28" s="293">
        <v>2531</v>
      </c>
      <c r="K28" s="294">
        <v>2075</v>
      </c>
      <c r="L28" s="294">
        <v>1566</v>
      </c>
      <c r="M28" s="293">
        <v>2281</v>
      </c>
      <c r="N28" s="293">
        <v>2161</v>
      </c>
      <c r="O28" s="293">
        <v>1867</v>
      </c>
      <c r="P28" s="294">
        <v>2116</v>
      </c>
      <c r="Q28" s="294">
        <v>1566</v>
      </c>
      <c r="R28" s="294">
        <v>1566</v>
      </c>
      <c r="S28" s="294">
        <v>1723</v>
      </c>
      <c r="T28" s="293">
        <v>1723</v>
      </c>
      <c r="U28" s="294">
        <v>1566</v>
      </c>
      <c r="V28" s="294">
        <v>3458</v>
      </c>
      <c r="W28" s="293">
        <v>2715</v>
      </c>
      <c r="X28" s="294">
        <v>2283</v>
      </c>
      <c r="Y28" s="294">
        <v>1566</v>
      </c>
      <c r="Z28" s="293">
        <v>1566</v>
      </c>
    </row>
    <row r="29" spans="1:26" ht="12" customHeight="1" x14ac:dyDescent="0.25">
      <c r="A29" s="58" t="s">
        <v>353</v>
      </c>
      <c r="B29" s="293">
        <v>6517</v>
      </c>
      <c r="C29" s="294">
        <v>7819</v>
      </c>
      <c r="D29" s="294">
        <v>7714</v>
      </c>
      <c r="E29" s="59" t="s">
        <v>310</v>
      </c>
      <c r="F29" s="294">
        <v>7989</v>
      </c>
      <c r="G29" s="60" t="s">
        <v>310</v>
      </c>
      <c r="H29" s="294">
        <v>7783</v>
      </c>
      <c r="I29" s="294">
        <v>6714</v>
      </c>
      <c r="J29" s="293">
        <v>8139</v>
      </c>
      <c r="K29" s="294">
        <v>7461</v>
      </c>
      <c r="L29" s="294">
        <v>6100</v>
      </c>
      <c r="M29" s="293">
        <v>8834</v>
      </c>
      <c r="N29" s="293">
        <v>6950</v>
      </c>
      <c r="O29" s="293">
        <v>6005</v>
      </c>
      <c r="P29" s="59" t="s">
        <v>310</v>
      </c>
      <c r="Q29" s="59" t="s">
        <v>310</v>
      </c>
      <c r="R29" s="59" t="s">
        <v>310</v>
      </c>
      <c r="S29" s="59" t="s">
        <v>310</v>
      </c>
      <c r="T29" s="60" t="s">
        <v>310</v>
      </c>
      <c r="U29" s="59" t="s">
        <v>310</v>
      </c>
      <c r="V29" s="294">
        <v>10064</v>
      </c>
      <c r="W29" s="293">
        <v>10558</v>
      </c>
      <c r="X29" s="294">
        <v>7550</v>
      </c>
      <c r="Y29" s="59" t="s">
        <v>310</v>
      </c>
      <c r="Z29" s="60" t="s">
        <v>310</v>
      </c>
    </row>
    <row r="30" spans="1:26" ht="12" customHeight="1" x14ac:dyDescent="0.25">
      <c r="A30" s="58" t="s">
        <v>352</v>
      </c>
      <c r="B30" s="293">
        <v>8424</v>
      </c>
      <c r="C30" s="294">
        <v>8551</v>
      </c>
      <c r="D30" s="59" t="s">
        <v>310</v>
      </c>
      <c r="E30" s="59" t="s">
        <v>310</v>
      </c>
      <c r="F30" s="59" t="s">
        <v>310</v>
      </c>
      <c r="G30" s="60" t="s">
        <v>310</v>
      </c>
      <c r="H30" s="59" t="s">
        <v>310</v>
      </c>
      <c r="I30" s="59" t="s">
        <v>310</v>
      </c>
      <c r="J30" s="60" t="s">
        <v>310</v>
      </c>
      <c r="K30" s="59" t="s">
        <v>310</v>
      </c>
      <c r="L30" s="59" t="s">
        <v>310</v>
      </c>
      <c r="M30" s="60" t="s">
        <v>310</v>
      </c>
      <c r="N30" s="60" t="s">
        <v>310</v>
      </c>
      <c r="O30" s="60" t="s">
        <v>310</v>
      </c>
      <c r="P30" s="59" t="s">
        <v>310</v>
      </c>
      <c r="Q30" s="59" t="s">
        <v>310</v>
      </c>
      <c r="R30" s="294">
        <v>8509</v>
      </c>
      <c r="S30" s="294">
        <v>8838</v>
      </c>
      <c r="T30" s="293">
        <v>8422</v>
      </c>
      <c r="U30" s="294">
        <v>8826</v>
      </c>
      <c r="V30" s="294">
        <v>10397</v>
      </c>
      <c r="W30" s="293">
        <v>10266</v>
      </c>
      <c r="X30" s="294">
        <v>9394</v>
      </c>
      <c r="Y30" s="294">
        <v>8481</v>
      </c>
      <c r="Z30" s="293">
        <v>9413</v>
      </c>
    </row>
    <row r="31" spans="1:26" ht="12" customHeight="1" x14ac:dyDescent="0.25">
      <c r="A31" s="58" t="s">
        <v>351</v>
      </c>
      <c r="B31" s="293">
        <v>1422</v>
      </c>
      <c r="C31" s="294">
        <v>1395</v>
      </c>
      <c r="D31" s="294">
        <v>1443</v>
      </c>
      <c r="E31" s="294">
        <v>1497</v>
      </c>
      <c r="F31" s="294">
        <v>1480</v>
      </c>
      <c r="G31" s="293">
        <v>1407</v>
      </c>
      <c r="H31" s="294">
        <v>1494</v>
      </c>
      <c r="I31" s="294">
        <v>1758</v>
      </c>
      <c r="J31" s="293">
        <v>1480</v>
      </c>
      <c r="K31" s="294">
        <v>1524</v>
      </c>
      <c r="L31" s="294">
        <v>1440</v>
      </c>
      <c r="M31" s="293">
        <v>1571</v>
      </c>
      <c r="N31" s="293">
        <v>1436</v>
      </c>
      <c r="O31" s="293">
        <v>1465</v>
      </c>
      <c r="P31" s="294">
        <v>1392</v>
      </c>
      <c r="Q31" s="294">
        <v>1438</v>
      </c>
      <c r="R31" s="294">
        <v>1394</v>
      </c>
      <c r="S31" s="294">
        <v>1449</v>
      </c>
      <c r="T31" s="293">
        <v>1404</v>
      </c>
      <c r="U31" s="294">
        <v>1418</v>
      </c>
      <c r="V31" s="294">
        <v>1579</v>
      </c>
      <c r="W31" s="293">
        <v>1570</v>
      </c>
      <c r="X31" s="294">
        <v>1453</v>
      </c>
      <c r="Y31" s="294">
        <v>1435</v>
      </c>
      <c r="Z31" s="293">
        <v>1448</v>
      </c>
    </row>
    <row r="32" spans="1:26" ht="12" customHeight="1" x14ac:dyDescent="0.25">
      <c r="A32" s="58" t="s">
        <v>350</v>
      </c>
      <c r="B32" s="293">
        <v>1751</v>
      </c>
      <c r="C32" s="294">
        <v>1769</v>
      </c>
      <c r="D32" s="294">
        <v>1822</v>
      </c>
      <c r="E32" s="294">
        <v>1880</v>
      </c>
      <c r="F32" s="294">
        <v>1854</v>
      </c>
      <c r="G32" s="293">
        <v>1787</v>
      </c>
      <c r="H32" s="294">
        <v>1892</v>
      </c>
      <c r="I32" s="294">
        <v>2150</v>
      </c>
      <c r="J32" s="293">
        <v>1858</v>
      </c>
      <c r="K32" s="294">
        <v>1896</v>
      </c>
      <c r="L32" s="294">
        <v>1780</v>
      </c>
      <c r="M32" s="293">
        <v>1971</v>
      </c>
      <c r="N32" s="293">
        <v>1842</v>
      </c>
      <c r="O32" s="293">
        <v>1799</v>
      </c>
      <c r="P32" s="294">
        <v>1781</v>
      </c>
      <c r="Q32" s="294">
        <v>1802</v>
      </c>
      <c r="R32" s="294">
        <v>1768</v>
      </c>
      <c r="S32" s="294">
        <v>1826</v>
      </c>
      <c r="T32" s="293">
        <v>1787</v>
      </c>
      <c r="U32" s="294">
        <v>1796</v>
      </c>
      <c r="V32" s="294">
        <v>1969</v>
      </c>
      <c r="W32" s="293">
        <v>1964</v>
      </c>
      <c r="X32" s="294">
        <v>1858</v>
      </c>
      <c r="Y32" s="294">
        <v>1789</v>
      </c>
      <c r="Z32" s="293">
        <v>1854</v>
      </c>
    </row>
    <row r="34" spans="1:26" x14ac:dyDescent="0.25">
      <c r="A34" s="298" t="s">
        <v>349</v>
      </c>
      <c r="B34" s="293">
        <f>'EIA_AEO_2023_Table 3'!$G$19</f>
        <v>1270</v>
      </c>
      <c r="C34" s="293">
        <f>'EIA_AEO_2023_Table 3'!$G$19</f>
        <v>1270</v>
      </c>
      <c r="D34" s="293">
        <f>'EIA_AEO_2023_Table 3'!$G$19</f>
        <v>1270</v>
      </c>
      <c r="E34" s="293">
        <f>'EIA_AEO_2023_Table 3'!$G$19</f>
        <v>1270</v>
      </c>
      <c r="F34" s="293">
        <f>'EIA_AEO_2023_Table 3'!$G$19</f>
        <v>1270</v>
      </c>
      <c r="G34" s="293">
        <f>'EIA_AEO_2023_Table 3'!$G$19</f>
        <v>1270</v>
      </c>
      <c r="H34" s="293">
        <f>'EIA_AEO_2023_Table 3'!$G$19</f>
        <v>1270</v>
      </c>
      <c r="I34" s="293">
        <f>'EIA_AEO_2023_Table 3'!$G$19</f>
        <v>1270</v>
      </c>
      <c r="J34" s="293">
        <f>'EIA_AEO_2023_Table 3'!$G$19</f>
        <v>1270</v>
      </c>
      <c r="K34" s="293">
        <f>'EIA_AEO_2023_Table 3'!$G$19</f>
        <v>1270</v>
      </c>
      <c r="L34" s="293">
        <f>'EIA_AEO_2023_Table 3'!$G$19</f>
        <v>1270</v>
      </c>
      <c r="M34" s="293">
        <f>'EIA_AEO_2023_Table 3'!$G$19</f>
        <v>1270</v>
      </c>
      <c r="N34" s="293">
        <f>'EIA_AEO_2023_Table 3'!$G$19</f>
        <v>1270</v>
      </c>
      <c r="O34" s="293">
        <f>'EIA_AEO_2023_Table 3'!$G$19</f>
        <v>1270</v>
      </c>
      <c r="P34" s="293">
        <f>'EIA_AEO_2023_Table 3'!$G$19</f>
        <v>1270</v>
      </c>
      <c r="Q34" s="293">
        <f>'EIA_AEO_2023_Table 3'!$G$19</f>
        <v>1270</v>
      </c>
      <c r="R34" s="293">
        <f>'EIA_AEO_2023_Table 3'!$G$19</f>
        <v>1270</v>
      </c>
      <c r="S34" s="293">
        <f>'EIA_AEO_2023_Table 3'!$G$19</f>
        <v>1270</v>
      </c>
      <c r="T34" s="293">
        <f>'EIA_AEO_2023_Table 3'!$G$19</f>
        <v>1270</v>
      </c>
      <c r="U34" s="293">
        <f>'EIA_AEO_2023_Table 3'!$G$19</f>
        <v>1270</v>
      </c>
      <c r="V34" s="293">
        <f>'EIA_AEO_2023_Table 3'!$G$19</f>
        <v>1270</v>
      </c>
      <c r="W34" s="293">
        <f>'EIA_AEO_2023_Table 3'!$G$19</f>
        <v>1270</v>
      </c>
      <c r="X34" s="293">
        <f>'EIA_AEO_2023_Table 3'!$G$19</f>
        <v>1270</v>
      </c>
      <c r="Y34" s="293">
        <f>'EIA_AEO_2023_Table 3'!$G$19</f>
        <v>1270</v>
      </c>
      <c r="Z34" s="293">
        <f>'EIA_AEO_2023_Table 3'!$G$19</f>
        <v>1270</v>
      </c>
    </row>
    <row r="35" spans="1:26" x14ac:dyDescent="0.25">
      <c r="A35" s="298" t="s">
        <v>348</v>
      </c>
      <c r="B35" s="299">
        <f t="shared" ref="B35:Z35" si="0">B24/B34</f>
        <v>1</v>
      </c>
      <c r="C35" s="299">
        <f t="shared" si="0"/>
        <v>1.0023622047244094</v>
      </c>
      <c r="D35" s="299">
        <f t="shared" si="0"/>
        <v>0.98818897637795278</v>
      </c>
      <c r="E35" s="299">
        <f t="shared" si="0"/>
        <v>1.036220472440945</v>
      </c>
      <c r="F35" s="299">
        <f t="shared" si="0"/>
        <v>1.0023622047244094</v>
      </c>
      <c r="G35" s="299">
        <f t="shared" si="0"/>
        <v>1.0236220472440944</v>
      </c>
      <c r="H35" s="299">
        <f t="shared" si="0"/>
        <v>1.0307086614173229</v>
      </c>
      <c r="I35" s="299">
        <f t="shared" si="0"/>
        <v>1.0267716535433071</v>
      </c>
      <c r="J35" s="299">
        <f t="shared" si="0"/>
        <v>1.0039370078740157</v>
      </c>
      <c r="K35" s="299">
        <f t="shared" si="0"/>
        <v>1.0062992125984251</v>
      </c>
      <c r="L35" s="299">
        <f t="shared" si="0"/>
        <v>0.9976377952755906</v>
      </c>
      <c r="M35" s="299">
        <f t="shared" si="0"/>
        <v>1.0102362204724409</v>
      </c>
      <c r="N35" s="299">
        <f t="shared" si="0"/>
        <v>1.0062992125984251</v>
      </c>
      <c r="O35" s="299">
        <f t="shared" si="0"/>
        <v>1.0322834645669292</v>
      </c>
      <c r="P35" s="299">
        <f t="shared" si="0"/>
        <v>1.0181102362204724</v>
      </c>
      <c r="Q35" s="299">
        <f t="shared" si="0"/>
        <v>1.0307086614173229</v>
      </c>
      <c r="R35" s="299">
        <f t="shared" si="0"/>
        <v>0.99527559055118109</v>
      </c>
      <c r="S35" s="299">
        <f t="shared" si="0"/>
        <v>1.0015748031496063</v>
      </c>
      <c r="T35" s="299">
        <f t="shared" si="0"/>
        <v>0.98976377952755901</v>
      </c>
      <c r="U35" s="299">
        <f t="shared" si="0"/>
        <v>1.0125984251968505</v>
      </c>
      <c r="V35" s="299">
        <f t="shared" si="0"/>
        <v>1.041732283464567</v>
      </c>
      <c r="W35" s="299">
        <f t="shared" si="0"/>
        <v>1.0433070866141732</v>
      </c>
      <c r="X35" s="299">
        <f t="shared" si="0"/>
        <v>1.0236220472440944</v>
      </c>
      <c r="Y35" s="299">
        <f t="shared" si="0"/>
        <v>0.99133858267716535</v>
      </c>
      <c r="Z35" s="299">
        <f t="shared" si="0"/>
        <v>1.0314960629921259</v>
      </c>
    </row>
    <row r="36" spans="1:26" x14ac:dyDescent="0.25">
      <c r="B36" s="300"/>
      <c r="C36" s="300"/>
      <c r="D36" s="300"/>
      <c r="E36" s="300"/>
      <c r="F36" s="300"/>
      <c r="G36" s="300"/>
      <c r="H36" s="300"/>
      <c r="I36" s="300"/>
      <c r="J36" s="300"/>
      <c r="K36" s="300"/>
      <c r="L36" s="300"/>
      <c r="M36" s="300"/>
      <c r="N36" s="300"/>
      <c r="O36" s="300"/>
      <c r="P36" s="300"/>
      <c r="Q36" s="300"/>
      <c r="R36" s="300"/>
      <c r="S36" s="300"/>
      <c r="T36" s="300"/>
      <c r="U36" s="300"/>
      <c r="V36" s="300"/>
      <c r="W36" s="300"/>
      <c r="X36" s="300"/>
      <c r="Y36" s="300"/>
      <c r="Z36" s="300"/>
    </row>
    <row r="37" spans="1:26" x14ac:dyDescent="0.25">
      <c r="A37" s="300" t="s">
        <v>347</v>
      </c>
      <c r="B37" s="293">
        <f>'EIA_AEO_2023_Table 3'!$G$26</f>
        <v>1448</v>
      </c>
      <c r="C37" s="293">
        <f>'EIA_AEO_2023_Table 3'!$G$26</f>
        <v>1448</v>
      </c>
      <c r="D37" s="293">
        <f>'EIA_AEO_2023_Table 3'!$G$26</f>
        <v>1448</v>
      </c>
      <c r="E37" s="293">
        <f>'EIA_AEO_2023_Table 3'!$G$26</f>
        <v>1448</v>
      </c>
      <c r="F37" s="293">
        <f>'EIA_AEO_2023_Table 3'!$G$26</f>
        <v>1448</v>
      </c>
      <c r="G37" s="293">
        <f>'EIA_AEO_2023_Table 3'!$G$26</f>
        <v>1448</v>
      </c>
      <c r="H37" s="293">
        <f>'EIA_AEO_2023_Table 3'!$G$26</f>
        <v>1448</v>
      </c>
      <c r="I37" s="293">
        <f>'EIA_AEO_2023_Table 3'!$G$26</f>
        <v>1448</v>
      </c>
      <c r="J37" s="293">
        <f>'EIA_AEO_2023_Table 3'!$G$26</f>
        <v>1448</v>
      </c>
      <c r="K37" s="293">
        <f>'EIA_AEO_2023_Table 3'!$G$26</f>
        <v>1448</v>
      </c>
      <c r="L37" s="293">
        <f>'EIA_AEO_2023_Table 3'!$G$26</f>
        <v>1448</v>
      </c>
      <c r="M37" s="293">
        <f>'EIA_AEO_2023_Table 3'!$G$26</f>
        <v>1448</v>
      </c>
      <c r="N37" s="293">
        <f>'EIA_AEO_2023_Table 3'!$G$26</f>
        <v>1448</v>
      </c>
      <c r="O37" s="293">
        <f>'EIA_AEO_2023_Table 3'!$G$26</f>
        <v>1448</v>
      </c>
      <c r="P37" s="293">
        <f>'EIA_AEO_2023_Table 3'!$G$26</f>
        <v>1448</v>
      </c>
      <c r="Q37" s="293">
        <f>'EIA_AEO_2023_Table 3'!$G$26</f>
        <v>1448</v>
      </c>
      <c r="R37" s="293">
        <f>'EIA_AEO_2023_Table 3'!$G$26</f>
        <v>1448</v>
      </c>
      <c r="S37" s="293">
        <f>'EIA_AEO_2023_Table 3'!$G$26</f>
        <v>1448</v>
      </c>
      <c r="T37" s="293">
        <f>'EIA_AEO_2023_Table 3'!$G$26</f>
        <v>1448</v>
      </c>
      <c r="U37" s="293">
        <f>'EIA_AEO_2023_Table 3'!$G$26</f>
        <v>1448</v>
      </c>
      <c r="V37" s="293">
        <f>'EIA_AEO_2023_Table 3'!$G$26</f>
        <v>1448</v>
      </c>
      <c r="W37" s="293">
        <f>'EIA_AEO_2023_Table 3'!$G$26</f>
        <v>1448</v>
      </c>
      <c r="X37" s="293">
        <f>'EIA_AEO_2023_Table 3'!$G$26</f>
        <v>1448</v>
      </c>
      <c r="Y37" s="293">
        <f>'EIA_AEO_2023_Table 3'!$G$26</f>
        <v>1448</v>
      </c>
      <c r="Z37" s="293">
        <f>'EIA_AEO_2023_Table 3'!$G$26</f>
        <v>1448</v>
      </c>
    </row>
    <row r="38" spans="1:26" x14ac:dyDescent="0.25">
      <c r="A38" s="298" t="s">
        <v>346</v>
      </c>
      <c r="B38" s="299">
        <f t="shared" ref="B38:Z38" si="1">B31/B37</f>
        <v>0.98204419889502759</v>
      </c>
      <c r="C38" s="299">
        <f t="shared" si="1"/>
        <v>0.96339779005524862</v>
      </c>
      <c r="D38" s="299">
        <f t="shared" si="1"/>
        <v>0.99654696132596687</v>
      </c>
      <c r="E38" s="299">
        <f t="shared" si="1"/>
        <v>1.0338397790055249</v>
      </c>
      <c r="F38" s="299">
        <f t="shared" si="1"/>
        <v>1.0220994475138121</v>
      </c>
      <c r="G38" s="299">
        <f t="shared" si="1"/>
        <v>0.97168508287292821</v>
      </c>
      <c r="H38" s="299">
        <f t="shared" si="1"/>
        <v>1.031767955801105</v>
      </c>
      <c r="I38" s="299">
        <f t="shared" si="1"/>
        <v>1.2140883977900552</v>
      </c>
      <c r="J38" s="299">
        <f t="shared" si="1"/>
        <v>1.0220994475138121</v>
      </c>
      <c r="K38" s="299">
        <f t="shared" si="1"/>
        <v>1.0524861878453038</v>
      </c>
      <c r="L38" s="299">
        <f t="shared" si="1"/>
        <v>0.99447513812154698</v>
      </c>
      <c r="M38" s="299">
        <f t="shared" si="1"/>
        <v>1.0849447513812154</v>
      </c>
      <c r="N38" s="299">
        <f t="shared" si="1"/>
        <v>0.99171270718232041</v>
      </c>
      <c r="O38" s="299">
        <f t="shared" si="1"/>
        <v>1.0117403314917126</v>
      </c>
      <c r="P38" s="299">
        <f t="shared" si="1"/>
        <v>0.96132596685082872</v>
      </c>
      <c r="Q38" s="299">
        <f t="shared" si="1"/>
        <v>0.99309392265193375</v>
      </c>
      <c r="R38" s="299">
        <f t="shared" si="1"/>
        <v>0.96270718232044195</v>
      </c>
      <c r="S38" s="299">
        <f t="shared" si="1"/>
        <v>1.0006906077348066</v>
      </c>
      <c r="T38" s="299">
        <f t="shared" si="1"/>
        <v>0.96961325966850831</v>
      </c>
      <c r="U38" s="299">
        <f t="shared" si="1"/>
        <v>0.97928176795580113</v>
      </c>
      <c r="V38" s="299">
        <f t="shared" si="1"/>
        <v>1.0904696132596685</v>
      </c>
      <c r="W38" s="299">
        <f t="shared" si="1"/>
        <v>1.0842541436464088</v>
      </c>
      <c r="X38" s="299">
        <f t="shared" si="1"/>
        <v>1.0034530386740332</v>
      </c>
      <c r="Y38" s="299">
        <f t="shared" si="1"/>
        <v>0.99102209944751385</v>
      </c>
      <c r="Z38" s="299">
        <f t="shared" si="1"/>
        <v>1</v>
      </c>
    </row>
    <row r="40" spans="1:26" x14ac:dyDescent="0.25">
      <c r="A40" s="298" t="s">
        <v>345</v>
      </c>
      <c r="B40" s="293">
        <f>'EIA_AEO_2023_Table 3'!$G$23</f>
        <v>2098</v>
      </c>
      <c r="C40" s="293">
        <f>'EIA_AEO_2023_Table 3'!$G$23</f>
        <v>2098</v>
      </c>
      <c r="D40" s="293">
        <f>'EIA_AEO_2023_Table 3'!$G$23</f>
        <v>2098</v>
      </c>
      <c r="E40" s="293">
        <f>'EIA_AEO_2023_Table 3'!$G$23</f>
        <v>2098</v>
      </c>
      <c r="F40" s="293">
        <f>'EIA_AEO_2023_Table 3'!$G$23</f>
        <v>2098</v>
      </c>
      <c r="G40" s="293">
        <f>'EIA_AEO_2023_Table 3'!$G$23</f>
        <v>2098</v>
      </c>
      <c r="H40" s="293">
        <f>'EIA_AEO_2023_Table 3'!$G$23</f>
        <v>2098</v>
      </c>
      <c r="I40" s="293">
        <f>'EIA_AEO_2023_Table 3'!$G$23</f>
        <v>2098</v>
      </c>
      <c r="J40" s="293">
        <f>'EIA_AEO_2023_Table 3'!$G$23</f>
        <v>2098</v>
      </c>
      <c r="K40" s="293">
        <f>'EIA_AEO_2023_Table 3'!$G$23</f>
        <v>2098</v>
      </c>
      <c r="L40" s="293">
        <f>'EIA_AEO_2023_Table 3'!$G$23</f>
        <v>2098</v>
      </c>
      <c r="M40" s="293">
        <f>'EIA_AEO_2023_Table 3'!$G$23</f>
        <v>2098</v>
      </c>
      <c r="N40" s="293">
        <f>'EIA_AEO_2023_Table 3'!$G$23</f>
        <v>2098</v>
      </c>
      <c r="O40" s="293">
        <f>'EIA_AEO_2023_Table 3'!$G$23</f>
        <v>2098</v>
      </c>
      <c r="P40" s="293">
        <f>'EIA_AEO_2023_Table 3'!$G$23</f>
        <v>2098</v>
      </c>
      <c r="Q40" s="293">
        <f>'EIA_AEO_2023_Table 3'!$G$23</f>
        <v>2098</v>
      </c>
      <c r="R40" s="293">
        <f>'EIA_AEO_2023_Table 3'!$G$23</f>
        <v>2098</v>
      </c>
      <c r="S40" s="293">
        <f>'EIA_AEO_2023_Table 3'!$G$23</f>
        <v>2098</v>
      </c>
      <c r="T40" s="293">
        <f>'EIA_AEO_2023_Table 3'!$G$23</f>
        <v>2098</v>
      </c>
      <c r="U40" s="293">
        <f>'EIA_AEO_2023_Table 3'!$G$23</f>
        <v>2098</v>
      </c>
      <c r="V40" s="293">
        <f>'EIA_AEO_2023_Table 3'!$G$23</f>
        <v>2098</v>
      </c>
      <c r="W40" s="293">
        <f>'EIA_AEO_2023_Table 3'!$G$23</f>
        <v>2098</v>
      </c>
      <c r="X40" s="293">
        <f>'EIA_AEO_2023_Table 3'!$G$23</f>
        <v>2098</v>
      </c>
      <c r="Y40" s="293">
        <f>'EIA_AEO_2023_Table 3'!$G$23</f>
        <v>2098</v>
      </c>
      <c r="Z40" s="293">
        <f>'EIA_AEO_2023_Table 3'!$G$23</f>
        <v>2098</v>
      </c>
    </row>
    <row r="41" spans="1:26" x14ac:dyDescent="0.25">
      <c r="A41" s="298" t="s">
        <v>343</v>
      </c>
      <c r="B41" s="299">
        <f t="shared" ref="B41:Z41" si="2">B28/B40</f>
        <v>1.4580552907530981</v>
      </c>
      <c r="C41" s="299" t="e">
        <f t="shared" si="2"/>
        <v>#VALUE!</v>
      </c>
      <c r="D41" s="299">
        <f t="shared" si="2"/>
        <v>0.82125834127740704</v>
      </c>
      <c r="E41" s="299">
        <f t="shared" si="2"/>
        <v>0.74642516682554816</v>
      </c>
      <c r="F41" s="299">
        <f t="shared" si="2"/>
        <v>0.89370829361296478</v>
      </c>
      <c r="G41" s="299">
        <f t="shared" si="2"/>
        <v>0.74642516682554816</v>
      </c>
      <c r="H41" s="299">
        <f t="shared" si="2"/>
        <v>0.98903717826501425</v>
      </c>
      <c r="I41" s="299" t="e">
        <f t="shared" si="2"/>
        <v>#VALUE!</v>
      </c>
      <c r="J41" s="299">
        <f t="shared" si="2"/>
        <v>1.2063870352716872</v>
      </c>
      <c r="K41" s="299">
        <f t="shared" si="2"/>
        <v>0.98903717826501425</v>
      </c>
      <c r="L41" s="299">
        <f t="shared" si="2"/>
        <v>0.74642516682554816</v>
      </c>
      <c r="M41" s="299">
        <f t="shared" si="2"/>
        <v>1.0872259294566253</v>
      </c>
      <c r="N41" s="299">
        <f t="shared" si="2"/>
        <v>1.0300285986653956</v>
      </c>
      <c r="O41" s="299">
        <f t="shared" si="2"/>
        <v>0.88989513822688271</v>
      </c>
      <c r="P41" s="299">
        <f t="shared" si="2"/>
        <v>1.0085795996186844</v>
      </c>
      <c r="Q41" s="299">
        <f t="shared" si="2"/>
        <v>0.74642516682554816</v>
      </c>
      <c r="R41" s="299">
        <f t="shared" si="2"/>
        <v>0.74642516682554816</v>
      </c>
      <c r="S41" s="299">
        <f t="shared" si="2"/>
        <v>0.82125834127740704</v>
      </c>
      <c r="T41" s="299">
        <f t="shared" si="2"/>
        <v>0.82125834127740704</v>
      </c>
      <c r="U41" s="299">
        <f t="shared" si="2"/>
        <v>0.74642516682554816</v>
      </c>
      <c r="V41" s="299">
        <f t="shared" si="2"/>
        <v>1.6482364156339371</v>
      </c>
      <c r="W41" s="299">
        <f t="shared" si="2"/>
        <v>1.294089609151573</v>
      </c>
      <c r="X41" s="299">
        <f t="shared" si="2"/>
        <v>1.0881792183031458</v>
      </c>
      <c r="Y41" s="299">
        <f t="shared" si="2"/>
        <v>0.74642516682554816</v>
      </c>
      <c r="Z41" s="299">
        <f t="shared" si="2"/>
        <v>0.74642516682554816</v>
      </c>
    </row>
    <row r="43" spans="1:26" x14ac:dyDescent="0.25">
      <c r="A43" s="298" t="s">
        <v>344</v>
      </c>
      <c r="B43" s="293">
        <f>'EIA_AEO_2023_Table 3'!$G$24</f>
        <v>6672</v>
      </c>
      <c r="C43" s="293">
        <f>'EIA_AEO_2023_Table 3'!$G$24</f>
        <v>6672</v>
      </c>
      <c r="D43" s="293">
        <f>'EIA_AEO_2023_Table 3'!$G$24</f>
        <v>6672</v>
      </c>
      <c r="E43" s="293">
        <f>'EIA_AEO_2023_Table 3'!$G$24</f>
        <v>6672</v>
      </c>
      <c r="F43" s="293">
        <f>'EIA_AEO_2023_Table 3'!$G$24</f>
        <v>6672</v>
      </c>
      <c r="G43" s="293">
        <f>'EIA_AEO_2023_Table 3'!$G$24</f>
        <v>6672</v>
      </c>
      <c r="H43" s="293">
        <f>'EIA_AEO_2023_Table 3'!$G$24</f>
        <v>6672</v>
      </c>
      <c r="I43" s="293">
        <f>'EIA_AEO_2023_Table 3'!$G$24</f>
        <v>6672</v>
      </c>
      <c r="J43" s="293">
        <f>'EIA_AEO_2023_Table 3'!$G$24</f>
        <v>6672</v>
      </c>
      <c r="K43" s="293">
        <f>'EIA_AEO_2023_Table 3'!$G$24</f>
        <v>6672</v>
      </c>
      <c r="L43" s="293">
        <f>'EIA_AEO_2023_Table 3'!$G$24</f>
        <v>6672</v>
      </c>
      <c r="M43" s="293">
        <f>'EIA_AEO_2023_Table 3'!$G$24</f>
        <v>6672</v>
      </c>
      <c r="N43" s="293">
        <f>'EIA_AEO_2023_Table 3'!$G$24</f>
        <v>6672</v>
      </c>
      <c r="O43" s="293">
        <f>'EIA_AEO_2023_Table 3'!$G$24</f>
        <v>6672</v>
      </c>
      <c r="P43" s="293">
        <f>'EIA_AEO_2023_Table 3'!$G$24</f>
        <v>6672</v>
      </c>
      <c r="Q43" s="293">
        <f>'EIA_AEO_2023_Table 3'!$G$24</f>
        <v>6672</v>
      </c>
      <c r="R43" s="293">
        <f>'EIA_AEO_2023_Table 3'!$G$24</f>
        <v>6672</v>
      </c>
      <c r="S43" s="293">
        <f>'EIA_AEO_2023_Table 3'!$G$24</f>
        <v>6672</v>
      </c>
      <c r="T43" s="293">
        <f>'EIA_AEO_2023_Table 3'!$G$24</f>
        <v>6672</v>
      </c>
      <c r="U43" s="293">
        <f>'EIA_AEO_2023_Table 3'!$G$24</f>
        <v>6672</v>
      </c>
      <c r="V43" s="293">
        <f>'EIA_AEO_2023_Table 3'!$G$24</f>
        <v>6672</v>
      </c>
      <c r="W43" s="293">
        <f>'EIA_AEO_2023_Table 3'!$G$24</f>
        <v>6672</v>
      </c>
      <c r="X43" s="293">
        <f>'EIA_AEO_2023_Table 3'!$G$24</f>
        <v>6672</v>
      </c>
      <c r="Y43" s="293">
        <f>'EIA_AEO_2023_Table 3'!$G$24</f>
        <v>6672</v>
      </c>
      <c r="Z43" s="293">
        <f>'EIA_AEO_2023_Table 3'!$G$24</f>
        <v>6672</v>
      </c>
    </row>
    <row r="44" spans="1:26" x14ac:dyDescent="0.25">
      <c r="A44" s="298" t="s">
        <v>343</v>
      </c>
      <c r="B44" s="299">
        <f t="shared" ref="B44:Z44" si="3">B29/B43</f>
        <v>0.97676858513189446</v>
      </c>
      <c r="C44" s="299">
        <f t="shared" si="3"/>
        <v>1.1719124700239809</v>
      </c>
      <c r="D44" s="299">
        <f t="shared" si="3"/>
        <v>1.1561750599520384</v>
      </c>
      <c r="E44" s="299" t="e">
        <f t="shared" si="3"/>
        <v>#VALUE!</v>
      </c>
      <c r="F44" s="299">
        <f t="shared" si="3"/>
        <v>1.1973920863309353</v>
      </c>
      <c r="G44" s="299" t="e">
        <f t="shared" si="3"/>
        <v>#VALUE!</v>
      </c>
      <c r="H44" s="299">
        <f t="shared" si="3"/>
        <v>1.1665167865707433</v>
      </c>
      <c r="I44" s="299">
        <f t="shared" si="3"/>
        <v>1.0062949640287771</v>
      </c>
      <c r="J44" s="299">
        <f t="shared" si="3"/>
        <v>1.2198741007194245</v>
      </c>
      <c r="K44" s="299">
        <f t="shared" si="3"/>
        <v>1.1182553956834533</v>
      </c>
      <c r="L44" s="299">
        <f t="shared" si="3"/>
        <v>0.91426858513189446</v>
      </c>
      <c r="M44" s="299">
        <f t="shared" si="3"/>
        <v>1.3240407673860912</v>
      </c>
      <c r="N44" s="299">
        <f t="shared" si="3"/>
        <v>1.0416666666666667</v>
      </c>
      <c r="O44" s="299">
        <f t="shared" si="3"/>
        <v>0.90002997601918466</v>
      </c>
      <c r="P44" s="299" t="e">
        <f t="shared" si="3"/>
        <v>#VALUE!</v>
      </c>
      <c r="Q44" s="299" t="e">
        <f t="shared" si="3"/>
        <v>#VALUE!</v>
      </c>
      <c r="R44" s="299" t="e">
        <f t="shared" si="3"/>
        <v>#VALUE!</v>
      </c>
      <c r="S44" s="299" t="e">
        <f t="shared" si="3"/>
        <v>#VALUE!</v>
      </c>
      <c r="T44" s="299" t="e">
        <f t="shared" si="3"/>
        <v>#VALUE!</v>
      </c>
      <c r="U44" s="299" t="e">
        <f t="shared" si="3"/>
        <v>#VALUE!</v>
      </c>
      <c r="V44" s="299">
        <f t="shared" si="3"/>
        <v>1.5083932853717026</v>
      </c>
      <c r="W44" s="299">
        <f t="shared" si="3"/>
        <v>1.5824340527577938</v>
      </c>
      <c r="X44" s="299">
        <f t="shared" si="3"/>
        <v>1.1315947242206235</v>
      </c>
      <c r="Y44" s="299" t="e">
        <f t="shared" si="3"/>
        <v>#VALUE!</v>
      </c>
      <c r="Z44" s="299" t="e">
        <f t="shared" si="3"/>
        <v>#VALUE!</v>
      </c>
    </row>
  </sheetData>
  <mergeCells count="1">
    <mergeCell ref="A3:G3"/>
  </mergeCells>
  <pageMargins left="0.7" right="0.7" top="0.75" bottom="0.75" header="0.3" footer="0.3"/>
  <pageSetup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878C3-3D75-49EC-AFE8-849FAEC77C57}">
  <sheetPr codeName="Sheet51">
    <tabColor theme="0" tint="-0.249977111117893"/>
  </sheetPr>
  <dimension ref="A1:C6"/>
  <sheetViews>
    <sheetView zoomScale="85" zoomScaleNormal="85" workbookViewId="0"/>
  </sheetViews>
  <sheetFormatPr defaultRowHeight="15" x14ac:dyDescent="0.25"/>
  <cols>
    <col min="1" max="1" width="21.28515625" style="3" bestFit="1" customWidth="1"/>
    <col min="2" max="3" width="17.5703125" style="274" customWidth="1"/>
    <col min="4" max="16384" width="9.140625" style="3"/>
  </cols>
  <sheetData>
    <row r="1" spans="1:3" x14ac:dyDescent="0.25">
      <c r="C1" s="3"/>
    </row>
    <row r="2" spans="1:3" x14ac:dyDescent="0.25">
      <c r="C2" s="3"/>
    </row>
    <row r="3" spans="1:3" x14ac:dyDescent="0.25">
      <c r="A3" s="189"/>
      <c r="B3" s="275"/>
      <c r="C3" s="275"/>
    </row>
    <row r="4" spans="1:3" x14ac:dyDescent="0.25">
      <c r="A4" s="276"/>
      <c r="B4" s="277"/>
      <c r="C4" s="278"/>
    </row>
    <row r="5" spans="1:3" x14ac:dyDescent="0.25">
      <c r="A5" s="276"/>
      <c r="B5" s="278"/>
      <c r="C5" s="278"/>
    </row>
    <row r="6" spans="1:3" x14ac:dyDescent="0.25">
      <c r="A6" s="4"/>
      <c r="B6" s="279"/>
      <c r="C6" s="280"/>
    </row>
  </sheetData>
  <sheetProtection selectLockedCells="1"/>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F8333-F8E2-4017-A613-3BD42AF28F5B}">
  <sheetPr codeName="Sheet52">
    <tabColor theme="0" tint="-0.249977111117893"/>
  </sheetPr>
  <dimension ref="A1:C6"/>
  <sheetViews>
    <sheetView zoomScale="85" zoomScaleNormal="85" workbookViewId="0"/>
  </sheetViews>
  <sheetFormatPr defaultRowHeight="15" x14ac:dyDescent="0.25"/>
  <cols>
    <col min="1" max="1" width="21.28515625" style="3" bestFit="1" customWidth="1"/>
    <col min="2" max="3" width="17.5703125" style="274" customWidth="1"/>
    <col min="4" max="16384" width="9.140625" style="3"/>
  </cols>
  <sheetData>
    <row r="1" spans="1:3" x14ac:dyDescent="0.25">
      <c r="C1" s="3"/>
    </row>
    <row r="2" spans="1:3" x14ac:dyDescent="0.25">
      <c r="C2" s="3"/>
    </row>
    <row r="3" spans="1:3" x14ac:dyDescent="0.25">
      <c r="A3" s="189"/>
      <c r="B3" s="275"/>
      <c r="C3" s="275"/>
    </row>
    <row r="4" spans="1:3" ht="30" x14ac:dyDescent="0.25">
      <c r="A4" s="276" t="s">
        <v>198</v>
      </c>
      <c r="B4" s="277" t="s">
        <v>21</v>
      </c>
      <c r="C4" s="278" t="s">
        <v>377</v>
      </c>
    </row>
    <row r="5" spans="1:3" x14ac:dyDescent="0.25">
      <c r="A5" s="276"/>
      <c r="B5" s="278" t="s">
        <v>376</v>
      </c>
      <c r="C5" s="278" t="s">
        <v>375</v>
      </c>
    </row>
    <row r="6" spans="1:3" x14ac:dyDescent="0.25">
      <c r="A6" s="4" t="s">
        <v>374</v>
      </c>
      <c r="B6" s="279">
        <f>'Table 10'!G35*'FRED Graph_22Oct2023'!$D$312*'OSW Learning Scalers'!$M$8</f>
        <v>3107.9922886992372</v>
      </c>
      <c r="C6" s="280">
        <f>'Table 12_OpEx'!C17*'FRED Graph_22Oct2023'!$D$312</f>
        <v>110.14326447969684</v>
      </c>
    </row>
  </sheetData>
  <sheetProtection selectLockedCells="1"/>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3AD1F-5025-448B-856D-CFB71FE9B657}">
  <sheetPr codeName="Sheet53">
    <tabColor theme="0" tint="-0.249977111117893"/>
  </sheetPr>
  <dimension ref="A1"/>
  <sheetViews>
    <sheetView workbookViewId="0"/>
  </sheetViews>
  <sheetFormatPr defaultRowHeight="15" x14ac:dyDescent="0.25"/>
  <cols>
    <col min="1" max="16384" width="9.140625" style="3"/>
  </cols>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ED888-21AC-4E79-9EC6-57CF34E7F9DE}">
  <sheetPr codeName="Sheet54">
    <tabColor theme="0" tint="-0.249977111117893"/>
  </sheetPr>
  <dimension ref="A1:O19"/>
  <sheetViews>
    <sheetView workbookViewId="0"/>
  </sheetViews>
  <sheetFormatPr defaultRowHeight="15" x14ac:dyDescent="0.25"/>
  <cols>
    <col min="1" max="14" width="9.140625" style="3"/>
    <col min="15" max="15" width="50.140625" style="3" bestFit="1" customWidth="1"/>
    <col min="16" max="16384" width="9.140625" style="3"/>
  </cols>
  <sheetData>
    <row r="1" spans="1:15" x14ac:dyDescent="0.25">
      <c r="A1" s="31" t="s">
        <v>389</v>
      </c>
    </row>
    <row r="2" spans="1:15" x14ac:dyDescent="0.25">
      <c r="A2" s="4" t="s">
        <v>522</v>
      </c>
    </row>
    <row r="3" spans="1:15" x14ac:dyDescent="0.25">
      <c r="A3" s="271" t="s">
        <v>392</v>
      </c>
    </row>
    <row r="5" spans="1:15" x14ac:dyDescent="0.25">
      <c r="L5" s="31" t="s">
        <v>388</v>
      </c>
      <c r="O5" s="31" t="s">
        <v>70</v>
      </c>
    </row>
    <row r="6" spans="1:15" x14ac:dyDescent="0.25">
      <c r="L6" s="3" t="s">
        <v>383</v>
      </c>
      <c r="M6" s="185">
        <v>2178</v>
      </c>
      <c r="N6" s="185" t="s">
        <v>386</v>
      </c>
      <c r="O6" s="4" t="s">
        <v>387</v>
      </c>
    </row>
    <row r="7" spans="1:15" x14ac:dyDescent="0.25">
      <c r="L7" s="3" t="s">
        <v>381</v>
      </c>
      <c r="M7" s="185">
        <v>2993</v>
      </c>
      <c r="N7" s="185" t="s">
        <v>386</v>
      </c>
      <c r="O7" s="4" t="s">
        <v>385</v>
      </c>
    </row>
    <row r="8" spans="1:15" x14ac:dyDescent="0.25">
      <c r="L8" s="3" t="str">
        <f>L7&amp;" / "&amp;L6</f>
        <v>[2] / [1]</v>
      </c>
      <c r="M8" s="236">
        <f>M7/M6</f>
        <v>1.374196510560147</v>
      </c>
      <c r="N8" s="236"/>
      <c r="O8" s="3" t="s">
        <v>378</v>
      </c>
    </row>
    <row r="16" spans="1:15" x14ac:dyDescent="0.25">
      <c r="L16" s="2" t="s">
        <v>384</v>
      </c>
      <c r="O16" s="31" t="s">
        <v>70</v>
      </c>
    </row>
    <row r="17" spans="12:15" x14ac:dyDescent="0.25">
      <c r="L17" s="3" t="s">
        <v>383</v>
      </c>
      <c r="M17" s="185">
        <v>79</v>
      </c>
      <c r="N17" s="273" t="s">
        <v>380</v>
      </c>
      <c r="O17" s="4" t="s">
        <v>382</v>
      </c>
    </row>
    <row r="18" spans="12:15" x14ac:dyDescent="0.25">
      <c r="L18" s="3" t="s">
        <v>381</v>
      </c>
      <c r="M18" s="185">
        <v>122</v>
      </c>
      <c r="N18" s="273" t="s">
        <v>380</v>
      </c>
      <c r="O18" s="4" t="s">
        <v>379</v>
      </c>
    </row>
    <row r="19" spans="12:15" x14ac:dyDescent="0.25">
      <c r="L19" s="3" t="str">
        <f>L18&amp;" / "&amp;L17</f>
        <v>[2] / [1]</v>
      </c>
      <c r="M19" s="236">
        <f>M18/M17</f>
        <v>1.5443037974683544</v>
      </c>
      <c r="N19" s="236"/>
      <c r="O19" s="3" t="s">
        <v>378</v>
      </c>
    </row>
  </sheetData>
  <hyperlinks>
    <hyperlink ref="A3" r:id="rId1" xr:uid="{B3C399C6-79A8-48CD-AC78-41240AD06CD2}"/>
  </hyperlinks>
  <pageMargins left="0.7" right="0.7" top="0.75" bottom="0.75" header="0.3" footer="0.3"/>
  <pageSetup orientation="portrait" r:id="rId2"/>
  <drawing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18419-7A51-4E73-B177-74F2092650F3}">
  <sheetPr codeName="Sheet55">
    <tabColor theme="0" tint="-0.249977111117893"/>
  </sheetPr>
  <dimension ref="A1:H38"/>
  <sheetViews>
    <sheetView zoomScale="85" zoomScaleNormal="85" workbookViewId="0"/>
  </sheetViews>
  <sheetFormatPr defaultRowHeight="15" x14ac:dyDescent="0.25"/>
  <cols>
    <col min="1" max="8" width="9.140625" style="3"/>
    <col min="9" max="9" width="10.5703125" style="3" bestFit="1" customWidth="1"/>
    <col min="10" max="16384" width="9.140625" style="3"/>
  </cols>
  <sheetData>
    <row r="1" spans="1:8" x14ac:dyDescent="0.25">
      <c r="A1" s="4" t="s">
        <v>521</v>
      </c>
    </row>
    <row r="2" spans="1:8" x14ac:dyDescent="0.25">
      <c r="A2" s="271" t="s">
        <v>392</v>
      </c>
      <c r="H2" s="271"/>
    </row>
    <row r="3" spans="1:8" x14ac:dyDescent="0.25">
      <c r="A3" s="3" t="s">
        <v>391</v>
      </c>
    </row>
    <row r="35" spans="1:8" x14ac:dyDescent="0.25">
      <c r="E35" s="4" t="s">
        <v>37</v>
      </c>
      <c r="G35" s="272">
        <v>2115</v>
      </c>
      <c r="H35" s="3" t="s">
        <v>69</v>
      </c>
    </row>
    <row r="36" spans="1:8" x14ac:dyDescent="0.25">
      <c r="E36" s="4" t="s">
        <v>37</v>
      </c>
      <c r="G36" s="272">
        <v>2087</v>
      </c>
      <c r="H36" s="3" t="s">
        <v>390</v>
      </c>
    </row>
    <row r="38" spans="1:8" x14ac:dyDescent="0.25">
      <c r="A38" s="4" t="s">
        <v>665</v>
      </c>
    </row>
  </sheetData>
  <printOptions horizontalCentered="1" verticalCentered="1"/>
  <pageMargins left="0.7" right="0.7" top="0.75" bottom="0.75" header="0.3" footer="0.3"/>
  <pageSetup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C7D12-3823-420A-886A-39A8FFE3C45F}">
  <sheetPr codeName="Sheet56">
    <tabColor theme="0" tint="-0.249977111117893"/>
    <pageSetUpPr fitToPage="1"/>
  </sheetPr>
  <dimension ref="A2:D19"/>
  <sheetViews>
    <sheetView workbookViewId="0"/>
  </sheetViews>
  <sheetFormatPr defaultRowHeight="15" x14ac:dyDescent="0.25"/>
  <cols>
    <col min="1" max="1" width="25" style="3" bestFit="1" customWidth="1"/>
    <col min="2" max="16384" width="9.140625" style="3"/>
  </cols>
  <sheetData>
    <row r="2" spans="1:4" x14ac:dyDescent="0.25">
      <c r="A2" s="4" t="s">
        <v>521</v>
      </c>
    </row>
    <row r="3" spans="1:4" x14ac:dyDescent="0.25">
      <c r="A3" s="271" t="s">
        <v>392</v>
      </c>
    </row>
    <row r="4" spans="1:4" x14ac:dyDescent="0.25">
      <c r="A4" s="3" t="s">
        <v>395</v>
      </c>
    </row>
    <row r="16" spans="1:4" x14ac:dyDescent="0.25">
      <c r="C16" s="180" t="s">
        <v>69</v>
      </c>
      <c r="D16" s="180" t="s">
        <v>394</v>
      </c>
    </row>
    <row r="17" spans="1:4" x14ac:dyDescent="0.25">
      <c r="A17" s="3" t="s">
        <v>393</v>
      </c>
      <c r="C17" s="180">
        <v>103</v>
      </c>
      <c r="D17" s="180">
        <v>118</v>
      </c>
    </row>
    <row r="18" spans="1:4" x14ac:dyDescent="0.25">
      <c r="C18" s="180"/>
      <c r="D18" s="180"/>
    </row>
    <row r="19" spans="1:4" x14ac:dyDescent="0.25">
      <c r="A19" s="3" t="str">
        <f>'Table 10'!A38</f>
        <v>Note: Other recently reviewed NREL 2023 documents and NREL ATB appear to typically report in $2021</v>
      </c>
    </row>
  </sheetData>
  <printOptions horizontalCentered="1" verticalCentered="1"/>
  <pageMargins left="0.7" right="0.7" top="0.75" bottom="0.75" header="0.3" footer="0.3"/>
  <pageSetup orientation="landscape"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12EE3-BC0F-42AE-90E5-48B479E57180}">
  <sheetPr codeName="Sheet57">
    <tabColor theme="7" tint="0.39997558519241921"/>
  </sheetPr>
  <dimension ref="A1"/>
  <sheetViews>
    <sheetView workbookViewId="0"/>
  </sheetViews>
  <sheetFormatPr defaultRowHeight="15" x14ac:dyDescent="0.25"/>
  <cols>
    <col min="1" max="16384" width="9.140625" style="3"/>
  </cols>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ACEF-17F7-40CC-9EA7-E518A5A07580}">
  <sheetPr codeName="Sheet4">
    <tabColor theme="9" tint="0.59999389629810485"/>
  </sheetPr>
  <dimension ref="A1:AA28"/>
  <sheetViews>
    <sheetView topLeftCell="H1" workbookViewId="0">
      <selection activeCell="K26" sqref="K25:K26"/>
    </sheetView>
  </sheetViews>
  <sheetFormatPr defaultRowHeight="15" x14ac:dyDescent="0.25"/>
  <cols>
    <col min="1" max="1" width="22.85546875" style="3" bestFit="1" customWidth="1"/>
    <col min="2" max="2" width="11.7109375" style="3" bestFit="1" customWidth="1"/>
    <col min="3" max="3" width="10.28515625" style="3" bestFit="1" customWidth="1"/>
    <col min="4" max="4" width="16.85546875" style="3" bestFit="1" customWidth="1"/>
    <col min="5" max="5" width="13.85546875" style="3" bestFit="1" customWidth="1"/>
    <col min="6" max="6" width="13.85546875" style="3" customWidth="1"/>
    <col min="7" max="7" width="16.85546875" style="3" bestFit="1" customWidth="1"/>
    <col min="8" max="9" width="13.85546875" style="3" customWidth="1"/>
    <col min="10" max="10" width="15.28515625" style="3" bestFit="1" customWidth="1"/>
    <col min="11" max="11" width="18.85546875" style="3" bestFit="1" customWidth="1"/>
    <col min="12" max="12" width="15.42578125" style="3" bestFit="1" customWidth="1"/>
    <col min="13" max="13" width="11.7109375" style="3" bestFit="1" customWidth="1"/>
    <col min="14" max="14" width="9.140625" style="3"/>
    <col min="15" max="15" width="20.5703125" style="3" bestFit="1" customWidth="1"/>
    <col min="16" max="16" width="16.28515625" style="3" bestFit="1" customWidth="1"/>
    <col min="17" max="17" width="17.28515625" style="3" bestFit="1" customWidth="1"/>
    <col min="18" max="19" width="11.28515625" style="3" bestFit="1" customWidth="1"/>
    <col min="20" max="20" width="9.140625" style="3"/>
    <col min="21" max="21" width="12.28515625" style="3" bestFit="1" customWidth="1"/>
    <col min="22" max="22" width="20.5703125" style="3" bestFit="1" customWidth="1"/>
    <col min="23" max="23" width="6.140625" style="3" bestFit="1" customWidth="1"/>
    <col min="24" max="24" width="9.140625" style="3"/>
    <col min="25" max="25" width="12.28515625" style="3" bestFit="1" customWidth="1"/>
    <col min="26" max="26" width="20.5703125" style="3" bestFit="1" customWidth="1"/>
    <col min="27" max="27" width="6.140625" style="3" bestFit="1" customWidth="1"/>
    <col min="28" max="16384" width="9.140625" style="3"/>
  </cols>
  <sheetData>
    <row r="1" spans="1:26" x14ac:dyDescent="0.25">
      <c r="A1" s="31" t="s">
        <v>767</v>
      </c>
      <c r="B1" s="31" t="s">
        <v>506</v>
      </c>
      <c r="C1" s="31" t="s">
        <v>506</v>
      </c>
      <c r="D1" s="31" t="s">
        <v>768</v>
      </c>
      <c r="E1" s="31" t="s">
        <v>768</v>
      </c>
      <c r="F1" s="31" t="s">
        <v>768</v>
      </c>
      <c r="G1" s="31" t="s">
        <v>768</v>
      </c>
      <c r="H1" s="31" t="s">
        <v>768</v>
      </c>
      <c r="J1" s="31"/>
      <c r="K1" s="31" t="s">
        <v>769</v>
      </c>
      <c r="O1" s="31" t="s">
        <v>8</v>
      </c>
    </row>
    <row r="2" spans="1:26" x14ac:dyDescent="0.25">
      <c r="A2" s="31" t="s">
        <v>770</v>
      </c>
      <c r="B2" s="31"/>
      <c r="C2" s="31"/>
      <c r="D2" s="31" t="s">
        <v>7</v>
      </c>
      <c r="E2" s="31" t="s">
        <v>8</v>
      </c>
      <c r="F2" s="31" t="s">
        <v>9</v>
      </c>
      <c r="G2" s="31" t="s">
        <v>762</v>
      </c>
      <c r="H2" s="31" t="s">
        <v>10</v>
      </c>
      <c r="J2" s="31" t="s">
        <v>253</v>
      </c>
      <c r="K2" s="31" t="s">
        <v>771</v>
      </c>
      <c r="L2" s="31" t="s">
        <v>772</v>
      </c>
      <c r="M2" s="31" t="s">
        <v>773</v>
      </c>
      <c r="O2" s="255" t="s">
        <v>507</v>
      </c>
      <c r="P2" s="255" t="s">
        <v>508</v>
      </c>
      <c r="Q2" s="255"/>
      <c r="R2" s="255"/>
    </row>
    <row r="3" spans="1:26" x14ac:dyDescent="0.25">
      <c r="A3" s="31" t="s">
        <v>28</v>
      </c>
      <c r="B3" s="31" t="s">
        <v>55</v>
      </c>
      <c r="C3" s="31" t="s">
        <v>774</v>
      </c>
      <c r="D3" s="31" t="s">
        <v>4</v>
      </c>
      <c r="E3" s="31" t="s">
        <v>4</v>
      </c>
      <c r="F3" s="31" t="s">
        <v>4</v>
      </c>
      <c r="G3" s="31" t="s">
        <v>4</v>
      </c>
      <c r="H3" s="31" t="s">
        <v>4</v>
      </c>
      <c r="I3" s="31"/>
      <c r="J3" s="31" t="s">
        <v>755</v>
      </c>
      <c r="K3" s="3">
        <v>200</v>
      </c>
      <c r="L3" s="247">
        <v>0.22500000000000001</v>
      </c>
      <c r="M3" s="256">
        <f>L3*K3</f>
        <v>45</v>
      </c>
      <c r="O3" s="257" t="s">
        <v>509</v>
      </c>
      <c r="P3" s="257" t="s">
        <v>510</v>
      </c>
      <c r="Q3" s="257" t="s">
        <v>511</v>
      </c>
      <c r="R3" s="257" t="s">
        <v>512</v>
      </c>
    </row>
    <row r="4" spans="1:26" x14ac:dyDescent="0.25">
      <c r="A4" s="3">
        <v>2025</v>
      </c>
      <c r="B4" s="236">
        <v>68.948714285714289</v>
      </c>
      <c r="C4" s="258">
        <v>130</v>
      </c>
      <c r="D4" s="3">
        <v>0</v>
      </c>
      <c r="E4" s="3">
        <v>0</v>
      </c>
      <c r="F4" s="3">
        <v>0</v>
      </c>
      <c r="G4" s="3">
        <v>0</v>
      </c>
      <c r="J4" s="31" t="s">
        <v>9</v>
      </c>
      <c r="K4" s="3">
        <v>2100</v>
      </c>
      <c r="L4" s="247">
        <f>$W$28</f>
        <v>0.87269535213939609</v>
      </c>
      <c r="M4" s="256">
        <f>L4*K4</f>
        <v>1832.6602394927318</v>
      </c>
      <c r="O4" s="259">
        <v>2025</v>
      </c>
      <c r="P4" s="260">
        <v>0</v>
      </c>
      <c r="Q4" s="260">
        <v>0</v>
      </c>
      <c r="R4" s="260">
        <v>0</v>
      </c>
      <c r="U4" s="31" t="s">
        <v>9</v>
      </c>
      <c r="Y4" s="31" t="s">
        <v>762</v>
      </c>
    </row>
    <row r="5" spans="1:26" x14ac:dyDescent="0.25">
      <c r="A5" s="3">
        <v>2026</v>
      </c>
      <c r="B5" s="236">
        <v>108.13457142857143</v>
      </c>
      <c r="C5" s="258">
        <v>131</v>
      </c>
      <c r="D5" s="3">
        <v>0</v>
      </c>
      <c r="E5" s="3">
        <v>0</v>
      </c>
      <c r="F5" s="3">
        <v>0</v>
      </c>
      <c r="G5" s="3">
        <v>0</v>
      </c>
      <c r="J5" s="31" t="s">
        <v>762</v>
      </c>
      <c r="K5" s="3">
        <v>2100</v>
      </c>
      <c r="L5" s="247">
        <f>$AA$28</f>
        <v>0.87269535214999994</v>
      </c>
      <c r="M5" s="256">
        <f>L5*K5</f>
        <v>1832.6602395149998</v>
      </c>
      <c r="O5" s="259">
        <v>2026</v>
      </c>
      <c r="P5" s="260">
        <v>0</v>
      </c>
      <c r="Q5" s="260">
        <v>0</v>
      </c>
      <c r="R5" s="260">
        <v>0</v>
      </c>
      <c r="U5" s="261" t="s">
        <v>775</v>
      </c>
      <c r="V5" s="262">
        <v>1</v>
      </c>
      <c r="Y5" s="261" t="s">
        <v>775</v>
      </c>
      <c r="Z5" s="262">
        <v>1</v>
      </c>
    </row>
    <row r="6" spans="1:26" x14ac:dyDescent="0.25">
      <c r="A6" s="3">
        <v>2027</v>
      </c>
      <c r="B6" s="236">
        <v>61.778714285714287</v>
      </c>
      <c r="C6" s="258">
        <v>134</v>
      </c>
      <c r="D6" s="3">
        <v>0</v>
      </c>
      <c r="E6" s="3">
        <v>0</v>
      </c>
      <c r="F6" s="3">
        <v>0</v>
      </c>
      <c r="G6" s="3">
        <v>0</v>
      </c>
      <c r="O6" s="259">
        <v>2027</v>
      </c>
      <c r="P6" s="260">
        <v>0</v>
      </c>
      <c r="Q6" s="260">
        <v>0</v>
      </c>
      <c r="R6" s="260">
        <v>0</v>
      </c>
      <c r="U6" s="263" t="s">
        <v>776</v>
      </c>
      <c r="V6" s="263" t="s">
        <v>519</v>
      </c>
      <c r="Y6" s="263" t="s">
        <v>776</v>
      </c>
      <c r="Z6" s="263" t="s">
        <v>519</v>
      </c>
    </row>
    <row r="7" spans="1:26" x14ac:dyDescent="0.25">
      <c r="A7" s="3">
        <v>2028</v>
      </c>
      <c r="B7" s="236">
        <v>59.909857142857149</v>
      </c>
      <c r="C7" s="258">
        <v>138</v>
      </c>
      <c r="D7" s="3">
        <v>0</v>
      </c>
      <c r="E7" s="3">
        <v>0</v>
      </c>
      <c r="F7" s="3">
        <v>0</v>
      </c>
      <c r="G7" s="3">
        <v>0</v>
      </c>
      <c r="O7" s="259">
        <v>2028</v>
      </c>
      <c r="P7" s="260">
        <v>0</v>
      </c>
      <c r="Q7" s="260">
        <v>0</v>
      </c>
      <c r="R7" s="260">
        <v>0</v>
      </c>
    </row>
    <row r="8" spans="1:26" x14ac:dyDescent="0.25">
      <c r="A8" s="3">
        <v>2029</v>
      </c>
      <c r="B8" s="236">
        <v>96.58342857142857</v>
      </c>
      <c r="C8" s="258">
        <v>131</v>
      </c>
      <c r="D8" s="3">
        <v>0</v>
      </c>
      <c r="E8" s="3">
        <v>0</v>
      </c>
      <c r="F8" s="3">
        <v>0</v>
      </c>
      <c r="G8" s="3">
        <v>0</v>
      </c>
      <c r="O8" s="259">
        <v>2029</v>
      </c>
      <c r="P8" s="260">
        <v>0</v>
      </c>
      <c r="Q8" s="260">
        <v>0</v>
      </c>
      <c r="R8" s="260">
        <v>0</v>
      </c>
      <c r="U8" s="264" t="s">
        <v>509</v>
      </c>
      <c r="V8" s="264" t="s">
        <v>763</v>
      </c>
      <c r="Y8" s="264" t="s">
        <v>509</v>
      </c>
      <c r="Z8" s="264" t="s">
        <v>763</v>
      </c>
    </row>
    <row r="9" spans="1:26" x14ac:dyDescent="0.25">
      <c r="A9" s="3">
        <v>2030</v>
      </c>
      <c r="B9" s="236">
        <v>80.287999999999997</v>
      </c>
      <c r="C9" s="258">
        <v>145</v>
      </c>
      <c r="D9" s="185">
        <f>$M$3*B9*365</f>
        <v>1318730.3999999999</v>
      </c>
      <c r="E9" s="185">
        <f t="shared" ref="E9:E28" si="0">$B9*$P9*365+$Q9*$C9*365</f>
        <v>52095227.980000004</v>
      </c>
      <c r="F9" s="185">
        <f>$M$4*B9*365</f>
        <v>53706328.237563245</v>
      </c>
      <c r="G9" s="185">
        <f>$M$4*B9*365</f>
        <v>53706328.237563245</v>
      </c>
      <c r="H9" s="185">
        <f>G9+E9+D9</f>
        <v>107120286.61756325</v>
      </c>
      <c r="I9" s="185"/>
      <c r="J9" s="185"/>
      <c r="K9" s="185"/>
      <c r="L9" s="185"/>
      <c r="O9" s="259">
        <v>2030</v>
      </c>
      <c r="P9" s="260">
        <v>972.75</v>
      </c>
      <c r="Q9" s="260">
        <v>445.7</v>
      </c>
      <c r="R9" s="260">
        <v>1418.45</v>
      </c>
      <c r="U9" s="265">
        <v>2030</v>
      </c>
      <c r="V9" s="256">
        <v>1986.522676</v>
      </c>
      <c r="Y9" s="265">
        <v>2030</v>
      </c>
      <c r="Z9" s="256">
        <v>1986.522676</v>
      </c>
    </row>
    <row r="10" spans="1:26" x14ac:dyDescent="0.25">
      <c r="A10" s="3">
        <v>2031</v>
      </c>
      <c r="B10" s="236">
        <v>103.00542857142857</v>
      </c>
      <c r="C10" s="258">
        <v>273.53647808913638</v>
      </c>
      <c r="D10" s="185">
        <f t="shared" ref="D10:D28" si="1">$M$3*B10*365</f>
        <v>1691864.164285714</v>
      </c>
      <c r="E10" s="185">
        <f t="shared" si="0"/>
        <v>160990221.91513842</v>
      </c>
      <c r="F10" s="185">
        <f t="shared" ref="F10:F28" si="2">$M$4*B10*365</f>
        <v>68902492.989089504</v>
      </c>
      <c r="G10" s="185">
        <f t="shared" ref="G10:G28" si="3">$M$4*B10*365</f>
        <v>68902492.989089504</v>
      </c>
      <c r="H10" s="185">
        <f t="shared" ref="H10:H28" si="4">G10+E10+D10</f>
        <v>231584579.06851363</v>
      </c>
      <c r="I10" s="185"/>
      <c r="J10" s="185"/>
      <c r="K10" s="185"/>
      <c r="L10" s="185"/>
      <c r="O10" s="259">
        <v>2031</v>
      </c>
      <c r="P10" s="260">
        <v>1892</v>
      </c>
      <c r="Q10" s="260">
        <v>900</v>
      </c>
      <c r="R10" s="260">
        <v>2792</v>
      </c>
      <c r="U10" s="265">
        <v>2031</v>
      </c>
      <c r="V10" s="256">
        <v>2034.9</v>
      </c>
      <c r="Y10" s="265">
        <v>2031</v>
      </c>
      <c r="Z10" s="256">
        <v>2034.9</v>
      </c>
    </row>
    <row r="11" spans="1:26" x14ac:dyDescent="0.25">
      <c r="A11" s="3">
        <v>2032</v>
      </c>
      <c r="B11" s="236">
        <v>101.56428571428572</v>
      </c>
      <c r="C11" s="258">
        <v>402.0729561782727</v>
      </c>
      <c r="D11" s="185">
        <f t="shared" si="1"/>
        <v>1668193.3928571427</v>
      </c>
      <c r="E11" s="185">
        <f t="shared" si="0"/>
        <v>267024494.71679771</v>
      </c>
      <c r="F11" s="185">
        <f t="shared" si="2"/>
        <v>67938482.286083654</v>
      </c>
      <c r="G11" s="185">
        <f t="shared" si="3"/>
        <v>67938482.286083654</v>
      </c>
      <c r="H11" s="185">
        <f t="shared" si="4"/>
        <v>336631170.39573848</v>
      </c>
      <c r="I11" s="185"/>
      <c r="J11" s="185"/>
      <c r="K11" s="185"/>
      <c r="L11" s="185"/>
      <c r="O11" s="259">
        <v>2032</v>
      </c>
      <c r="P11" s="260">
        <v>2452.5</v>
      </c>
      <c r="Q11" s="260">
        <v>1200</v>
      </c>
      <c r="R11" s="260">
        <v>3652.5</v>
      </c>
      <c r="U11" s="265">
        <v>2032</v>
      </c>
      <c r="V11" s="256">
        <v>1963.6784980003129</v>
      </c>
      <c r="Y11" s="265">
        <v>2032</v>
      </c>
      <c r="Z11" s="256">
        <v>1963.678498</v>
      </c>
    </row>
    <row r="12" spans="1:26" x14ac:dyDescent="0.25">
      <c r="A12" s="3">
        <v>2033</v>
      </c>
      <c r="B12" s="236">
        <v>199.70328571428573</v>
      </c>
      <c r="C12" s="258">
        <v>412.1247800827295</v>
      </c>
      <c r="D12" s="185">
        <f t="shared" si="1"/>
        <v>3280126.4678571429</v>
      </c>
      <c r="E12" s="185">
        <f t="shared" si="0"/>
        <v>442709797.56815159</v>
      </c>
      <c r="F12" s="185">
        <f t="shared" si="2"/>
        <v>133585719.06998934</v>
      </c>
      <c r="G12" s="185">
        <f t="shared" si="3"/>
        <v>133585719.06998934</v>
      </c>
      <c r="H12" s="185">
        <f t="shared" si="4"/>
        <v>579575643.10599804</v>
      </c>
      <c r="I12" s="185"/>
      <c r="J12" s="185"/>
      <c r="K12" s="185"/>
      <c r="L12" s="185"/>
      <c r="O12" s="259">
        <v>2033</v>
      </c>
      <c r="P12" s="260">
        <v>2978</v>
      </c>
      <c r="Q12" s="260">
        <v>1500</v>
      </c>
      <c r="R12" s="260">
        <v>4478</v>
      </c>
      <c r="U12" s="265">
        <v>2033</v>
      </c>
      <c r="V12" s="256">
        <v>868.66076999833842</v>
      </c>
      <c r="Y12" s="265">
        <v>2033</v>
      </c>
      <c r="Z12" s="256">
        <v>868.66076999999996</v>
      </c>
    </row>
    <row r="13" spans="1:26" x14ac:dyDescent="0.25">
      <c r="A13" s="3">
        <v>2034</v>
      </c>
      <c r="B13" s="236">
        <v>210.47957142857143</v>
      </c>
      <c r="C13" s="258">
        <v>422.42789958479773</v>
      </c>
      <c r="D13" s="185">
        <f t="shared" si="1"/>
        <v>3457126.9607142857</v>
      </c>
      <c r="E13" s="185">
        <f t="shared" si="0"/>
        <v>566658373.07147098</v>
      </c>
      <c r="F13" s="185">
        <f t="shared" si="2"/>
        <v>140794202.75065383</v>
      </c>
      <c r="G13" s="185">
        <f t="shared" si="3"/>
        <v>140794202.75065383</v>
      </c>
      <c r="H13" s="185">
        <f t="shared" si="4"/>
        <v>710909702.78283918</v>
      </c>
      <c r="I13" s="185"/>
      <c r="J13" s="185"/>
      <c r="K13" s="185"/>
      <c r="L13" s="185"/>
      <c r="O13" s="259">
        <v>2034</v>
      </c>
      <c r="P13" s="260">
        <v>3612.875</v>
      </c>
      <c r="Q13" s="260">
        <v>1875</v>
      </c>
      <c r="R13" s="260">
        <v>5487.875</v>
      </c>
      <c r="U13" s="265">
        <v>2034</v>
      </c>
      <c r="V13" s="256">
        <v>2034.9</v>
      </c>
      <c r="Y13" s="265">
        <v>2034</v>
      </c>
      <c r="Z13" s="256">
        <v>2034.9</v>
      </c>
    </row>
    <row r="14" spans="1:26" x14ac:dyDescent="0.25">
      <c r="A14" s="3">
        <v>2035</v>
      </c>
      <c r="B14" s="236">
        <v>291.92571428571426</v>
      </c>
      <c r="C14" s="258">
        <v>432.98859707441761</v>
      </c>
      <c r="D14" s="185">
        <f t="shared" si="1"/>
        <v>4794879.8571428573</v>
      </c>
      <c r="E14" s="185">
        <f t="shared" si="0"/>
        <v>803540216.89022255</v>
      </c>
      <c r="F14" s="185">
        <f t="shared" si="2"/>
        <v>195275237.05178452</v>
      </c>
      <c r="G14" s="185">
        <f t="shared" si="3"/>
        <v>195275237.05178452</v>
      </c>
      <c r="H14" s="185">
        <f t="shared" si="4"/>
        <v>1003610333.7991499</v>
      </c>
      <c r="I14" s="185"/>
      <c r="J14" s="185"/>
      <c r="K14" s="185"/>
      <c r="L14" s="185"/>
      <c r="O14" s="259">
        <v>2035</v>
      </c>
      <c r="P14" s="260">
        <v>4204</v>
      </c>
      <c r="Q14" s="260">
        <v>2250</v>
      </c>
      <c r="R14" s="260">
        <v>6454</v>
      </c>
      <c r="U14" s="265">
        <v>2035</v>
      </c>
      <c r="V14" s="256">
        <v>2034.9</v>
      </c>
      <c r="Y14" s="265">
        <v>2035</v>
      </c>
      <c r="Z14" s="256">
        <v>2034.9</v>
      </c>
    </row>
    <row r="15" spans="1:26" x14ac:dyDescent="0.25">
      <c r="A15" s="3">
        <v>2036</v>
      </c>
      <c r="B15" s="236">
        <v>391.75614285714289</v>
      </c>
      <c r="C15" s="258">
        <v>443.81331200127801</v>
      </c>
      <c r="D15" s="185">
        <f t="shared" si="1"/>
        <v>6434594.646428572</v>
      </c>
      <c r="E15" s="185">
        <f t="shared" si="0"/>
        <v>946919741.22694242</v>
      </c>
      <c r="F15" s="185">
        <f t="shared" si="2"/>
        <v>262053905.9058319</v>
      </c>
      <c r="G15" s="185">
        <f t="shared" si="3"/>
        <v>262053905.9058319</v>
      </c>
      <c r="H15" s="185">
        <f t="shared" si="4"/>
        <v>1215408241.7792029</v>
      </c>
      <c r="I15" s="185"/>
      <c r="J15" s="185"/>
      <c r="K15" s="185"/>
      <c r="L15" s="185"/>
      <c r="O15" s="259">
        <v>2036</v>
      </c>
      <c r="P15" s="260">
        <v>4073.25</v>
      </c>
      <c r="Q15" s="260">
        <v>2250</v>
      </c>
      <c r="R15" s="260">
        <v>6323.25</v>
      </c>
      <c r="U15" s="265">
        <v>2036</v>
      </c>
      <c r="V15" s="256">
        <v>2034.9</v>
      </c>
      <c r="Y15" s="265">
        <v>2036</v>
      </c>
      <c r="Z15" s="256">
        <v>2034.9</v>
      </c>
    </row>
    <row r="16" spans="1:26" x14ac:dyDescent="0.25">
      <c r="A16" s="3">
        <v>2037</v>
      </c>
      <c r="B16" s="236">
        <v>609.19728571428573</v>
      </c>
      <c r="C16" s="258">
        <v>454.90864480130989</v>
      </c>
      <c r="D16" s="185">
        <f t="shared" si="1"/>
        <v>10006065.417857144</v>
      </c>
      <c r="E16" s="185">
        <f t="shared" si="0"/>
        <v>1250236233.6520042</v>
      </c>
      <c r="F16" s="185">
        <f t="shared" si="2"/>
        <v>407504849.89044476</v>
      </c>
      <c r="G16" s="185">
        <f t="shared" si="3"/>
        <v>407504849.89044476</v>
      </c>
      <c r="H16" s="185">
        <f t="shared" si="4"/>
        <v>1667747148.9603062</v>
      </c>
      <c r="I16" s="185"/>
      <c r="J16" s="185"/>
      <c r="K16" s="185"/>
      <c r="L16" s="185"/>
      <c r="O16" s="259">
        <v>2037</v>
      </c>
      <c r="P16" s="260">
        <v>3942.5</v>
      </c>
      <c r="Q16" s="260">
        <v>2250</v>
      </c>
      <c r="R16" s="260">
        <v>6192.5</v>
      </c>
      <c r="U16" s="265">
        <v>2037</v>
      </c>
      <c r="V16" s="256">
        <v>2034.7255799999998</v>
      </c>
      <c r="Y16" s="265">
        <v>2037</v>
      </c>
      <c r="Z16" s="256">
        <v>2034.72558</v>
      </c>
    </row>
    <row r="17" spans="1:27" x14ac:dyDescent="0.25">
      <c r="A17" s="3">
        <v>2038</v>
      </c>
      <c r="B17" s="236">
        <v>631.46257142857144</v>
      </c>
      <c r="C17" s="258">
        <v>466.28136092134258</v>
      </c>
      <c r="D17" s="185">
        <f t="shared" si="1"/>
        <v>10371772.735714287</v>
      </c>
      <c r="E17" s="185">
        <f t="shared" si="0"/>
        <v>1291616101.2245097</v>
      </c>
      <c r="F17" s="185">
        <f t="shared" si="2"/>
        <v>422398566.79551846</v>
      </c>
      <c r="G17" s="185">
        <f t="shared" si="3"/>
        <v>422398566.79551846</v>
      </c>
      <c r="H17" s="185">
        <f t="shared" si="4"/>
        <v>1724386440.7557423</v>
      </c>
      <c r="I17" s="185"/>
      <c r="J17" s="185"/>
      <c r="K17" s="185"/>
      <c r="L17" s="185"/>
      <c r="O17" s="259">
        <v>2038</v>
      </c>
      <c r="P17" s="260">
        <v>3942.5</v>
      </c>
      <c r="Q17" s="260">
        <v>2250</v>
      </c>
      <c r="R17" s="260">
        <v>6192.5</v>
      </c>
      <c r="U17" s="265">
        <v>2038</v>
      </c>
      <c r="V17" s="256">
        <v>1937.2635555029287</v>
      </c>
      <c r="Y17" s="265">
        <v>2038</v>
      </c>
      <c r="Z17" s="256">
        <v>1937.2635560000001</v>
      </c>
    </row>
    <row r="18" spans="1:27" x14ac:dyDescent="0.25">
      <c r="A18" s="3">
        <v>2039</v>
      </c>
      <c r="B18" s="236">
        <v>544.93471428571434</v>
      </c>
      <c r="C18" s="258">
        <v>477.93839494437611</v>
      </c>
      <c r="D18" s="185">
        <f t="shared" si="1"/>
        <v>8950552.6821428593</v>
      </c>
      <c r="E18" s="185">
        <f t="shared" si="0"/>
        <v>1176674772.3891404</v>
      </c>
      <c r="F18" s="185">
        <f t="shared" si="2"/>
        <v>364518267.1566276</v>
      </c>
      <c r="G18" s="185">
        <f t="shared" si="3"/>
        <v>364518267.1566276</v>
      </c>
      <c r="H18" s="185">
        <f t="shared" si="4"/>
        <v>1550143592.227911</v>
      </c>
      <c r="I18" s="185"/>
      <c r="J18" s="185"/>
      <c r="K18" s="185"/>
      <c r="L18" s="185"/>
      <c r="O18" s="259">
        <v>2039</v>
      </c>
      <c r="P18" s="260">
        <v>3942.5</v>
      </c>
      <c r="Q18" s="260">
        <v>2250</v>
      </c>
      <c r="R18" s="260">
        <v>6192.5</v>
      </c>
      <c r="U18" s="265">
        <v>2039</v>
      </c>
      <c r="V18" s="256">
        <v>860.8159960507088</v>
      </c>
      <c r="Y18" s="265">
        <v>2039</v>
      </c>
      <c r="Z18" s="256">
        <v>860.81599610000001</v>
      </c>
    </row>
    <row r="19" spans="1:27" x14ac:dyDescent="0.25">
      <c r="A19" s="3">
        <v>2040</v>
      </c>
      <c r="B19" s="236">
        <v>476.03128571428573</v>
      </c>
      <c r="C19" s="258">
        <v>489.88685481798547</v>
      </c>
      <c r="D19" s="185">
        <f t="shared" si="1"/>
        <v>7818813.8678571433</v>
      </c>
      <c r="E19" s="185">
        <f t="shared" si="0"/>
        <v>1087334550.0531993</v>
      </c>
      <c r="F19" s="185">
        <f t="shared" si="2"/>
        <v>318427317.68035924</v>
      </c>
      <c r="G19" s="185">
        <f t="shared" si="3"/>
        <v>318427317.68035924</v>
      </c>
      <c r="H19" s="185">
        <f t="shared" si="4"/>
        <v>1413580681.6014159</v>
      </c>
      <c r="I19" s="185"/>
      <c r="J19" s="185"/>
      <c r="K19" s="185"/>
      <c r="L19" s="185"/>
      <c r="O19" s="259">
        <v>2040</v>
      </c>
      <c r="P19" s="260">
        <v>3942.5</v>
      </c>
      <c r="Q19" s="260">
        <v>2250</v>
      </c>
      <c r="R19" s="260">
        <v>6192.5</v>
      </c>
      <c r="U19" s="265">
        <v>2040</v>
      </c>
      <c r="V19" s="256">
        <v>2034.9</v>
      </c>
      <c r="Y19" s="265">
        <v>2040</v>
      </c>
      <c r="Z19" s="256">
        <v>2034.9</v>
      </c>
    </row>
    <row r="20" spans="1:27" x14ac:dyDescent="0.25">
      <c r="A20" s="3">
        <v>2041</v>
      </c>
      <c r="B20" s="236">
        <v>679.48328571428567</v>
      </c>
      <c r="C20" s="258">
        <v>502.13402618843509</v>
      </c>
      <c r="D20" s="185">
        <f t="shared" si="1"/>
        <v>11160512.967857141</v>
      </c>
      <c r="E20" s="185">
        <f t="shared" si="0"/>
        <v>1390162510.6911807</v>
      </c>
      <c r="F20" s="185">
        <f t="shared" si="2"/>
        <v>454520630.41188461</v>
      </c>
      <c r="G20" s="185">
        <f t="shared" si="3"/>
        <v>454520630.41188461</v>
      </c>
      <c r="H20" s="185">
        <f t="shared" si="4"/>
        <v>1855843654.0709224</v>
      </c>
      <c r="I20" s="185"/>
      <c r="J20" s="185"/>
      <c r="K20" s="185"/>
      <c r="L20" s="185"/>
      <c r="O20" s="259">
        <v>2041</v>
      </c>
      <c r="P20" s="260">
        <v>3942.5</v>
      </c>
      <c r="Q20" s="260">
        <v>2250</v>
      </c>
      <c r="R20" s="260">
        <v>6192.5</v>
      </c>
      <c r="U20" s="265">
        <v>2041</v>
      </c>
      <c r="V20" s="256">
        <v>1945.9700230803865</v>
      </c>
      <c r="Y20" s="265">
        <v>2041</v>
      </c>
      <c r="Z20" s="256">
        <v>1945.9700230000001</v>
      </c>
    </row>
    <row r="21" spans="1:27" x14ac:dyDescent="0.25">
      <c r="A21" s="3">
        <v>2042</v>
      </c>
      <c r="B21" s="236">
        <v>717.6792857142857</v>
      </c>
      <c r="C21" s="258">
        <v>514.6873768431459</v>
      </c>
      <c r="D21" s="185">
        <f t="shared" si="1"/>
        <v>11787882.267857144</v>
      </c>
      <c r="E21" s="185">
        <f t="shared" si="0"/>
        <v>1455436471.3663623</v>
      </c>
      <c r="F21" s="185">
        <f t="shared" si="2"/>
        <v>480070736.44718212</v>
      </c>
      <c r="G21" s="185">
        <f t="shared" si="3"/>
        <v>480070736.44718212</v>
      </c>
      <c r="H21" s="185">
        <f t="shared" si="4"/>
        <v>1947295090.0814016</v>
      </c>
      <c r="I21" s="185"/>
      <c r="J21" s="185"/>
      <c r="K21" s="185"/>
      <c r="L21" s="185"/>
      <c r="O21" s="259">
        <v>2042</v>
      </c>
      <c r="P21" s="260">
        <v>3942.5</v>
      </c>
      <c r="Q21" s="260">
        <v>2250</v>
      </c>
      <c r="R21" s="260">
        <v>6192.5</v>
      </c>
      <c r="U21" s="265">
        <v>2042</v>
      </c>
      <c r="V21" s="256">
        <v>2034.9</v>
      </c>
      <c r="Y21" s="265">
        <v>2042</v>
      </c>
      <c r="Z21" s="256">
        <v>2034.9</v>
      </c>
    </row>
    <row r="22" spans="1:27" x14ac:dyDescent="0.25">
      <c r="A22" s="3">
        <v>2043</v>
      </c>
      <c r="B22" s="236">
        <v>745.66814285714281</v>
      </c>
      <c r="C22" s="258">
        <v>527.5545612642245</v>
      </c>
      <c r="D22" s="185">
        <f t="shared" si="1"/>
        <v>12247599.246428572</v>
      </c>
      <c r="E22" s="185">
        <f t="shared" si="0"/>
        <v>1506279961.8614585</v>
      </c>
      <c r="F22" s="185">
        <f t="shared" si="2"/>
        <v>498793070.40379518</v>
      </c>
      <c r="G22" s="185">
        <f t="shared" si="3"/>
        <v>498793070.40379518</v>
      </c>
      <c r="H22" s="185">
        <f t="shared" si="4"/>
        <v>2017320631.5116823</v>
      </c>
      <c r="I22" s="185"/>
      <c r="J22" s="185"/>
      <c r="K22" s="185"/>
      <c r="L22" s="185"/>
      <c r="O22" s="259">
        <v>2043</v>
      </c>
      <c r="P22" s="260">
        <v>3942.5</v>
      </c>
      <c r="Q22" s="260">
        <v>2250</v>
      </c>
      <c r="R22" s="260">
        <v>6192.5</v>
      </c>
      <c r="U22" s="265">
        <v>2043</v>
      </c>
      <c r="V22" s="256">
        <v>2034.7255799999998</v>
      </c>
      <c r="Y22" s="265">
        <v>2043</v>
      </c>
      <c r="Z22" s="256">
        <v>2034.72558</v>
      </c>
    </row>
    <row r="23" spans="1:27" x14ac:dyDescent="0.25">
      <c r="A23" s="3">
        <v>2044</v>
      </c>
      <c r="B23" s="236">
        <v>556.75785714285712</v>
      </c>
      <c r="C23" s="258">
        <v>540.74342529583009</v>
      </c>
      <c r="D23" s="185">
        <f t="shared" si="1"/>
        <v>9144747.8035714291</v>
      </c>
      <c r="E23" s="185">
        <f t="shared" si="0"/>
        <v>1245267053.9259863</v>
      </c>
      <c r="F23" s="185">
        <f t="shared" si="2"/>
        <v>372427015.55097437</v>
      </c>
      <c r="G23" s="185">
        <f t="shared" si="3"/>
        <v>372427015.55097437</v>
      </c>
      <c r="H23" s="185">
        <f t="shared" si="4"/>
        <v>1626838817.2805321</v>
      </c>
      <c r="I23" s="185"/>
      <c r="J23" s="185"/>
      <c r="K23" s="185"/>
      <c r="L23" s="185"/>
      <c r="O23" s="259">
        <v>2044</v>
      </c>
      <c r="P23" s="260">
        <v>3942.5</v>
      </c>
      <c r="Q23" s="260">
        <v>2250</v>
      </c>
      <c r="R23" s="260">
        <v>6192.5</v>
      </c>
      <c r="U23" s="265">
        <v>2044</v>
      </c>
      <c r="V23" s="256">
        <v>860.81599522195916</v>
      </c>
      <c r="Y23" s="265">
        <v>2044</v>
      </c>
      <c r="Z23" s="256">
        <v>860.81599519999997</v>
      </c>
    </row>
    <row r="24" spans="1:27" x14ac:dyDescent="0.25">
      <c r="A24" s="3">
        <v>2045</v>
      </c>
      <c r="B24" s="236">
        <v>775.75742857142848</v>
      </c>
      <c r="C24" s="258">
        <v>554.26201092822578</v>
      </c>
      <c r="D24" s="185">
        <f t="shared" si="1"/>
        <v>12741815.764285712</v>
      </c>
      <c r="E24" s="185">
        <f t="shared" si="0"/>
        <v>1571512313.1569481</v>
      </c>
      <c r="F24" s="185">
        <f t="shared" si="2"/>
        <v>518920425.11440265</v>
      </c>
      <c r="G24" s="185">
        <f t="shared" si="3"/>
        <v>518920425.11440265</v>
      </c>
      <c r="H24" s="185">
        <f t="shared" si="4"/>
        <v>2103174554.0356367</v>
      </c>
      <c r="I24" s="185"/>
      <c r="J24" s="185"/>
      <c r="K24" s="185"/>
      <c r="L24" s="185"/>
      <c r="O24" s="259">
        <v>2045</v>
      </c>
      <c r="P24" s="260">
        <v>3942.5</v>
      </c>
      <c r="Q24" s="260">
        <v>2250</v>
      </c>
      <c r="R24" s="260">
        <v>6192.5</v>
      </c>
      <c r="U24" s="265">
        <v>2045</v>
      </c>
      <c r="V24" s="256">
        <v>2034.9</v>
      </c>
      <c r="Y24" s="265">
        <v>2045</v>
      </c>
      <c r="Z24" s="256">
        <v>2034.9</v>
      </c>
    </row>
    <row r="25" spans="1:27" x14ac:dyDescent="0.25">
      <c r="A25" s="3">
        <v>2046</v>
      </c>
      <c r="B25" s="236">
        <v>814.57842857142862</v>
      </c>
      <c r="C25" s="258">
        <v>568.11856120143136</v>
      </c>
      <c r="D25" s="185">
        <f t="shared" si="1"/>
        <v>13379450.689285714</v>
      </c>
      <c r="E25" s="185">
        <f t="shared" si="0"/>
        <v>1638755909.3313186</v>
      </c>
      <c r="F25" s="185">
        <f t="shared" si="2"/>
        <v>544888606.7668345</v>
      </c>
      <c r="G25" s="185">
        <f t="shared" si="3"/>
        <v>544888606.7668345</v>
      </c>
      <c r="H25" s="185">
        <f t="shared" si="4"/>
        <v>2197023966.7874389</v>
      </c>
      <c r="I25" s="185"/>
      <c r="J25" s="185"/>
      <c r="K25" s="185"/>
      <c r="L25" s="185"/>
      <c r="O25" s="259">
        <v>2046</v>
      </c>
      <c r="P25" s="260">
        <v>3942.5</v>
      </c>
      <c r="Q25" s="260">
        <v>2250</v>
      </c>
      <c r="R25" s="260">
        <v>6192.5</v>
      </c>
      <c r="U25" s="265">
        <v>2046</v>
      </c>
      <c r="V25" s="256">
        <v>2034.9</v>
      </c>
      <c r="Y25" s="265">
        <v>2046</v>
      </c>
      <c r="Z25" s="256">
        <v>2034.9</v>
      </c>
    </row>
    <row r="26" spans="1:27" x14ac:dyDescent="0.25">
      <c r="A26" s="3">
        <v>2047</v>
      </c>
      <c r="B26" s="236">
        <v>847.52471428571425</v>
      </c>
      <c r="C26" s="258">
        <v>582.32152523146715</v>
      </c>
      <c r="D26" s="185">
        <f t="shared" si="1"/>
        <v>13920593.432142857</v>
      </c>
      <c r="E26" s="185">
        <f t="shared" si="0"/>
        <v>1697830210.5124137</v>
      </c>
      <c r="F26" s="185">
        <f t="shared" si="2"/>
        <v>566927068.73848617</v>
      </c>
      <c r="G26" s="185">
        <f t="shared" si="3"/>
        <v>566927068.73848617</v>
      </c>
      <c r="H26" s="185">
        <f t="shared" si="4"/>
        <v>2278677872.6830425</v>
      </c>
      <c r="I26" s="185"/>
      <c r="J26" s="185"/>
      <c r="K26" s="185"/>
      <c r="L26" s="185"/>
      <c r="O26" s="259">
        <v>2047</v>
      </c>
      <c r="P26" s="260">
        <v>3942.5</v>
      </c>
      <c r="Q26" s="260">
        <v>2250</v>
      </c>
      <c r="R26" s="260">
        <v>6192.5</v>
      </c>
      <c r="U26" s="265">
        <v>2047</v>
      </c>
      <c r="V26" s="256">
        <v>1956.628056</v>
      </c>
      <c r="Y26" s="265">
        <v>2047</v>
      </c>
      <c r="Z26" s="256">
        <v>1956.628056</v>
      </c>
    </row>
    <row r="27" spans="1:27" x14ac:dyDescent="0.25">
      <c r="A27" s="3">
        <v>2048</v>
      </c>
      <c r="B27" s="236">
        <v>880.61528571428573</v>
      </c>
      <c r="C27" s="258">
        <v>596.87956336225375</v>
      </c>
      <c r="D27" s="185">
        <f t="shared" si="1"/>
        <v>14464106.067857144</v>
      </c>
      <c r="E27" s="185">
        <f t="shared" si="0"/>
        <v>1757403745.2451794</v>
      </c>
      <c r="F27" s="185">
        <f t="shared" si="2"/>
        <v>589062046.45260775</v>
      </c>
      <c r="G27" s="185">
        <f t="shared" si="3"/>
        <v>589062046.45260775</v>
      </c>
      <c r="H27" s="185">
        <f t="shared" si="4"/>
        <v>2360929897.7656446</v>
      </c>
      <c r="I27" s="185"/>
      <c r="J27" s="185"/>
      <c r="K27" s="185"/>
      <c r="L27" s="185"/>
      <c r="O27" s="259">
        <v>2048</v>
      </c>
      <c r="P27" s="260">
        <v>3942.5</v>
      </c>
      <c r="Q27" s="260">
        <v>2250</v>
      </c>
      <c r="R27" s="260">
        <v>6192.5</v>
      </c>
      <c r="U27" s="265">
        <v>2048</v>
      </c>
      <c r="V27" s="256">
        <v>2034.7255799999998</v>
      </c>
      <c r="Y27" s="265">
        <v>2048</v>
      </c>
      <c r="Z27" s="256">
        <v>2034.72558</v>
      </c>
    </row>
    <row r="28" spans="1:27" x14ac:dyDescent="0.25">
      <c r="A28" s="3">
        <v>2049</v>
      </c>
      <c r="B28" s="236">
        <v>915.04171428571431</v>
      </c>
      <c r="C28" s="258">
        <v>611.80155244630998</v>
      </c>
      <c r="D28" s="185">
        <f t="shared" si="1"/>
        <v>15029560.157142857</v>
      </c>
      <c r="E28" s="185">
        <f t="shared" si="0"/>
        <v>1819198489.8251033</v>
      </c>
      <c r="F28" s="185">
        <f t="shared" si="2"/>
        <v>612090607.04577434</v>
      </c>
      <c r="G28" s="185">
        <f t="shared" si="3"/>
        <v>612090607.04577434</v>
      </c>
      <c r="H28" s="185">
        <f t="shared" si="4"/>
        <v>2446318657.0280204</v>
      </c>
      <c r="I28" s="185"/>
      <c r="J28" s="185"/>
      <c r="K28" s="185"/>
      <c r="L28" s="185"/>
      <c r="O28" s="259">
        <v>2049</v>
      </c>
      <c r="P28" s="260">
        <v>3942.5</v>
      </c>
      <c r="Q28" s="260">
        <v>2250</v>
      </c>
      <c r="R28" s="260">
        <v>6192.5</v>
      </c>
      <c r="S28" s="247">
        <f>$R28/7500</f>
        <v>0.82566666666666666</v>
      </c>
      <c r="U28" s="265">
        <v>2049</v>
      </c>
      <c r="V28" s="256">
        <v>1889.4724799999999</v>
      </c>
      <c r="W28" s="247">
        <f>AVERAGE(V9:V28)/2100</f>
        <v>0.87269535213939609</v>
      </c>
      <c r="Y28" s="265">
        <v>2049</v>
      </c>
      <c r="Z28" s="256">
        <v>1889.4724799999999</v>
      </c>
      <c r="AA28" s="247">
        <f>AVERAGE(Z9:Z28)/2100</f>
        <v>0.87269535214999994</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1A01F-F193-480B-980B-F67915667C03}">
  <sheetPr codeName="Sheet58">
    <tabColor theme="7" tint="0.39997558519241921"/>
  </sheetPr>
  <dimension ref="A2:A3"/>
  <sheetViews>
    <sheetView workbookViewId="0"/>
  </sheetViews>
  <sheetFormatPr defaultRowHeight="15" x14ac:dyDescent="0.25"/>
  <sheetData>
    <row r="2" spans="1:1" x14ac:dyDescent="0.25">
      <c r="A2" s="67" t="s">
        <v>397</v>
      </c>
    </row>
    <row r="3" spans="1:1" x14ac:dyDescent="0.25">
      <c r="A3" s="67" t="s">
        <v>396</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8A7FB-2A02-41E8-90C6-C16441369CE0}">
  <sheetPr codeName="Sheet59">
    <tabColor theme="7" tint="0.39997558519241921"/>
  </sheetPr>
  <dimension ref="A1:V52"/>
  <sheetViews>
    <sheetView zoomScale="80" zoomScaleNormal="80" workbookViewId="0"/>
  </sheetViews>
  <sheetFormatPr defaultColWidth="8.7109375" defaultRowHeight="12.75" x14ac:dyDescent="0.2"/>
  <cols>
    <col min="1" max="5" width="8.7109375" style="67"/>
    <col min="6" max="19" width="9.140625" style="67" customWidth="1"/>
    <col min="20" max="16384" width="8.7109375" style="67"/>
  </cols>
  <sheetData>
    <row r="1" spans="1:22" x14ac:dyDescent="0.2">
      <c r="A1" s="95"/>
      <c r="B1" s="94"/>
      <c r="C1" s="94"/>
      <c r="D1" s="94"/>
      <c r="E1" s="94"/>
      <c r="F1" s="94"/>
      <c r="G1" s="94"/>
      <c r="H1" s="94"/>
      <c r="I1" s="94"/>
      <c r="J1" s="94"/>
      <c r="K1" s="94"/>
      <c r="L1" s="94"/>
      <c r="M1" s="94"/>
      <c r="N1" s="94"/>
      <c r="O1" s="94"/>
      <c r="P1" s="94"/>
      <c r="Q1" s="94"/>
      <c r="R1" s="94"/>
      <c r="S1" s="93"/>
    </row>
    <row r="2" spans="1:22" x14ac:dyDescent="0.2">
      <c r="A2" s="92"/>
      <c r="B2" s="91"/>
      <c r="C2" s="91"/>
      <c r="D2" s="91"/>
      <c r="E2" s="91"/>
      <c r="F2" s="91"/>
      <c r="G2" s="91"/>
      <c r="H2" s="91"/>
      <c r="I2" s="91"/>
      <c r="J2" s="91"/>
      <c r="K2" s="91"/>
      <c r="L2" s="91"/>
      <c r="M2" s="91"/>
      <c r="N2" s="91"/>
      <c r="O2" s="91"/>
      <c r="P2" s="91"/>
      <c r="Q2" s="91"/>
      <c r="R2" s="91"/>
      <c r="S2" s="90"/>
    </row>
    <row r="3" spans="1:22" x14ac:dyDescent="0.2">
      <c r="A3" s="92"/>
      <c r="B3" s="91"/>
      <c r="C3" s="91"/>
      <c r="D3" s="91"/>
      <c r="E3" s="91"/>
      <c r="F3" s="91"/>
      <c r="G3" s="91"/>
      <c r="H3" s="91"/>
      <c r="I3" s="91"/>
      <c r="J3" s="91"/>
      <c r="K3" s="91"/>
      <c r="L3" s="91"/>
      <c r="M3" s="91"/>
      <c r="N3" s="91"/>
      <c r="O3" s="91"/>
      <c r="P3" s="91"/>
      <c r="Q3" s="91"/>
      <c r="R3" s="91"/>
      <c r="S3" s="90"/>
    </row>
    <row r="4" spans="1:22" x14ac:dyDescent="0.2">
      <c r="A4" s="92"/>
      <c r="B4" s="91"/>
      <c r="C4" s="91"/>
      <c r="D4" s="91"/>
      <c r="E4" s="91"/>
      <c r="F4" s="91"/>
      <c r="G4" s="91"/>
      <c r="H4" s="91"/>
      <c r="I4" s="91"/>
      <c r="J4" s="91"/>
      <c r="K4" s="91"/>
      <c r="L4" s="91"/>
      <c r="M4" s="91"/>
      <c r="N4" s="91"/>
      <c r="O4" s="91"/>
      <c r="P4" s="91"/>
      <c r="Q4" s="91"/>
      <c r="R4" s="91"/>
      <c r="S4" s="90"/>
    </row>
    <row r="5" spans="1:22" x14ac:dyDescent="0.2">
      <c r="A5" s="92"/>
      <c r="B5" s="91"/>
      <c r="C5" s="91"/>
      <c r="D5" s="91"/>
      <c r="E5" s="91"/>
      <c r="F5" s="91"/>
      <c r="G5" s="91"/>
      <c r="H5" s="91"/>
      <c r="I5" s="91"/>
      <c r="J5" s="91"/>
      <c r="K5" s="91"/>
      <c r="L5" s="91"/>
      <c r="M5" s="91"/>
      <c r="N5" s="91"/>
      <c r="O5" s="91"/>
      <c r="P5" s="91"/>
      <c r="Q5" s="91"/>
      <c r="R5" s="91"/>
      <c r="S5" s="90"/>
    </row>
    <row r="6" spans="1:22" x14ac:dyDescent="0.2">
      <c r="A6" s="92"/>
      <c r="B6" s="91"/>
      <c r="C6" s="91"/>
      <c r="D6" s="91"/>
      <c r="E6" s="91"/>
      <c r="F6" s="91"/>
      <c r="G6" s="91"/>
      <c r="H6" s="91"/>
      <c r="I6" s="91"/>
      <c r="J6" s="91"/>
      <c r="K6" s="91"/>
      <c r="L6" s="91"/>
      <c r="M6" s="91"/>
      <c r="N6" s="91"/>
      <c r="O6" s="91"/>
      <c r="P6" s="91"/>
      <c r="Q6" s="91"/>
      <c r="R6" s="91"/>
      <c r="S6" s="90"/>
    </row>
    <row r="7" spans="1:22" x14ac:dyDescent="0.2">
      <c r="A7" s="92"/>
      <c r="B7" s="91"/>
      <c r="C7" s="91"/>
      <c r="D7" s="91"/>
      <c r="E7" s="91"/>
      <c r="F7" s="91"/>
      <c r="G7" s="91"/>
      <c r="H7" s="91"/>
      <c r="I7" s="91"/>
      <c r="J7" s="91"/>
      <c r="K7" s="91"/>
      <c r="L7" s="91"/>
      <c r="M7" s="91"/>
      <c r="N7" s="91"/>
      <c r="O7" s="91"/>
      <c r="P7" s="91"/>
      <c r="Q7" s="91"/>
      <c r="R7" s="91"/>
      <c r="S7" s="90"/>
    </row>
    <row r="8" spans="1:22" x14ac:dyDescent="0.2">
      <c r="A8" s="92"/>
      <c r="B8" s="91"/>
      <c r="C8" s="91"/>
      <c r="D8" s="91"/>
      <c r="E8" s="91"/>
      <c r="F8" s="91"/>
      <c r="G8" s="91"/>
      <c r="H8" s="91"/>
      <c r="I8" s="91"/>
      <c r="J8" s="91"/>
      <c r="K8" s="91"/>
      <c r="L8" s="91"/>
      <c r="M8" s="91"/>
      <c r="N8" s="91"/>
      <c r="O8" s="91"/>
      <c r="P8" s="91"/>
      <c r="Q8" s="91"/>
      <c r="R8" s="91"/>
      <c r="S8" s="90"/>
    </row>
    <row r="9" spans="1:22" x14ac:dyDescent="0.2">
      <c r="A9" s="92"/>
      <c r="B9" s="91"/>
      <c r="C9" s="91"/>
      <c r="D9" s="91"/>
      <c r="E9" s="91"/>
      <c r="F9" s="91"/>
      <c r="G9" s="91"/>
      <c r="H9" s="91"/>
      <c r="I9" s="91"/>
      <c r="J9" s="91"/>
      <c r="K9" s="91"/>
      <c r="L9" s="91"/>
      <c r="M9" s="91"/>
      <c r="N9" s="91"/>
      <c r="O9" s="91"/>
      <c r="P9" s="91"/>
      <c r="Q9" s="91"/>
      <c r="R9" s="91"/>
      <c r="S9" s="90"/>
      <c r="V9" s="67" t="s">
        <v>397</v>
      </c>
    </row>
    <row r="10" spans="1:22" x14ac:dyDescent="0.2">
      <c r="A10" s="92"/>
      <c r="B10" s="91"/>
      <c r="C10" s="91"/>
      <c r="D10" s="91"/>
      <c r="E10" s="91"/>
      <c r="F10" s="91"/>
      <c r="G10" s="91"/>
      <c r="H10" s="91"/>
      <c r="I10" s="91"/>
      <c r="J10" s="91"/>
      <c r="K10" s="91"/>
      <c r="L10" s="91"/>
      <c r="M10" s="91"/>
      <c r="N10" s="91"/>
      <c r="O10" s="91"/>
      <c r="P10" s="91"/>
      <c r="Q10" s="91"/>
      <c r="R10" s="91"/>
      <c r="S10" s="90"/>
      <c r="V10" s="67" t="s">
        <v>396</v>
      </c>
    </row>
    <row r="11" spans="1:22" x14ac:dyDescent="0.2">
      <c r="A11" s="81"/>
      <c r="S11" s="80"/>
    </row>
    <row r="12" spans="1:22" ht="48" x14ac:dyDescent="0.65">
      <c r="A12" s="81"/>
      <c r="F12" s="89" t="s">
        <v>423</v>
      </c>
      <c r="S12" s="80"/>
    </row>
    <row r="13" spans="1:22" ht="48" x14ac:dyDescent="0.65">
      <c r="A13" s="81"/>
      <c r="F13" s="89"/>
      <c r="S13" s="80"/>
    </row>
    <row r="14" spans="1:22" ht="27.75" x14ac:dyDescent="0.2">
      <c r="A14" s="81"/>
      <c r="F14" s="87" t="s">
        <v>422</v>
      </c>
      <c r="S14" s="80"/>
    </row>
    <row r="15" spans="1:22" ht="23.25" x14ac:dyDescent="0.2">
      <c r="A15" s="81"/>
      <c r="F15" s="88" t="s">
        <v>421</v>
      </c>
      <c r="S15" s="80"/>
    </row>
    <row r="16" spans="1:22" ht="23.25" x14ac:dyDescent="0.2">
      <c r="A16" s="81"/>
      <c r="F16" s="87"/>
      <c r="S16" s="80"/>
    </row>
    <row r="17" spans="1:19" ht="23.25" x14ac:dyDescent="0.2">
      <c r="A17" s="81"/>
      <c r="F17" s="86" t="s">
        <v>420</v>
      </c>
      <c r="O17" s="72"/>
      <c r="S17" s="80"/>
    </row>
    <row r="18" spans="1:19" ht="18" x14ac:dyDescent="0.2">
      <c r="A18" s="81"/>
      <c r="F18" s="85" t="s">
        <v>419</v>
      </c>
      <c r="S18" s="80"/>
    </row>
    <row r="19" spans="1:19" ht="17.45" customHeight="1" x14ac:dyDescent="0.2">
      <c r="A19" s="81"/>
      <c r="S19" s="80"/>
    </row>
    <row r="20" spans="1:19" ht="23.25" x14ac:dyDescent="0.2">
      <c r="A20" s="81"/>
      <c r="F20" s="84" t="s">
        <v>418</v>
      </c>
      <c r="S20" s="80"/>
    </row>
    <row r="21" spans="1:19" x14ac:dyDescent="0.2">
      <c r="A21" s="81"/>
      <c r="S21" s="80"/>
    </row>
    <row r="22" spans="1:19" x14ac:dyDescent="0.2">
      <c r="A22" s="81"/>
      <c r="S22" s="80"/>
    </row>
    <row r="23" spans="1:19" ht="24" customHeight="1" x14ac:dyDescent="0.2">
      <c r="A23" s="81"/>
      <c r="S23" s="80"/>
    </row>
    <row r="24" spans="1:19" ht="18" customHeight="1" x14ac:dyDescent="0.3">
      <c r="A24" s="81"/>
      <c r="F24" s="83" t="s">
        <v>417</v>
      </c>
      <c r="S24" s="80"/>
    </row>
    <row r="25" spans="1:19" ht="15.6" customHeight="1" x14ac:dyDescent="0.2">
      <c r="A25" s="81"/>
      <c r="S25" s="80"/>
    </row>
    <row r="26" spans="1:19" ht="23.25" customHeight="1" x14ac:dyDescent="0.25">
      <c r="A26" s="81"/>
      <c r="F26" s="82" t="s">
        <v>416</v>
      </c>
      <c r="G26" s="82"/>
      <c r="H26" s="82"/>
      <c r="I26" s="82"/>
      <c r="J26" s="82"/>
      <c r="K26" s="82"/>
      <c r="L26" s="82"/>
      <c r="M26" s="82"/>
      <c r="N26" s="82"/>
      <c r="O26" s="82"/>
      <c r="P26" s="79"/>
      <c r="Q26" s="79"/>
      <c r="S26" s="80"/>
    </row>
    <row r="27" spans="1:19" ht="15.6" customHeight="1" x14ac:dyDescent="0.25">
      <c r="A27" s="81"/>
      <c r="G27" s="82"/>
      <c r="H27" s="82"/>
      <c r="I27" s="82"/>
      <c r="J27" s="82"/>
      <c r="K27" s="82"/>
      <c r="L27" s="82"/>
      <c r="M27" s="82"/>
      <c r="N27" s="82"/>
      <c r="O27" s="82"/>
      <c r="P27" s="79"/>
      <c r="Q27" s="79"/>
      <c r="S27" s="80"/>
    </row>
    <row r="28" spans="1:19" x14ac:dyDescent="0.2">
      <c r="A28" s="78" t="s">
        <v>415</v>
      </c>
      <c r="S28" s="80"/>
    </row>
    <row r="29" spans="1:19" x14ac:dyDescent="0.2">
      <c r="A29" s="81"/>
      <c r="S29" s="80"/>
    </row>
    <row r="30" spans="1:19" s="79" customFormat="1" ht="16.899999999999999" customHeight="1" x14ac:dyDescent="0.2">
      <c r="A30" s="659" t="s">
        <v>414</v>
      </c>
      <c r="B30" s="660"/>
      <c r="C30" s="660"/>
      <c r="D30" s="660"/>
      <c r="E30" s="660"/>
      <c r="F30" s="660"/>
      <c r="G30" s="660"/>
      <c r="H30" s="660"/>
      <c r="I30" s="660"/>
      <c r="J30" s="660"/>
      <c r="K30" s="660"/>
      <c r="L30" s="660"/>
      <c r="M30" s="660"/>
      <c r="N30" s="660"/>
      <c r="O30" s="660"/>
      <c r="P30" s="660"/>
      <c r="Q30" s="660"/>
      <c r="R30" s="660"/>
      <c r="S30" s="661"/>
    </row>
    <row r="31" spans="1:19" s="79" customFormat="1" ht="46.5" customHeight="1" x14ac:dyDescent="0.2">
      <c r="A31" s="662" t="s">
        <v>413</v>
      </c>
      <c r="B31" s="663"/>
      <c r="C31" s="663"/>
      <c r="D31" s="663"/>
      <c r="E31" s="663"/>
      <c r="F31" s="663"/>
      <c r="G31" s="663"/>
      <c r="H31" s="663"/>
      <c r="I31" s="663"/>
      <c r="J31" s="663"/>
      <c r="K31" s="663"/>
      <c r="L31" s="663"/>
      <c r="M31" s="663"/>
      <c r="N31" s="663"/>
      <c r="O31" s="663"/>
      <c r="P31" s="663"/>
      <c r="Q31" s="663"/>
      <c r="R31" s="663"/>
      <c r="S31" s="664"/>
    </row>
    <row r="32" spans="1:19" x14ac:dyDescent="0.2">
      <c r="A32" s="78"/>
      <c r="B32" s="72"/>
      <c r="C32" s="72"/>
      <c r="D32" s="72"/>
      <c r="E32" s="72"/>
      <c r="F32" s="72"/>
      <c r="G32" s="72"/>
      <c r="H32" s="72"/>
      <c r="I32" s="72"/>
      <c r="J32" s="72"/>
      <c r="K32" s="72"/>
      <c r="L32" s="72"/>
      <c r="M32" s="72"/>
      <c r="N32" s="72"/>
      <c r="O32" s="72"/>
      <c r="P32" s="72"/>
      <c r="Q32" s="72"/>
      <c r="R32" s="72"/>
      <c r="S32" s="71"/>
    </row>
    <row r="33" spans="1:19" ht="15.75" x14ac:dyDescent="0.2">
      <c r="A33" s="77" t="s">
        <v>412</v>
      </c>
      <c r="B33" s="72"/>
      <c r="C33" s="72"/>
      <c r="D33" s="72"/>
      <c r="E33" s="72"/>
      <c r="F33" s="72"/>
      <c r="G33" s="72"/>
      <c r="H33" s="72"/>
      <c r="I33" s="72"/>
      <c r="J33" s="72"/>
      <c r="K33" s="72"/>
      <c r="L33" s="72"/>
      <c r="M33" s="72"/>
      <c r="N33" s="72"/>
      <c r="O33" s="72"/>
      <c r="P33" s="72"/>
      <c r="Q33" s="72"/>
      <c r="R33" s="72"/>
      <c r="S33" s="71"/>
    </row>
    <row r="34" spans="1:19" ht="14.25" x14ac:dyDescent="0.2">
      <c r="A34" s="76" t="s">
        <v>411</v>
      </c>
      <c r="B34" s="72"/>
      <c r="C34" s="72"/>
      <c r="D34" s="72"/>
      <c r="E34" s="72"/>
      <c r="F34" s="72"/>
      <c r="G34" s="72"/>
      <c r="H34" s="72"/>
      <c r="I34" s="72"/>
      <c r="J34" s="72"/>
      <c r="K34" s="72"/>
      <c r="L34" s="72"/>
      <c r="M34" s="72"/>
      <c r="N34" s="72"/>
      <c r="O34" s="72"/>
      <c r="P34" s="72"/>
      <c r="Q34" s="72"/>
      <c r="R34" s="72"/>
      <c r="S34" s="71"/>
    </row>
    <row r="35" spans="1:19" ht="14.25" x14ac:dyDescent="0.2">
      <c r="A35" s="75" t="s">
        <v>410</v>
      </c>
      <c r="B35" s="72"/>
      <c r="C35" s="72"/>
      <c r="D35" s="72"/>
      <c r="E35" s="72"/>
      <c r="F35" s="72"/>
      <c r="G35" s="72"/>
      <c r="H35" s="72"/>
      <c r="I35" s="72"/>
      <c r="J35" s="72"/>
      <c r="K35" s="72"/>
      <c r="L35" s="72"/>
      <c r="M35" s="72"/>
      <c r="N35" s="72"/>
      <c r="O35" s="72"/>
      <c r="P35" s="72"/>
      <c r="Q35" s="72"/>
      <c r="R35" s="72"/>
      <c r="S35" s="71"/>
    </row>
    <row r="36" spans="1:19" ht="14.25" x14ac:dyDescent="0.2">
      <c r="A36" s="75" t="s">
        <v>409</v>
      </c>
      <c r="B36" s="72"/>
      <c r="C36" s="72"/>
      <c r="D36" s="72"/>
      <c r="E36" s="72"/>
      <c r="F36" s="72"/>
      <c r="G36" s="72"/>
      <c r="H36" s="72"/>
      <c r="I36" s="72"/>
      <c r="J36" s="72"/>
      <c r="K36" s="72"/>
      <c r="L36" s="72"/>
      <c r="M36" s="72"/>
      <c r="N36" s="72"/>
      <c r="O36" s="72"/>
      <c r="P36" s="72"/>
      <c r="Q36" s="72"/>
      <c r="R36" s="72"/>
      <c r="S36" s="71"/>
    </row>
    <row r="37" spans="1:19" ht="14.25" x14ac:dyDescent="0.2">
      <c r="A37" s="75" t="s">
        <v>408</v>
      </c>
      <c r="B37" s="72"/>
      <c r="C37" s="72"/>
      <c r="D37" s="72"/>
      <c r="E37" s="72"/>
      <c r="F37" s="72"/>
      <c r="G37" s="72"/>
      <c r="H37" s="72"/>
      <c r="I37" s="72"/>
      <c r="J37" s="72"/>
      <c r="K37" s="72"/>
      <c r="L37" s="72"/>
      <c r="M37" s="72"/>
      <c r="N37" s="72"/>
      <c r="O37" s="72"/>
      <c r="P37" s="72"/>
      <c r="Q37" s="72"/>
      <c r="R37" s="72"/>
      <c r="S37" s="71"/>
    </row>
    <row r="38" spans="1:19" ht="14.25" x14ac:dyDescent="0.2">
      <c r="A38" s="75" t="s">
        <v>407</v>
      </c>
      <c r="B38" s="72"/>
      <c r="C38" s="72"/>
      <c r="D38" s="72"/>
      <c r="E38" s="72"/>
      <c r="F38" s="72"/>
      <c r="G38" s="72"/>
      <c r="H38" s="72"/>
      <c r="I38" s="72"/>
      <c r="J38" s="72"/>
      <c r="K38" s="72"/>
      <c r="L38" s="72"/>
      <c r="M38" s="72"/>
      <c r="N38" s="72"/>
      <c r="O38" s="72"/>
      <c r="P38" s="72"/>
      <c r="Q38" s="72"/>
      <c r="R38" s="72"/>
      <c r="S38" s="71"/>
    </row>
    <row r="39" spans="1:19" ht="14.25" x14ac:dyDescent="0.2">
      <c r="A39" s="75" t="s">
        <v>406</v>
      </c>
      <c r="B39" s="72"/>
      <c r="C39" s="72"/>
      <c r="D39" s="72"/>
      <c r="E39" s="72"/>
      <c r="F39" s="72"/>
      <c r="G39" s="72"/>
      <c r="H39" s="72"/>
      <c r="I39" s="72"/>
      <c r="J39" s="72"/>
      <c r="K39" s="72"/>
      <c r="L39" s="72"/>
      <c r="M39" s="72"/>
      <c r="N39" s="72"/>
      <c r="O39" s="72"/>
      <c r="P39" s="72"/>
      <c r="Q39" s="72"/>
      <c r="R39" s="72"/>
      <c r="S39" s="71"/>
    </row>
    <row r="40" spans="1:19" ht="14.25" x14ac:dyDescent="0.2">
      <c r="A40" s="75" t="s">
        <v>405</v>
      </c>
      <c r="B40" s="72"/>
      <c r="C40" s="72"/>
      <c r="D40" s="72"/>
      <c r="E40" s="72"/>
      <c r="F40" s="72"/>
      <c r="G40" s="72"/>
      <c r="H40" s="72"/>
      <c r="I40" s="72"/>
      <c r="J40" s="72"/>
      <c r="K40" s="72"/>
      <c r="L40" s="72"/>
      <c r="M40" s="72"/>
      <c r="N40" s="72"/>
      <c r="O40" s="72"/>
      <c r="P40" s="72"/>
      <c r="Q40" s="72"/>
      <c r="R40" s="72"/>
      <c r="S40" s="71"/>
    </row>
    <row r="41" spans="1:19" ht="14.25" x14ac:dyDescent="0.2">
      <c r="A41" s="76"/>
      <c r="B41" s="72"/>
      <c r="C41" s="72"/>
      <c r="D41" s="72"/>
      <c r="E41" s="72"/>
      <c r="F41" s="72"/>
      <c r="G41" s="72"/>
      <c r="H41" s="72"/>
      <c r="I41" s="72"/>
      <c r="J41" s="72"/>
      <c r="K41" s="72"/>
      <c r="L41" s="72"/>
      <c r="M41" s="72"/>
      <c r="N41" s="72"/>
      <c r="O41" s="72"/>
      <c r="P41" s="72"/>
      <c r="Q41" s="72"/>
      <c r="R41" s="72"/>
      <c r="S41" s="71"/>
    </row>
    <row r="42" spans="1:19" ht="15.75" x14ac:dyDescent="0.25">
      <c r="A42" s="73" t="s">
        <v>404</v>
      </c>
      <c r="B42" s="72"/>
      <c r="C42" s="72"/>
      <c r="D42" s="72"/>
      <c r="E42" s="72"/>
      <c r="F42" s="72"/>
      <c r="G42" s="72"/>
      <c r="H42" s="72"/>
      <c r="I42" s="72"/>
      <c r="J42" s="72"/>
      <c r="K42" s="72"/>
      <c r="L42" s="72"/>
      <c r="M42" s="72"/>
      <c r="N42" s="72"/>
      <c r="O42" s="72"/>
      <c r="P42" s="72"/>
      <c r="Q42" s="72"/>
      <c r="R42" s="72"/>
      <c r="S42" s="71"/>
    </row>
    <row r="43" spans="1:19" ht="45" customHeight="1" x14ac:dyDescent="0.2">
      <c r="A43" s="665" t="s">
        <v>403</v>
      </c>
      <c r="B43" s="666"/>
      <c r="C43" s="666"/>
      <c r="D43" s="666"/>
      <c r="E43" s="666"/>
      <c r="F43" s="666"/>
      <c r="G43" s="666"/>
      <c r="H43" s="666"/>
      <c r="I43" s="666"/>
      <c r="J43" s="666"/>
      <c r="K43" s="666"/>
      <c r="L43" s="666"/>
      <c r="M43" s="666"/>
      <c r="N43" s="666"/>
      <c r="O43" s="666"/>
      <c r="P43" s="666"/>
      <c r="Q43" s="666"/>
      <c r="R43" s="666"/>
      <c r="S43" s="667"/>
    </row>
    <row r="44" spans="1:19" x14ac:dyDescent="0.2">
      <c r="A44" s="74"/>
      <c r="B44" s="72"/>
      <c r="C44" s="72"/>
      <c r="D44" s="72"/>
      <c r="E44" s="72"/>
      <c r="F44" s="72"/>
      <c r="G44" s="72"/>
      <c r="H44" s="72"/>
      <c r="I44" s="72"/>
      <c r="J44" s="72"/>
      <c r="K44" s="72"/>
      <c r="L44" s="72"/>
      <c r="M44" s="72"/>
      <c r="N44" s="72"/>
      <c r="O44" s="72"/>
      <c r="P44" s="72"/>
      <c r="Q44" s="72"/>
      <c r="R44" s="72"/>
      <c r="S44" s="71"/>
    </row>
    <row r="45" spans="1:19" ht="15.75" x14ac:dyDescent="0.25">
      <c r="A45" s="73" t="s">
        <v>402</v>
      </c>
      <c r="B45" s="72"/>
      <c r="C45" s="72"/>
      <c r="D45" s="72"/>
      <c r="E45" s="72"/>
      <c r="F45" s="72"/>
      <c r="G45" s="72"/>
      <c r="H45" s="72"/>
      <c r="I45" s="72"/>
      <c r="J45" s="72"/>
      <c r="K45" s="72"/>
      <c r="L45" s="72"/>
      <c r="M45" s="72"/>
      <c r="N45" s="72"/>
      <c r="O45" s="72"/>
      <c r="P45" s="72"/>
      <c r="Q45" s="72"/>
      <c r="R45" s="72"/>
      <c r="S45" s="71"/>
    </row>
    <row r="46" spans="1:19" ht="84" customHeight="1" x14ac:dyDescent="0.2">
      <c r="A46" s="668" t="s">
        <v>401</v>
      </c>
      <c r="B46" s="669"/>
      <c r="C46" s="669"/>
      <c r="D46" s="669"/>
      <c r="E46" s="669"/>
      <c r="F46" s="669"/>
      <c r="G46" s="669"/>
      <c r="H46" s="669"/>
      <c r="I46" s="669"/>
      <c r="J46" s="669"/>
      <c r="K46" s="669"/>
      <c r="L46" s="669"/>
      <c r="M46" s="669"/>
      <c r="N46" s="669"/>
      <c r="O46" s="669"/>
      <c r="P46" s="669"/>
      <c r="Q46" s="669"/>
      <c r="R46" s="669"/>
      <c r="S46" s="670"/>
    </row>
    <row r="47" spans="1:19" x14ac:dyDescent="0.2">
      <c r="A47" s="74"/>
      <c r="B47" s="72"/>
      <c r="C47" s="72"/>
      <c r="D47" s="72"/>
      <c r="E47" s="72"/>
      <c r="F47" s="72"/>
      <c r="G47" s="72"/>
      <c r="H47" s="72"/>
      <c r="I47" s="72"/>
      <c r="J47" s="72"/>
      <c r="K47" s="72"/>
      <c r="L47" s="72"/>
      <c r="M47" s="72"/>
      <c r="N47" s="72"/>
      <c r="O47" s="72"/>
      <c r="P47" s="72"/>
      <c r="Q47" s="72"/>
      <c r="R47" s="72"/>
      <c r="S47" s="71"/>
    </row>
    <row r="48" spans="1:19" ht="14.25" x14ac:dyDescent="0.2">
      <c r="A48" s="75" t="s">
        <v>400</v>
      </c>
      <c r="B48" s="72"/>
      <c r="C48" s="72"/>
      <c r="D48" s="72"/>
      <c r="E48" s="72"/>
      <c r="F48" s="72"/>
      <c r="G48" s="72"/>
      <c r="H48" s="72"/>
      <c r="I48" s="72"/>
      <c r="J48" s="72"/>
      <c r="K48" s="72"/>
      <c r="L48" s="72"/>
      <c r="M48" s="72"/>
      <c r="N48" s="72"/>
      <c r="O48" s="72"/>
      <c r="P48" s="72"/>
      <c r="Q48" s="72"/>
      <c r="R48" s="72"/>
      <c r="S48" s="71"/>
    </row>
    <row r="49" spans="1:19" x14ac:dyDescent="0.2">
      <c r="A49" s="74"/>
      <c r="B49" s="72"/>
      <c r="C49" s="72"/>
      <c r="D49" s="72"/>
      <c r="E49" s="72"/>
      <c r="F49" s="72"/>
      <c r="G49" s="72"/>
      <c r="H49" s="72"/>
      <c r="I49" s="72"/>
      <c r="J49" s="72"/>
      <c r="K49" s="72"/>
      <c r="L49" s="72"/>
      <c r="M49" s="72"/>
      <c r="N49" s="72"/>
      <c r="O49" s="72"/>
      <c r="P49" s="72"/>
      <c r="Q49" s="72"/>
      <c r="R49" s="72"/>
      <c r="S49" s="71"/>
    </row>
    <row r="50" spans="1:19" ht="15.75" x14ac:dyDescent="0.25">
      <c r="A50" s="73" t="s">
        <v>399</v>
      </c>
      <c r="B50" s="72"/>
      <c r="C50" s="72"/>
      <c r="D50" s="72"/>
      <c r="E50" s="72"/>
      <c r="F50" s="72"/>
      <c r="G50" s="72"/>
      <c r="H50" s="72"/>
      <c r="I50" s="72"/>
      <c r="J50" s="72"/>
      <c r="K50" s="72"/>
      <c r="L50" s="72"/>
      <c r="M50" s="72"/>
      <c r="N50" s="72"/>
      <c r="O50" s="72"/>
      <c r="P50" s="72"/>
      <c r="Q50" s="72"/>
      <c r="R50" s="72"/>
      <c r="S50" s="71"/>
    </row>
    <row r="51" spans="1:19" ht="43.15" customHeight="1" x14ac:dyDescent="0.2">
      <c r="A51" s="668" t="s">
        <v>398</v>
      </c>
      <c r="B51" s="669"/>
      <c r="C51" s="669"/>
      <c r="D51" s="669"/>
      <c r="E51" s="669"/>
      <c r="F51" s="669"/>
      <c r="G51" s="669"/>
      <c r="H51" s="669"/>
      <c r="I51" s="669"/>
      <c r="J51" s="669"/>
      <c r="K51" s="669"/>
      <c r="L51" s="669"/>
      <c r="M51" s="669"/>
      <c r="N51" s="669"/>
      <c r="O51" s="669"/>
      <c r="P51" s="669"/>
      <c r="Q51" s="669"/>
      <c r="R51" s="669"/>
      <c r="S51" s="670"/>
    </row>
    <row r="52" spans="1:19" ht="13.5" thickBot="1" x14ac:dyDescent="0.25">
      <c r="A52" s="70"/>
      <c r="B52" s="69"/>
      <c r="C52" s="69"/>
      <c r="D52" s="69"/>
      <c r="E52" s="69"/>
      <c r="F52" s="69"/>
      <c r="G52" s="69"/>
      <c r="H52" s="69"/>
      <c r="I52" s="69"/>
      <c r="J52" s="69"/>
      <c r="K52" s="69"/>
      <c r="L52" s="69"/>
      <c r="M52" s="69"/>
      <c r="N52" s="69"/>
      <c r="O52" s="69"/>
      <c r="P52" s="69"/>
      <c r="Q52" s="69"/>
      <c r="R52" s="69"/>
      <c r="S52" s="68"/>
    </row>
  </sheetData>
  <mergeCells count="5">
    <mergeCell ref="A30:S30"/>
    <mergeCell ref="A31:S31"/>
    <mergeCell ref="A43:S43"/>
    <mergeCell ref="A46:S46"/>
    <mergeCell ref="A51:S51"/>
  </mergeCells>
  <pageMargins left="0.7" right="0.7" top="0.75" bottom="0.75" header="0.3" footer="0.3"/>
  <pageSetup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10AF5-CCDB-4C2E-86B5-37C520E4C175}">
  <sheetPr codeName="Sheet60">
    <tabColor theme="7" tint="0.39997558519241921"/>
  </sheetPr>
  <dimension ref="A1:AC1127"/>
  <sheetViews>
    <sheetView zoomScale="80" zoomScaleNormal="80" workbookViewId="0"/>
  </sheetViews>
  <sheetFormatPr defaultColWidth="8.7109375" defaultRowHeight="12.75" x14ac:dyDescent="0.2"/>
  <cols>
    <col min="1" max="1" width="11.42578125" style="48" customWidth="1"/>
    <col min="2" max="2" width="11.28515625" style="48" customWidth="1"/>
    <col min="3" max="3" width="8.7109375" style="48"/>
    <col min="4" max="4" width="11.28515625" style="48" customWidth="1"/>
    <col min="5" max="5" width="11.7109375" style="48" customWidth="1"/>
    <col min="6" max="14" width="8.7109375" style="48"/>
    <col min="15" max="15" width="8" style="48" bestFit="1" customWidth="1"/>
    <col min="16" max="16" width="5.7109375" style="48" customWidth="1"/>
    <col min="17" max="17" width="11.5703125" style="48" bestFit="1" customWidth="1"/>
    <col min="18" max="18" width="6.5703125" style="48" customWidth="1"/>
    <col min="19" max="16384" width="8.7109375" style="48"/>
  </cols>
  <sheetData>
    <row r="1" spans="1:1" ht="15" x14ac:dyDescent="0.25">
      <c r="A1" s="127" t="s">
        <v>440</v>
      </c>
    </row>
    <row r="22" spans="1:29" x14ac:dyDescent="0.2">
      <c r="A22" s="126" t="s">
        <v>439</v>
      </c>
      <c r="K22" s="125" t="s">
        <v>439</v>
      </c>
      <c r="M22" s="125"/>
      <c r="V22" s="125" t="s">
        <v>439</v>
      </c>
      <c r="W22" s="124"/>
      <c r="X22" s="125"/>
      <c r="Y22" s="124"/>
      <c r="Z22" s="124"/>
      <c r="AA22" s="124"/>
      <c r="AB22" s="124"/>
      <c r="AC22" s="124"/>
    </row>
    <row r="24" spans="1:29" x14ac:dyDescent="0.2">
      <c r="A24" s="123" t="s">
        <v>438</v>
      </c>
      <c r="B24" s="122">
        <v>53.849885500000006</v>
      </c>
      <c r="C24" s="122">
        <v>9.7158529999999992</v>
      </c>
      <c r="D24" s="122">
        <v>0.24808500000000003</v>
      </c>
      <c r="E24" s="122">
        <v>2.5397285000000003</v>
      </c>
      <c r="F24" s="122">
        <v>8.6703799999999998</v>
      </c>
      <c r="G24" s="122">
        <v>5.2292110000000003</v>
      </c>
      <c r="H24" s="122">
        <v>0.5088339999999999</v>
      </c>
      <c r="I24" s="122">
        <v>14.078703999999998</v>
      </c>
      <c r="J24" s="122">
        <v>12.616185000000002</v>
      </c>
      <c r="K24" s="122">
        <v>0.17499999999999999</v>
      </c>
      <c r="L24" s="121">
        <v>0.24290500000000001</v>
      </c>
      <c r="O24" s="120"/>
      <c r="P24" s="119"/>
      <c r="Q24" s="119" t="s">
        <v>437</v>
      </c>
      <c r="R24" s="118" t="s">
        <v>434</v>
      </c>
    </row>
    <row r="25" spans="1:29" x14ac:dyDescent="0.2">
      <c r="A25" s="117" t="s">
        <v>436</v>
      </c>
      <c r="B25" s="98">
        <v>1101</v>
      </c>
      <c r="C25" s="98">
        <v>86</v>
      </c>
      <c r="D25" s="98">
        <v>14</v>
      </c>
      <c r="E25" s="98">
        <v>70</v>
      </c>
      <c r="F25" s="98">
        <v>228</v>
      </c>
      <c r="G25" s="98">
        <v>182</v>
      </c>
      <c r="H25" s="98">
        <v>32</v>
      </c>
      <c r="I25" s="98">
        <v>215</v>
      </c>
      <c r="J25" s="98">
        <v>255</v>
      </c>
      <c r="K25" s="98">
        <v>7</v>
      </c>
      <c r="L25" s="96">
        <v>19</v>
      </c>
      <c r="O25" s="103" t="s">
        <v>435</v>
      </c>
      <c r="P25" s="102" t="s">
        <v>434</v>
      </c>
      <c r="Q25" s="102" t="s">
        <v>40</v>
      </c>
      <c r="R25" s="100" t="s">
        <v>28</v>
      </c>
    </row>
    <row r="26" spans="1:29" x14ac:dyDescent="0.2">
      <c r="A26" s="116"/>
      <c r="B26" s="115" t="s">
        <v>433</v>
      </c>
      <c r="C26" s="115" t="s">
        <v>432</v>
      </c>
      <c r="D26" s="115" t="s">
        <v>431</v>
      </c>
      <c r="E26" s="115" t="s">
        <v>56</v>
      </c>
      <c r="F26" s="115" t="s">
        <v>430</v>
      </c>
      <c r="G26" s="115" t="s">
        <v>55</v>
      </c>
      <c r="H26" s="115" t="s">
        <v>429</v>
      </c>
      <c r="I26" s="115" t="s">
        <v>428</v>
      </c>
      <c r="J26" s="115" t="s">
        <v>427</v>
      </c>
      <c r="K26" s="115" t="s">
        <v>426</v>
      </c>
      <c r="L26" s="115" t="s">
        <v>57</v>
      </c>
      <c r="O26" s="99" t="s">
        <v>116</v>
      </c>
      <c r="P26" s="98" t="s">
        <v>28</v>
      </c>
      <c r="Q26" s="98" t="s">
        <v>425</v>
      </c>
      <c r="R26" s="96" t="s">
        <v>424</v>
      </c>
    </row>
    <row r="27" spans="1:29" x14ac:dyDescent="0.2">
      <c r="A27" s="114">
        <v>2010</v>
      </c>
      <c r="B27" s="113">
        <v>243.28343398120433</v>
      </c>
      <c r="C27" s="113"/>
      <c r="D27" s="113"/>
      <c r="E27" s="113"/>
      <c r="F27" s="113">
        <v>189.86610723923673</v>
      </c>
      <c r="G27" s="113">
        <v>402.48464054483179</v>
      </c>
      <c r="H27" s="113"/>
      <c r="I27" s="113"/>
      <c r="J27" s="113">
        <v>348.69704562879446</v>
      </c>
      <c r="K27" s="113"/>
      <c r="L27" s="113"/>
      <c r="O27" s="103">
        <v>19</v>
      </c>
      <c r="P27" s="102">
        <v>2010</v>
      </c>
      <c r="Q27" s="101">
        <v>201.58203477241332</v>
      </c>
      <c r="R27" s="100">
        <v>1</v>
      </c>
      <c r="U27" s="110"/>
      <c r="V27" s="110"/>
      <c r="W27" s="109"/>
    </row>
    <row r="28" spans="1:29" x14ac:dyDescent="0.2">
      <c r="A28" s="114">
        <v>2011</v>
      </c>
      <c r="B28" s="113">
        <v>225.77540211411443</v>
      </c>
      <c r="C28" s="113"/>
      <c r="D28" s="113"/>
      <c r="E28" s="113"/>
      <c r="F28" s="113">
        <v>195.22863556646234</v>
      </c>
      <c r="G28" s="113">
        <v>304.7034949751573</v>
      </c>
      <c r="H28" s="113"/>
      <c r="I28" s="113">
        <v>231.22592639903539</v>
      </c>
      <c r="J28" s="113" t="e">
        <v>#N/A</v>
      </c>
      <c r="K28" s="113"/>
      <c r="L28" s="113"/>
      <c r="O28" s="103">
        <v>10</v>
      </c>
      <c r="P28" s="102">
        <v>2010</v>
      </c>
      <c r="Q28" s="101">
        <v>402.03884574192563</v>
      </c>
      <c r="R28" s="100">
        <v>1</v>
      </c>
      <c r="U28" s="110"/>
      <c r="V28" s="110"/>
      <c r="W28" s="109"/>
    </row>
    <row r="29" spans="1:29" x14ac:dyDescent="0.2">
      <c r="A29" s="114">
        <v>2012</v>
      </c>
      <c r="B29" s="113">
        <v>164.43366773382471</v>
      </c>
      <c r="C29" s="113">
        <v>270.33083168869626</v>
      </c>
      <c r="D29" s="113"/>
      <c r="E29" s="113"/>
      <c r="F29" s="113">
        <v>179.06631051922136</v>
      </c>
      <c r="G29" s="113">
        <v>263.98856510397263</v>
      </c>
      <c r="H29" s="113"/>
      <c r="I29" s="113">
        <v>129.50436563946823</v>
      </c>
      <c r="J29" s="113">
        <v>211.66540325085322</v>
      </c>
      <c r="K29" s="113"/>
      <c r="L29" s="113"/>
      <c r="O29" s="103">
        <v>12.6</v>
      </c>
      <c r="P29" s="102">
        <v>2010</v>
      </c>
      <c r="Q29" s="101">
        <v>339.42989580784513</v>
      </c>
      <c r="R29" s="100">
        <v>1</v>
      </c>
      <c r="U29" s="110"/>
      <c r="V29" s="110"/>
      <c r="W29" s="109"/>
    </row>
    <row r="30" spans="1:29" x14ac:dyDescent="0.2">
      <c r="A30" s="114">
        <v>2013</v>
      </c>
      <c r="B30" s="113">
        <v>151.71784466209979</v>
      </c>
      <c r="C30" s="113">
        <v>306.18077806436276</v>
      </c>
      <c r="D30" s="113"/>
      <c r="E30" s="113">
        <v>199.39401778179294</v>
      </c>
      <c r="F30" s="113">
        <v>142.57772702875434</v>
      </c>
      <c r="G30" s="113">
        <v>293.92837072738979</v>
      </c>
      <c r="H30" s="113"/>
      <c r="I30" s="113">
        <v>146.47232939220834</v>
      </c>
      <c r="J30" s="113">
        <v>192.88626476250403</v>
      </c>
      <c r="K30" s="113"/>
      <c r="L30" s="113"/>
      <c r="O30" s="103">
        <v>8.25</v>
      </c>
      <c r="P30" s="102">
        <v>2010</v>
      </c>
      <c r="Q30" s="101">
        <v>471.74914456714674</v>
      </c>
      <c r="R30" s="100">
        <v>1</v>
      </c>
      <c r="U30" s="110"/>
      <c r="V30" s="110"/>
      <c r="W30" s="109"/>
      <c r="Y30" s="110"/>
    </row>
    <row r="31" spans="1:29" x14ac:dyDescent="0.2">
      <c r="A31" s="114">
        <v>2014</v>
      </c>
      <c r="B31" s="113">
        <v>145.26002114214927</v>
      </c>
      <c r="C31" s="113" t="e">
        <v>#N/A</v>
      </c>
      <c r="D31" s="113"/>
      <c r="E31" s="113">
        <v>187.48854340252271</v>
      </c>
      <c r="F31" s="113">
        <v>116.95717500986613</v>
      </c>
      <c r="G31" s="113">
        <v>161.73292289793136</v>
      </c>
      <c r="H31" s="113">
        <v>281.08516824477545</v>
      </c>
      <c r="I31" s="113">
        <v>146.51475559374541</v>
      </c>
      <c r="J31" s="113">
        <v>138.06684088194507</v>
      </c>
      <c r="K31" s="113"/>
      <c r="L31" s="113"/>
      <c r="O31" s="103">
        <v>17.5</v>
      </c>
      <c r="P31" s="102">
        <v>2010</v>
      </c>
      <c r="Q31" s="101">
        <v>327.75500976466185</v>
      </c>
      <c r="R31" s="100">
        <v>1</v>
      </c>
      <c r="U31" s="110"/>
      <c r="V31" s="110"/>
      <c r="W31" s="109"/>
    </row>
    <row r="32" spans="1:29" x14ac:dyDescent="0.2">
      <c r="A32" s="114">
        <v>2015</v>
      </c>
      <c r="B32" s="113">
        <v>109.34406258792184</v>
      </c>
      <c r="C32" s="113">
        <v>107.39077910772069</v>
      </c>
      <c r="D32" s="113"/>
      <c r="E32" s="113">
        <v>176.90528795177204</v>
      </c>
      <c r="F32" s="113">
        <v>88.559022105860478</v>
      </c>
      <c r="G32" s="113">
        <v>123.64298172566386</v>
      </c>
      <c r="H32" s="113" t="e">
        <v>#N/A</v>
      </c>
      <c r="I32" s="113">
        <v>117.23008821790305</v>
      </c>
      <c r="J32" s="113">
        <v>110.56285474885314</v>
      </c>
      <c r="K32" s="113"/>
      <c r="L32" s="113"/>
      <c r="O32" s="103">
        <v>5.0999999999999996</v>
      </c>
      <c r="P32" s="102">
        <v>2010</v>
      </c>
      <c r="Q32" s="101">
        <v>312.01878613365096</v>
      </c>
      <c r="R32" s="100">
        <v>1</v>
      </c>
      <c r="U32" s="110"/>
      <c r="V32" s="110"/>
      <c r="W32" s="109"/>
    </row>
    <row r="33" spans="1:23" x14ac:dyDescent="0.2">
      <c r="A33" s="114">
        <v>2016</v>
      </c>
      <c r="B33" s="113">
        <v>82.484646983776912</v>
      </c>
      <c r="C33" s="113">
        <v>81.417698688985709</v>
      </c>
      <c r="D33" s="113">
        <v>70.643623425541747</v>
      </c>
      <c r="E33" s="113">
        <v>104.20037414882532</v>
      </c>
      <c r="F33" s="113">
        <v>74.960188812493087</v>
      </c>
      <c r="G33" s="113">
        <v>122.70127261480289</v>
      </c>
      <c r="H33" s="113">
        <v>335.21065006311852</v>
      </c>
      <c r="I33" s="113">
        <v>81.273791103650183</v>
      </c>
      <c r="J33" s="113">
        <v>89.855852603697244</v>
      </c>
      <c r="K33" s="113"/>
      <c r="L33" s="113"/>
      <c r="O33" s="103">
        <v>30.64</v>
      </c>
      <c r="P33" s="102">
        <v>2010</v>
      </c>
      <c r="Q33" s="101">
        <v>181.34171702556537</v>
      </c>
      <c r="R33" s="100">
        <v>1</v>
      </c>
      <c r="U33" s="110"/>
      <c r="V33" s="110"/>
      <c r="W33" s="109"/>
    </row>
    <row r="34" spans="1:23" x14ac:dyDescent="0.2">
      <c r="A34" s="114">
        <v>2017</v>
      </c>
      <c r="B34" s="113">
        <v>80.418651057823823</v>
      </c>
      <c r="C34" s="113">
        <v>71.502867727885587</v>
      </c>
      <c r="D34" s="113">
        <v>82.784280159258046</v>
      </c>
      <c r="E34" s="113">
        <v>105.30463449022122</v>
      </c>
      <c r="F34" s="113">
        <v>69.428155221172773</v>
      </c>
      <c r="G34" s="113">
        <v>88.385724791948817</v>
      </c>
      <c r="H34" s="113">
        <v>130.56138663737315</v>
      </c>
      <c r="I34" s="113">
        <v>89.11465898688067</v>
      </c>
      <c r="J34" s="113">
        <v>82.07787612242943</v>
      </c>
      <c r="K34" s="113">
        <v>141.03979137069422</v>
      </c>
      <c r="L34" s="113">
        <v>128.37069915470917</v>
      </c>
      <c r="O34" s="103">
        <v>48</v>
      </c>
      <c r="P34" s="102">
        <v>2010</v>
      </c>
      <c r="Q34" s="101">
        <v>162.95088851421968</v>
      </c>
      <c r="R34" s="100">
        <v>1</v>
      </c>
      <c r="U34" s="110"/>
      <c r="V34" s="110"/>
      <c r="W34" s="109"/>
    </row>
    <row r="35" spans="1:23" x14ac:dyDescent="0.2">
      <c r="A35" s="114">
        <v>2018</v>
      </c>
      <c r="B35" s="113">
        <v>65.142027344016086</v>
      </c>
      <c r="C35" s="113">
        <v>53.589587152528289</v>
      </c>
      <c r="D35" s="113">
        <v>71.959048257994382</v>
      </c>
      <c r="E35" s="113">
        <v>50.034777042161139</v>
      </c>
      <c r="F35" s="113">
        <v>63.716644133491712</v>
      </c>
      <c r="G35" s="113">
        <v>86.295773378681972</v>
      </c>
      <c r="H35" s="113">
        <v>97.216727633306434</v>
      </c>
      <c r="I35" s="113">
        <v>73.296744755539621</v>
      </c>
      <c r="J35" s="113">
        <v>59.223199906046794</v>
      </c>
      <c r="K35" s="113" t="e">
        <v>#N/A</v>
      </c>
      <c r="L35" s="113" t="e">
        <v>#N/A</v>
      </c>
      <c r="O35" s="103">
        <v>10.08</v>
      </c>
      <c r="P35" s="102">
        <v>2010</v>
      </c>
      <c r="Q35" s="101">
        <v>382.88537147453235</v>
      </c>
      <c r="R35" s="100">
        <v>1</v>
      </c>
      <c r="U35" s="110"/>
      <c r="V35" s="110"/>
      <c r="W35" s="109"/>
    </row>
    <row r="36" spans="1:23" x14ac:dyDescent="0.2">
      <c r="A36" s="114">
        <v>2019</v>
      </c>
      <c r="B36" s="113">
        <v>55.642154005232797</v>
      </c>
      <c r="C36" s="113">
        <v>53.689009147006523</v>
      </c>
      <c r="D36" s="113">
        <v>50.3718776500979</v>
      </c>
      <c r="E36" s="113">
        <v>71.394622341299396</v>
      </c>
      <c r="F36" s="113">
        <v>49.561625875746387</v>
      </c>
      <c r="G36" s="113">
        <v>69.78876720717949</v>
      </c>
      <c r="H36" s="113">
        <v>95.052544130302607</v>
      </c>
      <c r="I36" s="113">
        <v>57.376109996225757</v>
      </c>
      <c r="J36" s="113">
        <v>51.596306464952164</v>
      </c>
      <c r="K36" s="113">
        <v>108.70110014386758</v>
      </c>
      <c r="L36" s="113">
        <v>91.838645490111958</v>
      </c>
      <c r="O36" s="103">
        <v>13.9</v>
      </c>
      <c r="P36" s="102">
        <v>2010</v>
      </c>
      <c r="Q36" s="101">
        <v>289.15504413073393</v>
      </c>
      <c r="R36" s="100">
        <v>1</v>
      </c>
      <c r="U36" s="110"/>
      <c r="V36" s="110"/>
      <c r="W36" s="109"/>
    </row>
    <row r="37" spans="1:23" x14ac:dyDescent="0.2">
      <c r="A37" s="114">
        <v>2020</v>
      </c>
      <c r="B37" s="113">
        <v>47.845113058159967</v>
      </c>
      <c r="C37" s="113">
        <v>40.809489352407674</v>
      </c>
      <c r="D37" s="113">
        <v>48.768918819117395</v>
      </c>
      <c r="E37" s="113">
        <v>59.005433994880896</v>
      </c>
      <c r="F37" s="113">
        <v>47.29466440921906</v>
      </c>
      <c r="G37" s="113">
        <v>68.057158940462855</v>
      </c>
      <c r="H37" s="113">
        <v>83.297955530056967</v>
      </c>
      <c r="I37" s="113">
        <v>44.944595328175851</v>
      </c>
      <c r="J37" s="113">
        <v>47.566750764045374</v>
      </c>
      <c r="K37" s="113"/>
      <c r="L37" s="113">
        <v>92.221100686601417</v>
      </c>
      <c r="O37" s="103">
        <v>17.600000000000001</v>
      </c>
      <c r="P37" s="102">
        <v>2011</v>
      </c>
      <c r="Q37" s="101">
        <v>197.91306584071168</v>
      </c>
      <c r="R37" s="100">
        <v>2</v>
      </c>
      <c r="U37" s="110"/>
      <c r="V37" s="110"/>
      <c r="W37" s="109"/>
    </row>
    <row r="38" spans="1:23" x14ac:dyDescent="0.2">
      <c r="A38" s="114">
        <v>2021</v>
      </c>
      <c r="B38" s="113">
        <v>41.311348628667623</v>
      </c>
      <c r="C38" s="113">
        <v>40.454415101005317</v>
      </c>
      <c r="D38" s="113" t="e">
        <v>#N/A</v>
      </c>
      <c r="E38" s="113">
        <v>46.811922646094295</v>
      </c>
      <c r="F38" s="113">
        <v>34.468906239460637</v>
      </c>
      <c r="G38" s="113">
        <v>47.734502571840338</v>
      </c>
      <c r="H38" s="113">
        <v>73.986100484423957</v>
      </c>
      <c r="I38" s="113">
        <v>37.04131157006497</v>
      </c>
      <c r="J38" s="113">
        <v>43.156788662352938</v>
      </c>
      <c r="K38" s="113"/>
      <c r="L38" s="113" t="e">
        <v>#N/A</v>
      </c>
      <c r="O38" s="103">
        <v>15</v>
      </c>
      <c r="P38" s="102">
        <v>2011</v>
      </c>
      <c r="Q38" s="101">
        <v>255.59522202209678</v>
      </c>
      <c r="R38" s="100">
        <v>2</v>
      </c>
      <c r="U38" s="110"/>
      <c r="V38" s="110"/>
      <c r="W38" s="109"/>
    </row>
    <row r="39" spans="1:23" x14ac:dyDescent="0.2">
      <c r="A39" s="112">
        <v>2022</v>
      </c>
      <c r="B39" s="111">
        <v>38.788120950915207</v>
      </c>
      <c r="C39" s="111">
        <v>31.658246941039948</v>
      </c>
      <c r="D39" s="111" t="e">
        <v>#N/A</v>
      </c>
      <c r="E39" s="111">
        <v>52.203656728519036</v>
      </c>
      <c r="F39" s="111">
        <v>33.233661322688548</v>
      </c>
      <c r="G39" s="111">
        <v>50.087959235848949</v>
      </c>
      <c r="H39" s="111">
        <v>63.386364302353122</v>
      </c>
      <c r="I39" s="111">
        <v>41.025304357456569</v>
      </c>
      <c r="J39" s="111">
        <v>37.821249806614951</v>
      </c>
      <c r="K39" s="111"/>
      <c r="L39" s="111">
        <v>48.970215599167211</v>
      </c>
      <c r="O39" s="103">
        <v>20</v>
      </c>
      <c r="P39" s="102">
        <v>2011</v>
      </c>
      <c r="Q39" s="101">
        <v>173.78556473576958</v>
      </c>
      <c r="R39" s="100">
        <v>2</v>
      </c>
      <c r="U39" s="110"/>
      <c r="V39" s="110"/>
      <c r="W39" s="109"/>
    </row>
    <row r="40" spans="1:23" x14ac:dyDescent="0.2">
      <c r="O40" s="103">
        <v>17</v>
      </c>
      <c r="P40" s="102">
        <v>2011</v>
      </c>
      <c r="Q40" s="101">
        <v>226.82979855851804</v>
      </c>
      <c r="R40" s="100">
        <v>2</v>
      </c>
    </row>
    <row r="41" spans="1:23" x14ac:dyDescent="0.2">
      <c r="O41" s="103">
        <v>16</v>
      </c>
      <c r="P41" s="102">
        <v>2011</v>
      </c>
      <c r="Q41" s="101">
        <v>197.53050324541792</v>
      </c>
      <c r="R41" s="100">
        <v>2</v>
      </c>
    </row>
    <row r="42" spans="1:23" x14ac:dyDescent="0.2">
      <c r="B42" s="109"/>
      <c r="O42" s="103">
        <v>10.4</v>
      </c>
      <c r="P42" s="102">
        <v>2011</v>
      </c>
      <c r="Q42" s="101">
        <v>176.87607795706373</v>
      </c>
      <c r="R42" s="100">
        <v>2</v>
      </c>
    </row>
    <row r="43" spans="1:23" x14ac:dyDescent="0.2">
      <c r="B43" s="109"/>
      <c r="F43" s="106"/>
      <c r="G43" s="107"/>
      <c r="O43" s="103">
        <v>6</v>
      </c>
      <c r="P43" s="102">
        <v>2011</v>
      </c>
      <c r="Q43" s="101">
        <v>254.33929662024363</v>
      </c>
      <c r="R43" s="100">
        <v>2</v>
      </c>
    </row>
    <row r="44" spans="1:23" x14ac:dyDescent="0.2">
      <c r="B44" s="102"/>
      <c r="F44" s="106"/>
      <c r="G44" s="108"/>
      <c r="H44" s="108"/>
      <c r="O44" s="103">
        <v>15</v>
      </c>
      <c r="P44" s="102">
        <v>2011</v>
      </c>
      <c r="Q44" s="101">
        <v>246.96461681451706</v>
      </c>
      <c r="R44" s="100">
        <v>2</v>
      </c>
    </row>
    <row r="45" spans="1:23" x14ac:dyDescent="0.2">
      <c r="B45" s="102"/>
      <c r="F45" s="106"/>
      <c r="G45" s="107"/>
      <c r="O45" s="103">
        <v>8.91</v>
      </c>
      <c r="P45" s="102">
        <v>2011</v>
      </c>
      <c r="Q45" s="101">
        <v>224.43178894227557</v>
      </c>
      <c r="R45" s="100">
        <v>2</v>
      </c>
    </row>
    <row r="46" spans="1:23" x14ac:dyDescent="0.2">
      <c r="B46" s="102"/>
      <c r="F46" s="106"/>
      <c r="G46" s="107"/>
      <c r="O46" s="103">
        <v>19</v>
      </c>
      <c r="P46" s="102">
        <v>2011</v>
      </c>
      <c r="Q46" s="101">
        <v>235.77893889808814</v>
      </c>
      <c r="R46" s="100">
        <v>2</v>
      </c>
    </row>
    <row r="47" spans="1:23" x14ac:dyDescent="0.2">
      <c r="B47" s="102"/>
      <c r="F47" s="106"/>
      <c r="G47" s="107"/>
      <c r="O47" s="103">
        <v>18</v>
      </c>
      <c r="P47" s="102">
        <v>2011</v>
      </c>
      <c r="Q47" s="101">
        <v>219.62588738357394</v>
      </c>
      <c r="R47" s="100">
        <v>2</v>
      </c>
    </row>
    <row r="48" spans="1:23" x14ac:dyDescent="0.2">
      <c r="B48" s="102"/>
      <c r="F48" s="106"/>
      <c r="G48" s="107"/>
      <c r="O48" s="103">
        <v>20</v>
      </c>
      <c r="P48" s="102">
        <v>2011</v>
      </c>
      <c r="Q48" s="101">
        <v>200.17870003880429</v>
      </c>
      <c r="R48" s="100">
        <v>2</v>
      </c>
    </row>
    <row r="49" spans="2:18" x14ac:dyDescent="0.2">
      <c r="B49" s="102"/>
      <c r="F49" s="106"/>
      <c r="G49" s="107"/>
      <c r="O49" s="103">
        <v>20</v>
      </c>
      <c r="P49" s="102">
        <v>2011</v>
      </c>
      <c r="Q49" s="101">
        <v>242.34533935279575</v>
      </c>
      <c r="R49" s="100">
        <v>2</v>
      </c>
    </row>
    <row r="50" spans="2:18" x14ac:dyDescent="0.2">
      <c r="B50" s="102"/>
      <c r="F50" s="106"/>
      <c r="G50" s="107"/>
      <c r="O50" s="103">
        <v>15</v>
      </c>
      <c r="P50" s="102">
        <v>2011</v>
      </c>
      <c r="Q50" s="101">
        <v>225.05247481050421</v>
      </c>
      <c r="R50" s="100">
        <v>2</v>
      </c>
    </row>
    <row r="51" spans="2:18" x14ac:dyDescent="0.2">
      <c r="B51" s="102"/>
      <c r="F51" s="106"/>
      <c r="G51" s="107"/>
      <c r="O51" s="103">
        <v>5.2</v>
      </c>
      <c r="P51" s="102">
        <v>2011</v>
      </c>
      <c r="Q51" s="101">
        <v>312.55499470174988</v>
      </c>
      <c r="R51" s="100">
        <v>2</v>
      </c>
    </row>
    <row r="52" spans="2:18" x14ac:dyDescent="0.2">
      <c r="B52" s="102"/>
      <c r="F52" s="106"/>
      <c r="G52" s="107"/>
      <c r="O52" s="103">
        <v>30.4</v>
      </c>
      <c r="P52" s="102">
        <v>2011</v>
      </c>
      <c r="Q52" s="101">
        <v>180.6096492300978</v>
      </c>
      <c r="R52" s="100">
        <v>2</v>
      </c>
    </row>
    <row r="53" spans="2:18" x14ac:dyDescent="0.2">
      <c r="B53" s="102"/>
      <c r="F53" s="106"/>
      <c r="G53" s="105"/>
      <c r="O53" s="103">
        <v>10</v>
      </c>
      <c r="P53" s="102">
        <v>2011</v>
      </c>
      <c r="Q53" s="101">
        <v>279.36675558563536</v>
      </c>
      <c r="R53" s="100">
        <v>2</v>
      </c>
    </row>
    <row r="54" spans="2:18" x14ac:dyDescent="0.2">
      <c r="B54" s="102"/>
      <c r="F54" s="106"/>
      <c r="G54" s="105"/>
      <c r="O54" s="103">
        <v>5.5</v>
      </c>
      <c r="P54" s="102">
        <v>2011</v>
      </c>
      <c r="Q54" s="101">
        <v>256.26435409968627</v>
      </c>
      <c r="R54" s="100">
        <v>2</v>
      </c>
    </row>
    <row r="55" spans="2:18" x14ac:dyDescent="0.2">
      <c r="F55" s="106"/>
      <c r="G55" s="105"/>
      <c r="O55" s="103">
        <v>8</v>
      </c>
      <c r="P55" s="102">
        <v>2011</v>
      </c>
      <c r="Q55" s="101">
        <v>286.17455977044443</v>
      </c>
      <c r="R55" s="100">
        <v>2</v>
      </c>
    </row>
    <row r="56" spans="2:18" x14ac:dyDescent="0.2">
      <c r="F56" s="106"/>
      <c r="G56" s="105"/>
      <c r="O56" s="103">
        <v>12</v>
      </c>
      <c r="P56" s="102">
        <v>2011</v>
      </c>
      <c r="Q56" s="101">
        <v>357.62763447903541</v>
      </c>
      <c r="R56" s="100">
        <v>2</v>
      </c>
    </row>
    <row r="57" spans="2:18" x14ac:dyDescent="0.2">
      <c r="O57" s="103">
        <v>10</v>
      </c>
      <c r="P57" s="102">
        <v>2011</v>
      </c>
      <c r="Q57" s="101">
        <v>331.82675349275274</v>
      </c>
      <c r="R57" s="100">
        <v>2</v>
      </c>
    </row>
    <row r="58" spans="2:18" x14ac:dyDescent="0.2">
      <c r="C58" s="102"/>
      <c r="D58" s="102"/>
      <c r="E58" s="102"/>
      <c r="F58" s="102"/>
      <c r="G58" s="102"/>
      <c r="H58" s="102"/>
      <c r="I58" s="102"/>
      <c r="J58" s="102"/>
      <c r="K58" s="102"/>
      <c r="L58" s="102"/>
      <c r="O58" s="103">
        <v>18</v>
      </c>
      <c r="P58" s="102">
        <v>2011</v>
      </c>
      <c r="Q58" s="101">
        <v>314.54565173532563</v>
      </c>
      <c r="R58" s="100">
        <v>2</v>
      </c>
    </row>
    <row r="59" spans="2:18" x14ac:dyDescent="0.2">
      <c r="C59" s="104"/>
      <c r="D59" s="104"/>
      <c r="E59" s="104"/>
      <c r="F59" s="104"/>
      <c r="G59" s="104"/>
      <c r="H59" s="104"/>
      <c r="I59" s="104"/>
      <c r="J59" s="104"/>
      <c r="K59" s="104"/>
      <c r="L59" s="104"/>
      <c r="O59" s="103">
        <v>9</v>
      </c>
      <c r="P59" s="102">
        <v>2011</v>
      </c>
      <c r="Q59" s="101">
        <v>156.67394560330573</v>
      </c>
      <c r="R59" s="100">
        <v>2</v>
      </c>
    </row>
    <row r="60" spans="2:18" x14ac:dyDescent="0.2">
      <c r="C60" s="104"/>
      <c r="D60" s="104"/>
      <c r="E60" s="104"/>
      <c r="F60" s="104"/>
      <c r="G60" s="104"/>
      <c r="H60" s="104"/>
      <c r="I60" s="104"/>
      <c r="J60" s="104"/>
      <c r="K60" s="104"/>
      <c r="L60" s="104"/>
      <c r="O60" s="103">
        <v>7</v>
      </c>
      <c r="P60" s="102">
        <v>2011</v>
      </c>
      <c r="Q60" s="101">
        <v>177.66346273516808</v>
      </c>
      <c r="R60" s="100">
        <v>2</v>
      </c>
    </row>
    <row r="61" spans="2:18" x14ac:dyDescent="0.2">
      <c r="C61" s="104"/>
      <c r="D61" s="104"/>
      <c r="E61" s="104"/>
      <c r="F61" s="104"/>
      <c r="G61" s="104"/>
      <c r="H61" s="104"/>
      <c r="I61" s="104"/>
      <c r="J61" s="104"/>
      <c r="K61" s="104"/>
      <c r="L61" s="104"/>
      <c r="O61" s="103">
        <v>20.16</v>
      </c>
      <c r="P61" s="102">
        <v>2011</v>
      </c>
      <c r="Q61" s="101">
        <v>158.54799133359674</v>
      </c>
      <c r="R61" s="100">
        <v>2</v>
      </c>
    </row>
    <row r="62" spans="2:18" x14ac:dyDescent="0.2">
      <c r="C62" s="104"/>
      <c r="D62" s="104"/>
      <c r="E62" s="104"/>
      <c r="F62" s="104"/>
      <c r="G62" s="104"/>
      <c r="H62" s="104"/>
      <c r="I62" s="104"/>
      <c r="J62" s="104"/>
      <c r="K62" s="104"/>
      <c r="L62" s="104"/>
      <c r="O62" s="103">
        <v>31.5</v>
      </c>
      <c r="P62" s="102">
        <v>2011</v>
      </c>
      <c r="Q62" s="101">
        <v>317.89021045103294</v>
      </c>
      <c r="R62" s="100">
        <v>2</v>
      </c>
    </row>
    <row r="63" spans="2:18" x14ac:dyDescent="0.2">
      <c r="C63" s="104"/>
      <c r="D63" s="104"/>
      <c r="E63" s="104"/>
      <c r="F63" s="104"/>
      <c r="G63" s="104"/>
      <c r="H63" s="104"/>
      <c r="I63" s="104"/>
      <c r="J63" s="104"/>
      <c r="K63" s="104"/>
      <c r="L63" s="104"/>
      <c r="O63" s="103">
        <v>8.08</v>
      </c>
      <c r="P63" s="102">
        <v>2011</v>
      </c>
      <c r="Q63" s="101">
        <v>220.72503265703023</v>
      </c>
      <c r="R63" s="100">
        <v>2</v>
      </c>
    </row>
    <row r="64" spans="2:18" x14ac:dyDescent="0.2">
      <c r="C64" s="104"/>
      <c r="D64" s="104"/>
      <c r="E64" s="104"/>
      <c r="F64" s="104"/>
      <c r="G64" s="104"/>
      <c r="H64" s="104"/>
      <c r="I64" s="104"/>
      <c r="J64" s="104"/>
      <c r="K64" s="104"/>
      <c r="L64" s="104"/>
      <c r="O64" s="103">
        <v>30</v>
      </c>
      <c r="P64" s="102">
        <v>2011</v>
      </c>
      <c r="Q64" s="101">
        <v>218.22065910595504</v>
      </c>
      <c r="R64" s="100">
        <v>2</v>
      </c>
    </row>
    <row r="65" spans="3:18" x14ac:dyDescent="0.2">
      <c r="C65" s="104"/>
      <c r="D65" s="104"/>
      <c r="E65" s="104"/>
      <c r="F65" s="104"/>
      <c r="G65" s="104"/>
      <c r="H65" s="104"/>
      <c r="I65" s="104"/>
      <c r="J65" s="104"/>
      <c r="K65" s="104"/>
      <c r="L65" s="104"/>
      <c r="O65" s="103">
        <v>5.0999999999999996</v>
      </c>
      <c r="P65" s="102">
        <v>2012</v>
      </c>
      <c r="Q65" s="101">
        <v>118.77140873079193</v>
      </c>
      <c r="R65" s="100">
        <v>3</v>
      </c>
    </row>
    <row r="66" spans="3:18" x14ac:dyDescent="0.2">
      <c r="C66" s="104"/>
      <c r="D66" s="104"/>
      <c r="E66" s="104"/>
      <c r="F66" s="104"/>
      <c r="G66" s="104"/>
      <c r="H66" s="104"/>
      <c r="I66" s="104"/>
      <c r="J66" s="104"/>
      <c r="K66" s="104"/>
      <c r="L66" s="104"/>
      <c r="O66" s="103">
        <v>9</v>
      </c>
      <c r="P66" s="102">
        <v>2012</v>
      </c>
      <c r="Q66" s="101">
        <v>164.37200239075008</v>
      </c>
      <c r="R66" s="100">
        <v>3</v>
      </c>
    </row>
    <row r="67" spans="3:18" x14ac:dyDescent="0.2">
      <c r="C67" s="104"/>
      <c r="D67" s="104"/>
      <c r="E67" s="104"/>
      <c r="F67" s="104"/>
      <c r="G67" s="104"/>
      <c r="H67" s="104"/>
      <c r="I67" s="104"/>
      <c r="J67" s="104"/>
      <c r="K67" s="104"/>
      <c r="L67" s="104"/>
      <c r="O67" s="103">
        <v>19</v>
      </c>
      <c r="P67" s="102">
        <v>2012</v>
      </c>
      <c r="Q67" s="101">
        <v>194.27680445688065</v>
      </c>
      <c r="R67" s="100">
        <v>3</v>
      </c>
    </row>
    <row r="68" spans="3:18" x14ac:dyDescent="0.2">
      <c r="C68" s="104"/>
      <c r="D68" s="104"/>
      <c r="E68" s="104"/>
      <c r="F68" s="104"/>
      <c r="G68" s="104"/>
      <c r="H68" s="104"/>
      <c r="I68" s="104"/>
      <c r="J68" s="104"/>
      <c r="K68" s="104"/>
      <c r="L68" s="104"/>
      <c r="O68" s="103">
        <v>20</v>
      </c>
      <c r="P68" s="102">
        <v>2012</v>
      </c>
      <c r="Q68" s="101">
        <v>150.58330741789493</v>
      </c>
      <c r="R68" s="100">
        <v>3</v>
      </c>
    </row>
    <row r="69" spans="3:18" x14ac:dyDescent="0.2">
      <c r="C69" s="104"/>
      <c r="D69" s="104"/>
      <c r="E69" s="104"/>
      <c r="F69" s="104"/>
      <c r="G69" s="104"/>
      <c r="H69" s="104"/>
      <c r="I69" s="104"/>
      <c r="J69" s="104"/>
      <c r="K69" s="104"/>
      <c r="L69" s="104"/>
      <c r="O69" s="103">
        <v>170</v>
      </c>
      <c r="P69" s="102">
        <v>2012</v>
      </c>
      <c r="Q69" s="101">
        <v>124.42627463098869</v>
      </c>
      <c r="R69" s="100">
        <v>3</v>
      </c>
    </row>
    <row r="70" spans="3:18" x14ac:dyDescent="0.2">
      <c r="O70" s="103">
        <v>26.46</v>
      </c>
      <c r="P70" s="102">
        <v>2012</v>
      </c>
      <c r="Q70" s="101">
        <v>159.36740795934551</v>
      </c>
      <c r="R70" s="100">
        <v>3</v>
      </c>
    </row>
    <row r="71" spans="3:18" x14ac:dyDescent="0.2">
      <c r="O71" s="103">
        <v>19</v>
      </c>
      <c r="P71" s="102">
        <v>2012</v>
      </c>
      <c r="Q71" s="101">
        <v>166.43764596367069</v>
      </c>
      <c r="R71" s="100">
        <v>3</v>
      </c>
    </row>
    <row r="72" spans="3:18" x14ac:dyDescent="0.2">
      <c r="O72" s="103">
        <v>50</v>
      </c>
      <c r="P72" s="102">
        <v>2012</v>
      </c>
      <c r="Q72" s="101">
        <v>160.47015840052919</v>
      </c>
      <c r="R72" s="100">
        <v>3</v>
      </c>
    </row>
    <row r="73" spans="3:18" x14ac:dyDescent="0.2">
      <c r="O73" s="103">
        <v>20</v>
      </c>
      <c r="P73" s="102">
        <v>2012</v>
      </c>
      <c r="Q73" s="101">
        <v>160.93290299214937</v>
      </c>
      <c r="R73" s="100">
        <v>3</v>
      </c>
    </row>
    <row r="74" spans="3:18" x14ac:dyDescent="0.2">
      <c r="O74" s="103">
        <v>20</v>
      </c>
      <c r="P74" s="102">
        <v>2012</v>
      </c>
      <c r="Q74" s="101">
        <v>155.06407573972771</v>
      </c>
      <c r="R74" s="100">
        <v>3</v>
      </c>
    </row>
    <row r="75" spans="3:18" x14ac:dyDescent="0.2">
      <c r="O75" s="103">
        <v>10</v>
      </c>
      <c r="P75" s="102">
        <v>2012</v>
      </c>
      <c r="Q75" s="101">
        <v>190.09045808746205</v>
      </c>
      <c r="R75" s="100">
        <v>3</v>
      </c>
    </row>
    <row r="76" spans="3:18" x14ac:dyDescent="0.2">
      <c r="O76" s="103">
        <v>20</v>
      </c>
      <c r="P76" s="102">
        <v>2012</v>
      </c>
      <c r="Q76" s="101">
        <v>190.38529967203803</v>
      </c>
      <c r="R76" s="100">
        <v>3</v>
      </c>
    </row>
    <row r="77" spans="3:18" x14ac:dyDescent="0.2">
      <c r="O77" s="103">
        <v>23</v>
      </c>
      <c r="P77" s="102">
        <v>2012</v>
      </c>
      <c r="Q77" s="101">
        <v>213.06889983021281</v>
      </c>
      <c r="R77" s="100">
        <v>3</v>
      </c>
    </row>
    <row r="78" spans="3:18" x14ac:dyDescent="0.2">
      <c r="O78" s="103">
        <v>10</v>
      </c>
      <c r="P78" s="102">
        <v>2012</v>
      </c>
      <c r="Q78" s="101">
        <v>354.52091845240176</v>
      </c>
      <c r="R78" s="100">
        <v>3</v>
      </c>
    </row>
    <row r="79" spans="3:18" x14ac:dyDescent="0.2">
      <c r="O79" s="103">
        <v>25.8</v>
      </c>
      <c r="P79" s="102">
        <v>2012</v>
      </c>
      <c r="Q79" s="101">
        <v>179.32483651436112</v>
      </c>
      <c r="R79" s="100">
        <v>3</v>
      </c>
    </row>
    <row r="80" spans="3:18" x14ac:dyDescent="0.2">
      <c r="O80" s="103">
        <v>30</v>
      </c>
      <c r="P80" s="102">
        <v>2012</v>
      </c>
      <c r="Q80" s="101">
        <v>174.15677557871538</v>
      </c>
      <c r="R80" s="100">
        <v>3</v>
      </c>
    </row>
    <row r="81" spans="15:18" x14ac:dyDescent="0.2">
      <c r="O81" s="103">
        <v>11.12</v>
      </c>
      <c r="P81" s="102">
        <v>2012</v>
      </c>
      <c r="Q81" s="101">
        <v>184.42768822686193</v>
      </c>
      <c r="R81" s="100">
        <v>3</v>
      </c>
    </row>
    <row r="82" spans="15:18" x14ac:dyDescent="0.2">
      <c r="O82" s="103">
        <v>14.85</v>
      </c>
      <c r="P82" s="102">
        <v>2012</v>
      </c>
      <c r="Q82" s="101">
        <v>199.31132933758585</v>
      </c>
      <c r="R82" s="100">
        <v>3</v>
      </c>
    </row>
    <row r="83" spans="15:18" x14ac:dyDescent="0.2">
      <c r="O83" s="103">
        <v>14.85</v>
      </c>
      <c r="P83" s="102">
        <v>2012</v>
      </c>
      <c r="Q83" s="101">
        <v>194.41699130688309</v>
      </c>
      <c r="R83" s="100">
        <v>3</v>
      </c>
    </row>
    <row r="84" spans="15:18" x14ac:dyDescent="0.2">
      <c r="O84" s="103">
        <v>12</v>
      </c>
      <c r="P84" s="102">
        <v>2012</v>
      </c>
      <c r="Q84" s="101">
        <v>246.09563423294804</v>
      </c>
      <c r="R84" s="100">
        <v>3</v>
      </c>
    </row>
    <row r="85" spans="15:18" x14ac:dyDescent="0.2">
      <c r="O85" s="103">
        <v>20</v>
      </c>
      <c r="P85" s="102">
        <v>2012</v>
      </c>
      <c r="Q85" s="101">
        <v>242.10339872422239</v>
      </c>
      <c r="R85" s="100">
        <v>3</v>
      </c>
    </row>
    <row r="86" spans="15:18" x14ac:dyDescent="0.2">
      <c r="O86" s="103">
        <v>5.5</v>
      </c>
      <c r="P86" s="102">
        <v>2012</v>
      </c>
      <c r="Q86" s="101">
        <v>247.43148070757877</v>
      </c>
      <c r="R86" s="100">
        <v>3</v>
      </c>
    </row>
    <row r="87" spans="15:18" x14ac:dyDescent="0.2">
      <c r="O87" s="103">
        <v>20</v>
      </c>
      <c r="P87" s="102">
        <v>2012</v>
      </c>
      <c r="Q87" s="101">
        <v>230.14836370161527</v>
      </c>
      <c r="R87" s="100">
        <v>3</v>
      </c>
    </row>
    <row r="88" spans="15:18" x14ac:dyDescent="0.2">
      <c r="O88" s="103">
        <v>13</v>
      </c>
      <c r="P88" s="102">
        <v>2012</v>
      </c>
      <c r="Q88" s="101">
        <v>304.2765259966485</v>
      </c>
      <c r="R88" s="100">
        <v>3</v>
      </c>
    </row>
    <row r="89" spans="15:18" x14ac:dyDescent="0.2">
      <c r="O89" s="103">
        <v>20</v>
      </c>
      <c r="P89" s="102">
        <v>2012</v>
      </c>
      <c r="Q89" s="101">
        <v>220.43699204403552</v>
      </c>
      <c r="R89" s="100">
        <v>3</v>
      </c>
    </row>
    <row r="90" spans="15:18" x14ac:dyDescent="0.2">
      <c r="O90" s="103">
        <v>12.5</v>
      </c>
      <c r="P90" s="102">
        <v>2012</v>
      </c>
      <c r="Q90" s="101">
        <v>188.58731310337166</v>
      </c>
      <c r="R90" s="100">
        <v>3</v>
      </c>
    </row>
    <row r="91" spans="15:18" x14ac:dyDescent="0.2">
      <c r="O91" s="103">
        <v>5.5</v>
      </c>
      <c r="P91" s="102">
        <v>2012</v>
      </c>
      <c r="Q91" s="101">
        <v>317.70911761800835</v>
      </c>
      <c r="R91" s="100">
        <v>3</v>
      </c>
    </row>
    <row r="92" spans="15:18" x14ac:dyDescent="0.2">
      <c r="O92" s="103">
        <v>5.5</v>
      </c>
      <c r="P92" s="102">
        <v>2012</v>
      </c>
      <c r="Q92" s="101">
        <v>198.99525993719928</v>
      </c>
      <c r="R92" s="100">
        <v>3</v>
      </c>
    </row>
    <row r="93" spans="15:18" x14ac:dyDescent="0.2">
      <c r="O93" s="103">
        <v>15.904</v>
      </c>
      <c r="P93" s="102">
        <v>2012</v>
      </c>
      <c r="Q93" s="101">
        <v>292.54157930052349</v>
      </c>
      <c r="R93" s="100">
        <v>3</v>
      </c>
    </row>
    <row r="94" spans="15:18" x14ac:dyDescent="0.2">
      <c r="O94" s="103">
        <v>12</v>
      </c>
      <c r="P94" s="102">
        <v>2012</v>
      </c>
      <c r="Q94" s="101">
        <v>170.05614318017979</v>
      </c>
      <c r="R94" s="100">
        <v>3</v>
      </c>
    </row>
    <row r="95" spans="15:18" x14ac:dyDescent="0.2">
      <c r="O95" s="103">
        <v>20</v>
      </c>
      <c r="P95" s="102">
        <v>2012</v>
      </c>
      <c r="Q95" s="101">
        <v>197.85462477938469</v>
      </c>
      <c r="R95" s="100">
        <v>3</v>
      </c>
    </row>
    <row r="96" spans="15:18" x14ac:dyDescent="0.2">
      <c r="O96" s="103">
        <v>92</v>
      </c>
      <c r="P96" s="102">
        <v>2012</v>
      </c>
      <c r="Q96" s="101">
        <v>76.356428679250271</v>
      </c>
      <c r="R96" s="100">
        <v>3</v>
      </c>
    </row>
    <row r="97" spans="15:18" x14ac:dyDescent="0.2">
      <c r="O97" s="103">
        <v>52</v>
      </c>
      <c r="P97" s="102">
        <v>2012</v>
      </c>
      <c r="Q97" s="101">
        <v>163.00971444265141</v>
      </c>
      <c r="R97" s="100">
        <v>3</v>
      </c>
    </row>
    <row r="98" spans="15:18" x14ac:dyDescent="0.2">
      <c r="O98" s="103">
        <v>21.8</v>
      </c>
      <c r="P98" s="102">
        <v>2012</v>
      </c>
      <c r="Q98" s="101">
        <v>189.88950440627789</v>
      </c>
      <c r="R98" s="100">
        <v>3</v>
      </c>
    </row>
    <row r="99" spans="15:18" x14ac:dyDescent="0.2">
      <c r="O99" s="103">
        <v>10</v>
      </c>
      <c r="P99" s="102">
        <v>2012</v>
      </c>
      <c r="Q99" s="101">
        <v>330.59876600116178</v>
      </c>
      <c r="R99" s="100">
        <v>3</v>
      </c>
    </row>
    <row r="100" spans="15:18" x14ac:dyDescent="0.2">
      <c r="O100" s="103">
        <v>7.6</v>
      </c>
      <c r="P100" s="102">
        <v>2012</v>
      </c>
      <c r="Q100" s="101">
        <v>224.55119946500665</v>
      </c>
      <c r="R100" s="100">
        <v>3</v>
      </c>
    </row>
    <row r="101" spans="15:18" x14ac:dyDescent="0.2">
      <c r="O101" s="103">
        <v>9.9</v>
      </c>
      <c r="P101" s="102">
        <v>2012</v>
      </c>
      <c r="Q101" s="101">
        <v>263.91629570200536</v>
      </c>
      <c r="R101" s="100">
        <v>3</v>
      </c>
    </row>
    <row r="102" spans="15:18" x14ac:dyDescent="0.2">
      <c r="O102" s="103">
        <v>9.9</v>
      </c>
      <c r="P102" s="102">
        <v>2012</v>
      </c>
      <c r="Q102" s="101">
        <v>278.02999163519161</v>
      </c>
      <c r="R102" s="100">
        <v>3</v>
      </c>
    </row>
    <row r="103" spans="15:18" x14ac:dyDescent="0.2">
      <c r="O103" s="103">
        <v>10.6</v>
      </c>
      <c r="P103" s="102">
        <v>2012</v>
      </c>
      <c r="Q103" s="101">
        <v>269.47397141865548</v>
      </c>
      <c r="R103" s="100">
        <v>3</v>
      </c>
    </row>
    <row r="104" spans="15:18" x14ac:dyDescent="0.2">
      <c r="O104" s="103">
        <v>37.44</v>
      </c>
      <c r="P104" s="102">
        <v>2013</v>
      </c>
      <c r="Q104" s="101">
        <v>138.13125472496944</v>
      </c>
      <c r="R104" s="100">
        <v>4</v>
      </c>
    </row>
    <row r="105" spans="15:18" x14ac:dyDescent="0.2">
      <c r="O105" s="103">
        <v>129</v>
      </c>
      <c r="P105" s="102">
        <v>2013</v>
      </c>
      <c r="Q105" s="101">
        <v>148.20554586246547</v>
      </c>
      <c r="R105" s="100">
        <v>4</v>
      </c>
    </row>
    <row r="106" spans="15:18" x14ac:dyDescent="0.2">
      <c r="O106" s="103">
        <v>15</v>
      </c>
      <c r="P106" s="102">
        <v>2013</v>
      </c>
      <c r="Q106" s="101">
        <v>124.27683137331104</v>
      </c>
      <c r="R106" s="100">
        <v>4</v>
      </c>
    </row>
    <row r="107" spans="15:18" x14ac:dyDescent="0.2">
      <c r="O107" s="103">
        <v>14</v>
      </c>
      <c r="P107" s="102">
        <v>2013</v>
      </c>
      <c r="Q107" s="101">
        <v>163.81012295868103</v>
      </c>
      <c r="R107" s="100">
        <v>4</v>
      </c>
    </row>
    <row r="108" spans="15:18" x14ac:dyDescent="0.2">
      <c r="O108" s="103">
        <v>14.8</v>
      </c>
      <c r="P108" s="102">
        <v>2013</v>
      </c>
      <c r="Q108" s="101">
        <v>122.05729741074018</v>
      </c>
      <c r="R108" s="100">
        <v>4</v>
      </c>
    </row>
    <row r="109" spans="15:18" x14ac:dyDescent="0.2">
      <c r="O109" s="103">
        <v>9</v>
      </c>
      <c r="P109" s="102">
        <v>2013</v>
      </c>
      <c r="Q109" s="101">
        <v>90.558292000010212</v>
      </c>
      <c r="R109" s="100">
        <v>4</v>
      </c>
    </row>
    <row r="110" spans="15:18" x14ac:dyDescent="0.2">
      <c r="O110" s="103">
        <v>130</v>
      </c>
      <c r="P110" s="102">
        <v>2013</v>
      </c>
      <c r="Q110" s="101">
        <v>170.26385665173265</v>
      </c>
      <c r="R110" s="100">
        <v>4</v>
      </c>
    </row>
    <row r="111" spans="15:18" x14ac:dyDescent="0.2">
      <c r="O111" s="103">
        <v>66</v>
      </c>
      <c r="P111" s="102">
        <v>2013</v>
      </c>
      <c r="Q111" s="101">
        <v>159.41624965709283</v>
      </c>
      <c r="R111" s="100">
        <v>4</v>
      </c>
    </row>
    <row r="112" spans="15:18" x14ac:dyDescent="0.2">
      <c r="O112" s="103">
        <v>20.2</v>
      </c>
      <c r="P112" s="102">
        <v>2013</v>
      </c>
      <c r="Q112" s="101">
        <v>206.95861957337891</v>
      </c>
      <c r="R112" s="100">
        <v>4</v>
      </c>
    </row>
    <row r="113" spans="15:18" x14ac:dyDescent="0.2">
      <c r="O113" s="103">
        <v>26</v>
      </c>
      <c r="P113" s="102">
        <v>2013</v>
      </c>
      <c r="Q113" s="101">
        <v>144.39299212259721</v>
      </c>
      <c r="R113" s="100">
        <v>4</v>
      </c>
    </row>
    <row r="114" spans="15:18" x14ac:dyDescent="0.2">
      <c r="O114" s="103">
        <v>250</v>
      </c>
      <c r="P114" s="102">
        <v>2013</v>
      </c>
      <c r="Q114" s="101">
        <v>146.45599088775128</v>
      </c>
      <c r="R114" s="100">
        <v>4</v>
      </c>
    </row>
    <row r="115" spans="15:18" x14ac:dyDescent="0.2">
      <c r="O115" s="103">
        <v>147.4</v>
      </c>
      <c r="P115" s="102">
        <v>2013</v>
      </c>
      <c r="Q115" s="101">
        <v>131.18129316202385</v>
      </c>
      <c r="R115" s="100">
        <v>4</v>
      </c>
    </row>
    <row r="116" spans="15:18" x14ac:dyDescent="0.2">
      <c r="O116" s="103">
        <v>110</v>
      </c>
      <c r="P116" s="102">
        <v>2013</v>
      </c>
      <c r="Q116" s="101">
        <v>120.83363685338207</v>
      </c>
      <c r="R116" s="100">
        <v>4</v>
      </c>
    </row>
    <row r="117" spans="15:18" x14ac:dyDescent="0.2">
      <c r="O117" s="103">
        <v>20</v>
      </c>
      <c r="P117" s="102">
        <v>2013</v>
      </c>
      <c r="Q117" s="101">
        <v>131.27836640878562</v>
      </c>
      <c r="R117" s="100">
        <v>4</v>
      </c>
    </row>
    <row r="118" spans="15:18" x14ac:dyDescent="0.2">
      <c r="O118" s="103">
        <v>20</v>
      </c>
      <c r="P118" s="102">
        <v>2013</v>
      </c>
      <c r="Q118" s="101">
        <v>210.35247641208264</v>
      </c>
      <c r="R118" s="100">
        <v>4</v>
      </c>
    </row>
    <row r="119" spans="15:18" x14ac:dyDescent="0.2">
      <c r="O119" s="103">
        <v>20</v>
      </c>
      <c r="P119" s="102">
        <v>2013</v>
      </c>
      <c r="Q119" s="101">
        <v>214.61295846420694</v>
      </c>
      <c r="R119" s="100">
        <v>4</v>
      </c>
    </row>
    <row r="120" spans="15:18" x14ac:dyDescent="0.2">
      <c r="O120" s="103">
        <v>12</v>
      </c>
      <c r="P120" s="102">
        <v>2013</v>
      </c>
      <c r="Q120" s="101">
        <v>111.30776880096603</v>
      </c>
      <c r="R120" s="100">
        <v>4</v>
      </c>
    </row>
    <row r="121" spans="15:18" x14ac:dyDescent="0.2">
      <c r="O121" s="103">
        <v>8.5</v>
      </c>
      <c r="P121" s="102">
        <v>2013</v>
      </c>
      <c r="Q121" s="101">
        <v>121.96385547904332</v>
      </c>
      <c r="R121" s="100">
        <v>4</v>
      </c>
    </row>
    <row r="122" spans="15:18" x14ac:dyDescent="0.2">
      <c r="O122" s="103">
        <v>8.5</v>
      </c>
      <c r="P122" s="102">
        <v>2013</v>
      </c>
      <c r="Q122" s="101">
        <v>484.00750694970219</v>
      </c>
      <c r="R122" s="100">
        <v>4</v>
      </c>
    </row>
    <row r="123" spans="15:18" x14ac:dyDescent="0.2">
      <c r="O123" s="103">
        <v>20</v>
      </c>
      <c r="P123" s="102">
        <v>2013</v>
      </c>
      <c r="Q123" s="101">
        <v>142.58893963567812</v>
      </c>
      <c r="R123" s="100">
        <v>4</v>
      </c>
    </row>
    <row r="124" spans="15:18" x14ac:dyDescent="0.2">
      <c r="O124" s="103">
        <v>20</v>
      </c>
      <c r="P124" s="102">
        <v>2013</v>
      </c>
      <c r="Q124" s="101">
        <v>126.01860671820845</v>
      </c>
      <c r="R124" s="100">
        <v>4</v>
      </c>
    </row>
    <row r="125" spans="15:18" x14ac:dyDescent="0.2">
      <c r="O125" s="103">
        <v>20</v>
      </c>
      <c r="P125" s="102">
        <v>2013</v>
      </c>
      <c r="Q125" s="101">
        <v>135.08580291417775</v>
      </c>
      <c r="R125" s="100">
        <v>4</v>
      </c>
    </row>
    <row r="126" spans="15:18" x14ac:dyDescent="0.2">
      <c r="O126" s="103">
        <v>10</v>
      </c>
      <c r="P126" s="102">
        <v>2013</v>
      </c>
      <c r="Q126" s="101">
        <v>175.51652637628112</v>
      </c>
      <c r="R126" s="100">
        <v>4</v>
      </c>
    </row>
    <row r="127" spans="15:18" x14ac:dyDescent="0.2">
      <c r="O127" s="103">
        <v>20</v>
      </c>
      <c r="P127" s="102">
        <v>2013</v>
      </c>
      <c r="Q127" s="101">
        <v>133.00741724356334</v>
      </c>
      <c r="R127" s="100">
        <v>4</v>
      </c>
    </row>
    <row r="128" spans="15:18" x14ac:dyDescent="0.2">
      <c r="O128" s="103">
        <v>7.65</v>
      </c>
      <c r="P128" s="102">
        <v>2013</v>
      </c>
      <c r="Q128" s="101">
        <v>205.97214149543854</v>
      </c>
      <c r="R128" s="100">
        <v>4</v>
      </c>
    </row>
    <row r="129" spans="15:18" x14ac:dyDescent="0.2">
      <c r="O129" s="103">
        <v>16</v>
      </c>
      <c r="P129" s="102">
        <v>2013</v>
      </c>
      <c r="Q129" s="101">
        <v>170.62364753833293</v>
      </c>
      <c r="R129" s="100">
        <v>4</v>
      </c>
    </row>
    <row r="130" spans="15:18" x14ac:dyDescent="0.2">
      <c r="O130" s="103">
        <v>10</v>
      </c>
      <c r="P130" s="102">
        <v>2013</v>
      </c>
      <c r="Q130" s="101">
        <v>228.2439606138791</v>
      </c>
      <c r="R130" s="100">
        <v>4</v>
      </c>
    </row>
    <row r="131" spans="15:18" x14ac:dyDescent="0.2">
      <c r="O131" s="103">
        <v>10.1</v>
      </c>
      <c r="P131" s="102">
        <v>2013</v>
      </c>
      <c r="Q131" s="101">
        <v>184.42236772416479</v>
      </c>
      <c r="R131" s="100">
        <v>4</v>
      </c>
    </row>
    <row r="132" spans="15:18" x14ac:dyDescent="0.2">
      <c r="O132" s="103">
        <v>10.1</v>
      </c>
      <c r="P132" s="102">
        <v>2013</v>
      </c>
      <c r="Q132" s="101">
        <v>186.10051776283186</v>
      </c>
      <c r="R132" s="100">
        <v>4</v>
      </c>
    </row>
    <row r="133" spans="15:18" x14ac:dyDescent="0.2">
      <c r="O133" s="103">
        <v>8.6</v>
      </c>
      <c r="P133" s="102">
        <v>2013</v>
      </c>
      <c r="Q133" s="101">
        <v>199.88862069690984</v>
      </c>
      <c r="R133" s="100">
        <v>4</v>
      </c>
    </row>
    <row r="134" spans="15:18" x14ac:dyDescent="0.2">
      <c r="O134" s="103">
        <v>20</v>
      </c>
      <c r="P134" s="102">
        <v>2013</v>
      </c>
      <c r="Q134" s="101">
        <v>204.80071456007599</v>
      </c>
      <c r="R134" s="100">
        <v>4</v>
      </c>
    </row>
    <row r="135" spans="15:18" x14ac:dyDescent="0.2">
      <c r="O135" s="103">
        <v>9.8000000000000007</v>
      </c>
      <c r="P135" s="102">
        <v>2013</v>
      </c>
      <c r="Q135" s="101">
        <v>236.18083439496957</v>
      </c>
      <c r="R135" s="100">
        <v>4</v>
      </c>
    </row>
    <row r="136" spans="15:18" x14ac:dyDescent="0.2">
      <c r="O136" s="103">
        <v>7.5</v>
      </c>
      <c r="P136" s="102">
        <v>2013</v>
      </c>
      <c r="Q136" s="101">
        <v>373.74969950026986</v>
      </c>
      <c r="R136" s="100">
        <v>4</v>
      </c>
    </row>
    <row r="137" spans="15:18" x14ac:dyDescent="0.2">
      <c r="O137" s="103">
        <v>8</v>
      </c>
      <c r="P137" s="102">
        <v>2013</v>
      </c>
      <c r="Q137" s="101">
        <v>112.32063152214764</v>
      </c>
      <c r="R137" s="100">
        <v>4</v>
      </c>
    </row>
    <row r="138" spans="15:18" x14ac:dyDescent="0.2">
      <c r="O138" s="103">
        <v>7.5</v>
      </c>
      <c r="P138" s="102">
        <v>2013</v>
      </c>
      <c r="Q138" s="101">
        <v>102.47870423753012</v>
      </c>
      <c r="R138" s="100">
        <v>4</v>
      </c>
    </row>
    <row r="139" spans="15:18" x14ac:dyDescent="0.2">
      <c r="O139" s="103">
        <v>30</v>
      </c>
      <c r="P139" s="102">
        <v>2013</v>
      </c>
      <c r="Q139" s="101">
        <v>129.26275421608858</v>
      </c>
      <c r="R139" s="100">
        <v>4</v>
      </c>
    </row>
    <row r="140" spans="15:18" x14ac:dyDescent="0.2">
      <c r="O140" s="103">
        <v>9.9990000000000006</v>
      </c>
      <c r="P140" s="102">
        <v>2013</v>
      </c>
      <c r="Q140" s="101">
        <v>159.43073434154647</v>
      </c>
      <c r="R140" s="100">
        <v>4</v>
      </c>
    </row>
    <row r="141" spans="15:18" x14ac:dyDescent="0.2">
      <c r="O141" s="103">
        <v>40.700000000000003</v>
      </c>
      <c r="P141" s="102">
        <v>2013</v>
      </c>
      <c r="Q141" s="101">
        <v>417.76638449215108</v>
      </c>
      <c r="R141" s="100">
        <v>4</v>
      </c>
    </row>
    <row r="142" spans="15:18" x14ac:dyDescent="0.2">
      <c r="O142" s="103">
        <v>290</v>
      </c>
      <c r="P142" s="102">
        <v>2014</v>
      </c>
      <c r="Q142" s="101">
        <v>158.0941520302143</v>
      </c>
      <c r="R142" s="100">
        <v>5</v>
      </c>
    </row>
    <row r="143" spans="15:18" x14ac:dyDescent="0.2">
      <c r="O143" s="103">
        <v>37.119999999999997</v>
      </c>
      <c r="P143" s="102">
        <v>2014</v>
      </c>
      <c r="Q143" s="101">
        <v>108.03720085211233</v>
      </c>
      <c r="R143" s="100">
        <v>5</v>
      </c>
    </row>
    <row r="144" spans="15:18" x14ac:dyDescent="0.2">
      <c r="O144" s="103">
        <v>29</v>
      </c>
      <c r="P144" s="102">
        <v>2014</v>
      </c>
      <c r="Q144" s="101">
        <v>159.04619614232919</v>
      </c>
      <c r="R144" s="100">
        <v>5</v>
      </c>
    </row>
    <row r="145" spans="15:18" x14ac:dyDescent="0.2">
      <c r="O145" s="103">
        <v>12.6</v>
      </c>
      <c r="P145" s="102">
        <v>2014</v>
      </c>
      <c r="Q145" s="101">
        <v>120.97360340293039</v>
      </c>
      <c r="R145" s="100">
        <v>5</v>
      </c>
    </row>
    <row r="146" spans="15:18" x14ac:dyDescent="0.2">
      <c r="O146" s="103">
        <v>17.7</v>
      </c>
      <c r="P146" s="102">
        <v>2014</v>
      </c>
      <c r="Q146" s="101">
        <v>104.45030280597017</v>
      </c>
      <c r="R146" s="100">
        <v>5</v>
      </c>
    </row>
    <row r="147" spans="15:18" x14ac:dyDescent="0.2">
      <c r="O147" s="103">
        <v>6</v>
      </c>
      <c r="P147" s="102">
        <v>2014</v>
      </c>
      <c r="Q147" s="101">
        <v>157.33846502933844</v>
      </c>
      <c r="R147" s="100">
        <v>5</v>
      </c>
    </row>
    <row r="148" spans="15:18" x14ac:dyDescent="0.2">
      <c r="O148" s="103">
        <v>13.624000000000001</v>
      </c>
      <c r="P148" s="102">
        <v>2014</v>
      </c>
      <c r="Q148" s="101">
        <v>238.24848968752906</v>
      </c>
      <c r="R148" s="100">
        <v>5</v>
      </c>
    </row>
    <row r="149" spans="15:18" x14ac:dyDescent="0.2">
      <c r="O149" s="103">
        <v>19.568000000000001</v>
      </c>
      <c r="P149" s="102">
        <v>2014</v>
      </c>
      <c r="Q149" s="101">
        <v>188.72500539794848</v>
      </c>
      <c r="R149" s="100">
        <v>5</v>
      </c>
    </row>
    <row r="150" spans="15:18" x14ac:dyDescent="0.2">
      <c r="O150" s="103">
        <v>241.5</v>
      </c>
      <c r="P150" s="102">
        <v>2014</v>
      </c>
      <c r="Q150" s="101">
        <v>179.84698813665329</v>
      </c>
      <c r="R150" s="100">
        <v>5</v>
      </c>
    </row>
    <row r="151" spans="15:18" x14ac:dyDescent="0.2">
      <c r="O151" s="103">
        <v>19.7</v>
      </c>
      <c r="P151" s="102">
        <v>2014</v>
      </c>
      <c r="Q151" s="101">
        <v>122.26136250612571</v>
      </c>
      <c r="R151" s="100">
        <v>5</v>
      </c>
    </row>
    <row r="152" spans="15:18" x14ac:dyDescent="0.2">
      <c r="O152" s="103">
        <v>18.5</v>
      </c>
      <c r="P152" s="102">
        <v>2014</v>
      </c>
      <c r="Q152" s="101">
        <v>99.885900973793298</v>
      </c>
      <c r="R152" s="100">
        <v>5</v>
      </c>
    </row>
    <row r="153" spans="15:18" x14ac:dyDescent="0.2">
      <c r="O153" s="103">
        <v>170</v>
      </c>
      <c r="P153" s="102">
        <v>2014</v>
      </c>
      <c r="Q153" s="101">
        <v>123.73959688124181</v>
      </c>
      <c r="R153" s="100">
        <v>5</v>
      </c>
    </row>
    <row r="154" spans="15:18" x14ac:dyDescent="0.2">
      <c r="O154" s="103">
        <v>19.760000000000002</v>
      </c>
      <c r="P154" s="102">
        <v>2014</v>
      </c>
      <c r="Q154" s="101">
        <v>133.84153464624356</v>
      </c>
      <c r="R154" s="100">
        <v>5</v>
      </c>
    </row>
    <row r="155" spans="15:18" x14ac:dyDescent="0.2">
      <c r="O155" s="103">
        <v>249.7</v>
      </c>
      <c r="P155" s="102">
        <v>2014</v>
      </c>
      <c r="Q155" s="101">
        <v>171.41129913647441</v>
      </c>
      <c r="R155" s="100">
        <v>5</v>
      </c>
    </row>
    <row r="156" spans="15:18" x14ac:dyDescent="0.2">
      <c r="O156" s="103">
        <v>313.7</v>
      </c>
      <c r="P156" s="102">
        <v>2014</v>
      </c>
      <c r="Q156" s="101">
        <v>148.82371870518068</v>
      </c>
      <c r="R156" s="100">
        <v>5</v>
      </c>
    </row>
    <row r="157" spans="15:18" x14ac:dyDescent="0.2">
      <c r="O157" s="103">
        <v>10</v>
      </c>
      <c r="P157" s="102">
        <v>2014</v>
      </c>
      <c r="Q157" s="101">
        <v>120.09992813277152</v>
      </c>
      <c r="R157" s="100">
        <v>5</v>
      </c>
    </row>
    <row r="158" spans="15:18" x14ac:dyDescent="0.2">
      <c r="O158" s="103">
        <v>10</v>
      </c>
      <c r="P158" s="102">
        <v>2014</v>
      </c>
      <c r="Q158" s="101">
        <v>93.298576141199689</v>
      </c>
      <c r="R158" s="100">
        <v>5</v>
      </c>
    </row>
    <row r="159" spans="15:18" x14ac:dyDescent="0.2">
      <c r="O159" s="103">
        <v>20</v>
      </c>
      <c r="P159" s="102">
        <v>2014</v>
      </c>
      <c r="Q159" s="101">
        <v>89.075673737082141</v>
      </c>
      <c r="R159" s="100">
        <v>5</v>
      </c>
    </row>
    <row r="160" spans="15:18" x14ac:dyDescent="0.2">
      <c r="O160" s="103">
        <v>206.72</v>
      </c>
      <c r="P160" s="102">
        <v>2014</v>
      </c>
      <c r="Q160" s="101">
        <v>185.30095137709088</v>
      </c>
      <c r="R160" s="100">
        <v>5</v>
      </c>
    </row>
    <row r="161" spans="15:18" x14ac:dyDescent="0.2">
      <c r="O161" s="103">
        <v>6</v>
      </c>
      <c r="P161" s="102">
        <v>2014</v>
      </c>
      <c r="Q161" s="101">
        <v>158.84709307667981</v>
      </c>
      <c r="R161" s="100">
        <v>5</v>
      </c>
    </row>
    <row r="162" spans="15:18" x14ac:dyDescent="0.2">
      <c r="O162" s="103">
        <v>12</v>
      </c>
      <c r="P162" s="102">
        <v>2014</v>
      </c>
      <c r="Q162" s="101">
        <v>143.93808867137253</v>
      </c>
      <c r="R162" s="100">
        <v>5</v>
      </c>
    </row>
    <row r="163" spans="15:18" x14ac:dyDescent="0.2">
      <c r="O163" s="103">
        <v>8</v>
      </c>
      <c r="P163" s="102">
        <v>2014</v>
      </c>
      <c r="Q163" s="101">
        <v>137.43462400028051</v>
      </c>
      <c r="R163" s="100">
        <v>5</v>
      </c>
    </row>
    <row r="164" spans="15:18" x14ac:dyDescent="0.2">
      <c r="O164" s="103">
        <v>19</v>
      </c>
      <c r="P164" s="102">
        <v>2014</v>
      </c>
      <c r="Q164" s="101">
        <v>120.13044610378958</v>
      </c>
      <c r="R164" s="100">
        <v>5</v>
      </c>
    </row>
    <row r="165" spans="15:18" x14ac:dyDescent="0.2">
      <c r="O165" s="103">
        <v>45</v>
      </c>
      <c r="P165" s="102">
        <v>2014</v>
      </c>
      <c r="Q165" s="101">
        <v>100.39526834629345</v>
      </c>
      <c r="R165" s="100">
        <v>5</v>
      </c>
    </row>
    <row r="166" spans="15:18" x14ac:dyDescent="0.2">
      <c r="O166" s="103">
        <v>15</v>
      </c>
      <c r="P166" s="102">
        <v>2014</v>
      </c>
      <c r="Q166" s="101">
        <v>109.43381459082332</v>
      </c>
      <c r="R166" s="100">
        <v>5</v>
      </c>
    </row>
    <row r="167" spans="15:18" x14ac:dyDescent="0.2">
      <c r="O167" s="103">
        <v>10</v>
      </c>
      <c r="P167" s="102">
        <v>2014</v>
      </c>
      <c r="Q167" s="101">
        <v>111.37193211276232</v>
      </c>
      <c r="R167" s="100">
        <v>5</v>
      </c>
    </row>
    <row r="168" spans="15:18" x14ac:dyDescent="0.2">
      <c r="O168" s="103">
        <v>20</v>
      </c>
      <c r="P168" s="102">
        <v>2014</v>
      </c>
      <c r="Q168" s="101">
        <v>120.63305125421098</v>
      </c>
      <c r="R168" s="100">
        <v>5</v>
      </c>
    </row>
    <row r="169" spans="15:18" x14ac:dyDescent="0.2">
      <c r="O169" s="103">
        <v>19.405999999999999</v>
      </c>
      <c r="P169" s="102">
        <v>2014</v>
      </c>
      <c r="Q169" s="101">
        <v>116.07423431040148</v>
      </c>
      <c r="R169" s="100">
        <v>5</v>
      </c>
    </row>
    <row r="170" spans="15:18" x14ac:dyDescent="0.2">
      <c r="O170" s="103">
        <v>19.649999999999999</v>
      </c>
      <c r="P170" s="102">
        <v>2014</v>
      </c>
      <c r="Q170" s="101">
        <v>123.04074726516404</v>
      </c>
      <c r="R170" s="100">
        <v>5</v>
      </c>
    </row>
    <row r="171" spans="15:18" x14ac:dyDescent="0.2">
      <c r="O171" s="103">
        <v>17.5</v>
      </c>
      <c r="P171" s="102">
        <v>2014</v>
      </c>
      <c r="Q171" s="101">
        <v>164.99969713368486</v>
      </c>
      <c r="R171" s="100">
        <v>5</v>
      </c>
    </row>
    <row r="172" spans="15:18" x14ac:dyDescent="0.2">
      <c r="O172" s="103">
        <v>20</v>
      </c>
      <c r="P172" s="102">
        <v>2014</v>
      </c>
      <c r="Q172" s="101">
        <v>97.554186880676554</v>
      </c>
      <c r="R172" s="100">
        <v>5</v>
      </c>
    </row>
    <row r="173" spans="15:18" x14ac:dyDescent="0.2">
      <c r="O173" s="103">
        <v>20</v>
      </c>
      <c r="P173" s="102">
        <v>2014</v>
      </c>
      <c r="Q173" s="101">
        <v>107.34711250300458</v>
      </c>
      <c r="R173" s="100">
        <v>5</v>
      </c>
    </row>
    <row r="174" spans="15:18" x14ac:dyDescent="0.2">
      <c r="O174" s="103">
        <v>60</v>
      </c>
      <c r="P174" s="102">
        <v>2014</v>
      </c>
      <c r="Q174" s="101">
        <v>137.97992227617883</v>
      </c>
      <c r="R174" s="100">
        <v>5</v>
      </c>
    </row>
    <row r="175" spans="15:18" x14ac:dyDescent="0.2">
      <c r="O175" s="103">
        <v>155.1</v>
      </c>
      <c r="P175" s="102">
        <v>2014</v>
      </c>
      <c r="Q175" s="101">
        <v>155.45309167804078</v>
      </c>
      <c r="R175" s="100">
        <v>5</v>
      </c>
    </row>
    <row r="176" spans="15:18" x14ac:dyDescent="0.2">
      <c r="O176" s="103">
        <v>6.49</v>
      </c>
      <c r="P176" s="102">
        <v>2014</v>
      </c>
      <c r="Q176" s="101">
        <v>117.04040061044826</v>
      </c>
      <c r="R176" s="100">
        <v>5</v>
      </c>
    </row>
    <row r="177" spans="15:18" x14ac:dyDescent="0.2">
      <c r="O177" s="103">
        <v>585.9</v>
      </c>
      <c r="P177" s="102">
        <v>2014</v>
      </c>
      <c r="Q177" s="101">
        <v>132.21016376831994</v>
      </c>
      <c r="R177" s="100">
        <v>5</v>
      </c>
    </row>
    <row r="178" spans="15:18" x14ac:dyDescent="0.2">
      <c r="O178" s="103">
        <v>19.945</v>
      </c>
      <c r="P178" s="102">
        <v>2014</v>
      </c>
      <c r="Q178" s="101">
        <v>88.19232429726074</v>
      </c>
      <c r="R178" s="100">
        <v>5</v>
      </c>
    </row>
    <row r="179" spans="15:18" x14ac:dyDescent="0.2">
      <c r="O179" s="103">
        <v>18</v>
      </c>
      <c r="P179" s="102">
        <v>2014</v>
      </c>
      <c r="Q179" s="101">
        <v>109.4910451107003</v>
      </c>
      <c r="R179" s="100">
        <v>5</v>
      </c>
    </row>
    <row r="180" spans="15:18" x14ac:dyDescent="0.2">
      <c r="O180" s="103">
        <v>20</v>
      </c>
      <c r="P180" s="102">
        <v>2014</v>
      </c>
      <c r="Q180" s="101">
        <v>93.190034799841669</v>
      </c>
      <c r="R180" s="100">
        <v>5</v>
      </c>
    </row>
    <row r="181" spans="15:18" x14ac:dyDescent="0.2">
      <c r="O181" s="103">
        <v>30</v>
      </c>
      <c r="P181" s="102">
        <v>2014</v>
      </c>
      <c r="Q181" s="101">
        <v>160.06709169818265</v>
      </c>
      <c r="R181" s="100">
        <v>5</v>
      </c>
    </row>
    <row r="182" spans="15:18" x14ac:dyDescent="0.2">
      <c r="O182" s="103">
        <v>8.8204999999999991</v>
      </c>
      <c r="P182" s="102">
        <v>2014</v>
      </c>
      <c r="Q182" s="101">
        <v>136.66272681502525</v>
      </c>
      <c r="R182" s="100">
        <v>5</v>
      </c>
    </row>
    <row r="183" spans="15:18" x14ac:dyDescent="0.2">
      <c r="O183" s="103">
        <v>7.8920000000000003</v>
      </c>
      <c r="P183" s="102">
        <v>2014</v>
      </c>
      <c r="Q183" s="101">
        <v>252.83973082944806</v>
      </c>
      <c r="R183" s="100">
        <v>5</v>
      </c>
    </row>
    <row r="184" spans="15:18" x14ac:dyDescent="0.2">
      <c r="O184" s="103">
        <v>6.25</v>
      </c>
      <c r="P184" s="102">
        <v>2014</v>
      </c>
      <c r="Q184" s="101">
        <v>336.51458750848781</v>
      </c>
      <c r="R184" s="100">
        <v>5</v>
      </c>
    </row>
    <row r="185" spans="15:18" x14ac:dyDescent="0.2">
      <c r="O185" s="103">
        <v>14</v>
      </c>
      <c r="P185" s="102">
        <v>2014</v>
      </c>
      <c r="Q185" s="101">
        <v>262.02085822588265</v>
      </c>
      <c r="R185" s="100">
        <v>5</v>
      </c>
    </row>
    <row r="186" spans="15:18" x14ac:dyDescent="0.2">
      <c r="O186" s="103">
        <v>19.946000000000002</v>
      </c>
      <c r="P186" s="102">
        <v>2014</v>
      </c>
      <c r="Q186" s="101">
        <v>125.79610150664158</v>
      </c>
      <c r="R186" s="100">
        <v>5</v>
      </c>
    </row>
    <row r="187" spans="15:18" x14ac:dyDescent="0.2">
      <c r="O187" s="103">
        <v>19.79</v>
      </c>
      <c r="P187" s="102">
        <v>2014</v>
      </c>
      <c r="Q187" s="101">
        <v>147.9363454315733</v>
      </c>
      <c r="R187" s="100">
        <v>5</v>
      </c>
    </row>
    <row r="188" spans="15:18" x14ac:dyDescent="0.2">
      <c r="O188" s="103">
        <v>19.646000000000001</v>
      </c>
      <c r="P188" s="102">
        <v>2014</v>
      </c>
      <c r="Q188" s="101">
        <v>168.77563437439574</v>
      </c>
      <c r="R188" s="100">
        <v>5</v>
      </c>
    </row>
    <row r="189" spans="15:18" x14ac:dyDescent="0.2">
      <c r="O189" s="103">
        <v>8</v>
      </c>
      <c r="P189" s="102">
        <v>2014</v>
      </c>
      <c r="Q189" s="101">
        <v>169.9377802686694</v>
      </c>
      <c r="R189" s="100">
        <v>5</v>
      </c>
    </row>
    <row r="190" spans="15:18" x14ac:dyDescent="0.2">
      <c r="O190" s="103">
        <v>7</v>
      </c>
      <c r="P190" s="102">
        <v>2014</v>
      </c>
      <c r="Q190" s="101">
        <v>239.84919343748138</v>
      </c>
      <c r="R190" s="100">
        <v>5</v>
      </c>
    </row>
    <row r="191" spans="15:18" x14ac:dyDescent="0.2">
      <c r="O191" s="103">
        <v>5.34</v>
      </c>
      <c r="P191" s="102">
        <v>2014</v>
      </c>
      <c r="Q191" s="101">
        <v>173.24283343141681</v>
      </c>
      <c r="R191" s="100">
        <v>5</v>
      </c>
    </row>
    <row r="192" spans="15:18" x14ac:dyDescent="0.2">
      <c r="O192" s="103">
        <v>7.726</v>
      </c>
      <c r="P192" s="102">
        <v>2014</v>
      </c>
      <c r="Q192" s="101">
        <v>241.26932489242674</v>
      </c>
      <c r="R192" s="100">
        <v>5</v>
      </c>
    </row>
    <row r="193" spans="15:18" x14ac:dyDescent="0.2">
      <c r="O193" s="103">
        <v>8</v>
      </c>
      <c r="P193" s="102">
        <v>2014</v>
      </c>
      <c r="Q193" s="101">
        <v>159.25386707037981</v>
      </c>
      <c r="R193" s="100">
        <v>5</v>
      </c>
    </row>
    <row r="194" spans="15:18" x14ac:dyDescent="0.2">
      <c r="O194" s="103">
        <v>7</v>
      </c>
      <c r="P194" s="102">
        <v>2014</v>
      </c>
      <c r="Q194" s="101">
        <v>153.44117783731124</v>
      </c>
      <c r="R194" s="100">
        <v>5</v>
      </c>
    </row>
    <row r="195" spans="15:18" x14ac:dyDescent="0.2">
      <c r="O195" s="103">
        <v>7.6</v>
      </c>
      <c r="P195" s="102">
        <v>2014</v>
      </c>
      <c r="Q195" s="101">
        <v>72.984518987972407</v>
      </c>
      <c r="R195" s="100">
        <v>5</v>
      </c>
    </row>
    <row r="196" spans="15:18" x14ac:dyDescent="0.2">
      <c r="O196" s="103">
        <v>52.2</v>
      </c>
      <c r="P196" s="102">
        <v>2014</v>
      </c>
      <c r="Q196" s="101">
        <v>91.687984751119345</v>
      </c>
      <c r="R196" s="100">
        <v>5</v>
      </c>
    </row>
    <row r="197" spans="15:18" x14ac:dyDescent="0.2">
      <c r="O197" s="103">
        <v>9.1199999999999992</v>
      </c>
      <c r="P197" s="102">
        <v>2014</v>
      </c>
      <c r="Q197" s="101">
        <v>73.031460180544343</v>
      </c>
      <c r="R197" s="100">
        <v>5</v>
      </c>
    </row>
    <row r="198" spans="15:18" x14ac:dyDescent="0.2">
      <c r="O198" s="103">
        <v>6.08</v>
      </c>
      <c r="P198" s="102">
        <v>2014</v>
      </c>
      <c r="Q198" s="101">
        <v>81.779388785515238</v>
      </c>
      <c r="R198" s="100">
        <v>5</v>
      </c>
    </row>
    <row r="199" spans="15:18" x14ac:dyDescent="0.2">
      <c r="O199" s="103">
        <v>20</v>
      </c>
      <c r="P199" s="102">
        <v>2014</v>
      </c>
      <c r="Q199" s="101">
        <v>102.07230849759989</v>
      </c>
      <c r="R199" s="100">
        <v>5</v>
      </c>
    </row>
    <row r="200" spans="15:18" x14ac:dyDescent="0.2">
      <c r="O200" s="103">
        <v>17.494</v>
      </c>
      <c r="P200" s="102">
        <v>2014</v>
      </c>
      <c r="Q200" s="101">
        <v>141.74982440069709</v>
      </c>
      <c r="R200" s="100">
        <v>5</v>
      </c>
    </row>
    <row r="201" spans="15:18" x14ac:dyDescent="0.2">
      <c r="O201" s="103">
        <v>15.84</v>
      </c>
      <c r="P201" s="102">
        <v>2014</v>
      </c>
      <c r="Q201" s="101">
        <v>118.13729240766682</v>
      </c>
      <c r="R201" s="100">
        <v>5</v>
      </c>
    </row>
    <row r="202" spans="15:18" x14ac:dyDescent="0.2">
      <c r="O202" s="103">
        <v>15.84</v>
      </c>
      <c r="P202" s="102">
        <v>2014</v>
      </c>
      <c r="Q202" s="101">
        <v>114.74870093164893</v>
      </c>
      <c r="R202" s="100">
        <v>5</v>
      </c>
    </row>
    <row r="203" spans="15:18" x14ac:dyDescent="0.2">
      <c r="O203" s="103">
        <v>39.6</v>
      </c>
      <c r="P203" s="102">
        <v>2014</v>
      </c>
      <c r="Q203" s="101">
        <v>200.81292878879466</v>
      </c>
      <c r="R203" s="100">
        <v>5</v>
      </c>
    </row>
    <row r="204" spans="15:18" x14ac:dyDescent="0.2">
      <c r="O204" s="103">
        <v>10.416</v>
      </c>
      <c r="P204" s="102">
        <v>2014</v>
      </c>
      <c r="Q204" s="101">
        <v>82.203517850035666</v>
      </c>
      <c r="R204" s="100">
        <v>5</v>
      </c>
    </row>
    <row r="205" spans="15:18" x14ac:dyDescent="0.2">
      <c r="O205" s="103">
        <v>12.5</v>
      </c>
      <c r="P205" s="102">
        <v>2015</v>
      </c>
      <c r="Q205" s="101">
        <v>116.4587466916433</v>
      </c>
      <c r="R205" s="100">
        <v>6</v>
      </c>
    </row>
    <row r="206" spans="15:18" x14ac:dyDescent="0.2">
      <c r="O206" s="103">
        <v>11.2</v>
      </c>
      <c r="P206" s="102">
        <v>2015</v>
      </c>
      <c r="Q206" s="101">
        <v>90.63971090099723</v>
      </c>
      <c r="R206" s="100">
        <v>6</v>
      </c>
    </row>
    <row r="207" spans="15:18" x14ac:dyDescent="0.2">
      <c r="O207" s="103">
        <v>11.2</v>
      </c>
      <c r="P207" s="102">
        <v>2015</v>
      </c>
      <c r="Q207" s="101">
        <v>84.916636761597303</v>
      </c>
      <c r="R207" s="100">
        <v>6</v>
      </c>
    </row>
    <row r="208" spans="15:18" x14ac:dyDescent="0.2">
      <c r="O208" s="103">
        <v>55</v>
      </c>
      <c r="P208" s="102">
        <v>2015</v>
      </c>
      <c r="Q208" s="101">
        <v>87.419092685414682</v>
      </c>
      <c r="R208" s="100">
        <v>6</v>
      </c>
    </row>
    <row r="209" spans="15:18" x14ac:dyDescent="0.2">
      <c r="O209" s="103">
        <v>45</v>
      </c>
      <c r="P209" s="102">
        <v>2015</v>
      </c>
      <c r="Q209" s="101">
        <v>70.681100549717485</v>
      </c>
      <c r="R209" s="100">
        <v>6</v>
      </c>
    </row>
    <row r="210" spans="15:18" x14ac:dyDescent="0.2">
      <c r="O210" s="103">
        <v>12</v>
      </c>
      <c r="P210" s="102">
        <v>2015</v>
      </c>
      <c r="Q210" s="101">
        <v>141.61851175253534</v>
      </c>
      <c r="R210" s="100">
        <v>6</v>
      </c>
    </row>
    <row r="211" spans="15:18" x14ac:dyDescent="0.2">
      <c r="O211" s="103">
        <v>20.004000000000001</v>
      </c>
      <c r="P211" s="102">
        <v>2015</v>
      </c>
      <c r="Q211" s="101">
        <v>130.87920469557119</v>
      </c>
      <c r="R211" s="100">
        <v>6</v>
      </c>
    </row>
    <row r="212" spans="15:18" x14ac:dyDescent="0.2">
      <c r="O212" s="103">
        <v>18.7</v>
      </c>
      <c r="P212" s="102">
        <v>2015</v>
      </c>
      <c r="Q212" s="101">
        <v>107.06461208600557</v>
      </c>
      <c r="R212" s="100">
        <v>6</v>
      </c>
    </row>
    <row r="213" spans="15:18" x14ac:dyDescent="0.2">
      <c r="O213" s="103">
        <v>18.399999999999999</v>
      </c>
      <c r="P213" s="102">
        <v>2015</v>
      </c>
      <c r="Q213" s="101">
        <v>114.79096368400222</v>
      </c>
      <c r="R213" s="100">
        <v>6</v>
      </c>
    </row>
    <row r="214" spans="15:18" x14ac:dyDescent="0.2">
      <c r="O214" s="103">
        <v>20.02</v>
      </c>
      <c r="P214" s="102">
        <v>2015</v>
      </c>
      <c r="Q214" s="101">
        <v>114.65948101298402</v>
      </c>
      <c r="R214" s="100">
        <v>6</v>
      </c>
    </row>
    <row r="215" spans="15:18" x14ac:dyDescent="0.2">
      <c r="O215" s="103">
        <v>19.75</v>
      </c>
      <c r="P215" s="102">
        <v>2015</v>
      </c>
      <c r="Q215" s="101">
        <v>111.59920784558118</v>
      </c>
      <c r="R215" s="100">
        <v>6</v>
      </c>
    </row>
    <row r="216" spans="15:18" x14ac:dyDescent="0.2">
      <c r="O216" s="103">
        <v>20</v>
      </c>
      <c r="P216" s="102">
        <v>2015</v>
      </c>
      <c r="Q216" s="101">
        <v>132.93944504053323</v>
      </c>
      <c r="R216" s="100">
        <v>6</v>
      </c>
    </row>
    <row r="217" spans="15:18" x14ac:dyDescent="0.2">
      <c r="O217" s="103">
        <v>20</v>
      </c>
      <c r="P217" s="102">
        <v>2015</v>
      </c>
      <c r="Q217" s="101">
        <v>114.48663971050242</v>
      </c>
      <c r="R217" s="100">
        <v>6</v>
      </c>
    </row>
    <row r="218" spans="15:18" x14ac:dyDescent="0.2">
      <c r="O218" s="103">
        <v>12</v>
      </c>
      <c r="P218" s="102">
        <v>2015</v>
      </c>
      <c r="Q218" s="101">
        <v>136.98109681746399</v>
      </c>
      <c r="R218" s="100">
        <v>6</v>
      </c>
    </row>
    <row r="219" spans="15:18" x14ac:dyDescent="0.2">
      <c r="O219" s="103">
        <v>26.655999999999999</v>
      </c>
      <c r="P219" s="102">
        <v>2015</v>
      </c>
      <c r="Q219" s="101">
        <v>93.141622762165483</v>
      </c>
      <c r="R219" s="100">
        <v>6</v>
      </c>
    </row>
    <row r="220" spans="15:18" x14ac:dyDescent="0.2">
      <c r="O220" s="103">
        <v>20.007000000000001</v>
      </c>
      <c r="P220" s="102">
        <v>2015</v>
      </c>
      <c r="Q220" s="101">
        <v>128.04419730256035</v>
      </c>
      <c r="R220" s="100">
        <v>6</v>
      </c>
    </row>
    <row r="221" spans="15:18" x14ac:dyDescent="0.2">
      <c r="O221" s="103">
        <v>20</v>
      </c>
      <c r="P221" s="102">
        <v>2015</v>
      </c>
      <c r="Q221" s="101">
        <v>78.954777618668601</v>
      </c>
      <c r="R221" s="100">
        <v>6</v>
      </c>
    </row>
    <row r="222" spans="15:18" x14ac:dyDescent="0.2">
      <c r="O222" s="103">
        <v>20</v>
      </c>
      <c r="P222" s="102">
        <v>2015</v>
      </c>
      <c r="Q222" s="101">
        <v>76.066052409292027</v>
      </c>
      <c r="R222" s="100">
        <v>6</v>
      </c>
    </row>
    <row r="223" spans="15:18" x14ac:dyDescent="0.2">
      <c r="O223" s="103">
        <v>32</v>
      </c>
      <c r="P223" s="102">
        <v>2015</v>
      </c>
      <c r="Q223" s="101">
        <v>102.35947591061057</v>
      </c>
      <c r="R223" s="100">
        <v>6</v>
      </c>
    </row>
    <row r="224" spans="15:18" x14ac:dyDescent="0.2">
      <c r="O224" s="103">
        <v>20</v>
      </c>
      <c r="P224" s="102">
        <v>2015</v>
      </c>
      <c r="Q224" s="101">
        <v>123.55188657164705</v>
      </c>
      <c r="R224" s="100">
        <v>6</v>
      </c>
    </row>
    <row r="225" spans="15:18" x14ac:dyDescent="0.2">
      <c r="O225" s="103">
        <v>15</v>
      </c>
      <c r="P225" s="102">
        <v>2015</v>
      </c>
      <c r="Q225" s="101">
        <v>107.99635732159923</v>
      </c>
      <c r="R225" s="100">
        <v>6</v>
      </c>
    </row>
    <row r="226" spans="15:18" x14ac:dyDescent="0.2">
      <c r="O226" s="103">
        <v>20</v>
      </c>
      <c r="P226" s="102">
        <v>2015</v>
      </c>
      <c r="Q226" s="101">
        <v>95.736447592749258</v>
      </c>
      <c r="R226" s="100">
        <v>6</v>
      </c>
    </row>
    <row r="227" spans="15:18" x14ac:dyDescent="0.2">
      <c r="O227" s="103">
        <v>7</v>
      </c>
      <c r="P227" s="102">
        <v>2015</v>
      </c>
      <c r="Q227" s="101">
        <v>95.911521500215699</v>
      </c>
      <c r="R227" s="100">
        <v>6</v>
      </c>
    </row>
    <row r="228" spans="15:18" x14ac:dyDescent="0.2">
      <c r="O228" s="103">
        <v>62.5</v>
      </c>
      <c r="P228" s="102">
        <v>2015</v>
      </c>
      <c r="Q228" s="101">
        <v>149.44378359368838</v>
      </c>
      <c r="R228" s="100">
        <v>6</v>
      </c>
    </row>
    <row r="229" spans="15:18" x14ac:dyDescent="0.2">
      <c r="O229" s="103">
        <v>19.2</v>
      </c>
      <c r="P229" s="102">
        <v>2015</v>
      </c>
      <c r="Q229" s="101">
        <v>171.87969272971219</v>
      </c>
      <c r="R229" s="100">
        <v>6</v>
      </c>
    </row>
    <row r="230" spans="15:18" x14ac:dyDescent="0.2">
      <c r="O230" s="103">
        <v>20</v>
      </c>
      <c r="P230" s="102">
        <v>2015</v>
      </c>
      <c r="Q230" s="101">
        <v>98.793293110222379</v>
      </c>
      <c r="R230" s="100">
        <v>6</v>
      </c>
    </row>
    <row r="231" spans="15:18" x14ac:dyDescent="0.2">
      <c r="O231" s="103">
        <v>105.1</v>
      </c>
      <c r="P231" s="102">
        <v>2015</v>
      </c>
      <c r="Q231" s="101">
        <v>135.34209358264388</v>
      </c>
      <c r="R231" s="100">
        <v>6</v>
      </c>
    </row>
    <row r="232" spans="15:18" x14ac:dyDescent="0.2">
      <c r="O232" s="103">
        <v>16.66</v>
      </c>
      <c r="P232" s="102">
        <v>2015</v>
      </c>
      <c r="Q232" s="101">
        <v>131.44724429356117</v>
      </c>
      <c r="R232" s="100">
        <v>6</v>
      </c>
    </row>
    <row r="233" spans="15:18" x14ac:dyDescent="0.2">
      <c r="O233" s="103">
        <v>9.98</v>
      </c>
      <c r="P233" s="102">
        <v>2015</v>
      </c>
      <c r="Q233" s="101">
        <v>97.200941183936109</v>
      </c>
      <c r="R233" s="100">
        <v>6</v>
      </c>
    </row>
    <row r="234" spans="15:18" x14ac:dyDescent="0.2">
      <c r="O234" s="103">
        <v>20</v>
      </c>
      <c r="P234" s="102">
        <v>2015</v>
      </c>
      <c r="Q234" s="101">
        <v>112.28991559190993</v>
      </c>
      <c r="R234" s="100">
        <v>6</v>
      </c>
    </row>
    <row r="235" spans="15:18" x14ac:dyDescent="0.2">
      <c r="O235" s="103">
        <v>30</v>
      </c>
      <c r="P235" s="102">
        <v>2015</v>
      </c>
      <c r="Q235" s="101">
        <v>94.181849913597389</v>
      </c>
      <c r="R235" s="100">
        <v>6</v>
      </c>
    </row>
    <row r="236" spans="15:18" x14ac:dyDescent="0.2">
      <c r="O236" s="103">
        <v>20</v>
      </c>
      <c r="P236" s="102">
        <v>2015</v>
      </c>
      <c r="Q236" s="101">
        <v>96.649575184279755</v>
      </c>
      <c r="R236" s="100">
        <v>6</v>
      </c>
    </row>
    <row r="237" spans="15:18" x14ac:dyDescent="0.2">
      <c r="O237" s="103">
        <v>20</v>
      </c>
      <c r="P237" s="102">
        <v>2015</v>
      </c>
      <c r="Q237" s="101">
        <v>104.89349499742191</v>
      </c>
      <c r="R237" s="100">
        <v>6</v>
      </c>
    </row>
    <row r="238" spans="15:18" x14ac:dyDescent="0.2">
      <c r="O238" s="103">
        <v>22</v>
      </c>
      <c r="P238" s="102">
        <v>2015</v>
      </c>
      <c r="Q238" s="101">
        <v>101.56875032146155</v>
      </c>
      <c r="R238" s="100">
        <v>6</v>
      </c>
    </row>
    <row r="239" spans="15:18" x14ac:dyDescent="0.2">
      <c r="O239" s="103">
        <v>314.39999999999998</v>
      </c>
      <c r="P239" s="102">
        <v>2015</v>
      </c>
      <c r="Q239" s="101">
        <v>121.03007447788632</v>
      </c>
      <c r="R239" s="100">
        <v>6</v>
      </c>
    </row>
    <row r="240" spans="15:18" x14ac:dyDescent="0.2">
      <c r="O240" s="103">
        <v>279.5</v>
      </c>
      <c r="P240" s="102">
        <v>2015</v>
      </c>
      <c r="Q240" s="101">
        <v>124.16970322648078</v>
      </c>
      <c r="R240" s="100">
        <v>6</v>
      </c>
    </row>
    <row r="241" spans="15:18" x14ac:dyDescent="0.2">
      <c r="O241" s="103">
        <v>7.5</v>
      </c>
      <c r="P241" s="102">
        <v>2015</v>
      </c>
      <c r="Q241" s="101">
        <v>125.29553030965873</v>
      </c>
      <c r="R241" s="100">
        <v>6</v>
      </c>
    </row>
    <row r="242" spans="15:18" x14ac:dyDescent="0.2">
      <c r="O242" s="103">
        <v>13</v>
      </c>
      <c r="P242" s="102">
        <v>2015</v>
      </c>
      <c r="Q242" s="101">
        <v>96.535374649775946</v>
      </c>
      <c r="R242" s="100">
        <v>6</v>
      </c>
    </row>
    <row r="243" spans="15:18" x14ac:dyDescent="0.2">
      <c r="O243" s="103">
        <v>10</v>
      </c>
      <c r="P243" s="102">
        <v>2015</v>
      </c>
      <c r="Q243" s="101">
        <v>109.27545818150826</v>
      </c>
      <c r="R243" s="100">
        <v>6</v>
      </c>
    </row>
    <row r="244" spans="15:18" x14ac:dyDescent="0.2">
      <c r="O244" s="103">
        <v>20</v>
      </c>
      <c r="P244" s="102">
        <v>2015</v>
      </c>
      <c r="Q244" s="101">
        <v>105.86581431067368</v>
      </c>
      <c r="R244" s="100">
        <v>6</v>
      </c>
    </row>
    <row r="245" spans="15:18" x14ac:dyDescent="0.2">
      <c r="O245" s="103">
        <v>14.994</v>
      </c>
      <c r="P245" s="102">
        <v>2015</v>
      </c>
      <c r="Q245" s="101">
        <v>104.56931668253401</v>
      </c>
      <c r="R245" s="100">
        <v>6</v>
      </c>
    </row>
    <row r="246" spans="15:18" x14ac:dyDescent="0.2">
      <c r="O246" s="103">
        <v>52</v>
      </c>
      <c r="P246" s="102">
        <v>2015</v>
      </c>
      <c r="Q246" s="101">
        <v>112.21679047753676</v>
      </c>
      <c r="R246" s="100">
        <v>6</v>
      </c>
    </row>
    <row r="247" spans="15:18" x14ac:dyDescent="0.2">
      <c r="O247" s="103">
        <v>6</v>
      </c>
      <c r="P247" s="102">
        <v>2015</v>
      </c>
      <c r="Q247" s="101">
        <v>119.46519008406599</v>
      </c>
      <c r="R247" s="100">
        <v>6</v>
      </c>
    </row>
    <row r="248" spans="15:18" x14ac:dyDescent="0.2">
      <c r="O248" s="103">
        <v>5.5</v>
      </c>
      <c r="P248" s="102">
        <v>2015</v>
      </c>
      <c r="Q248" s="101">
        <v>89.148521193279919</v>
      </c>
      <c r="R248" s="100">
        <v>6</v>
      </c>
    </row>
    <row r="249" spans="15:18" x14ac:dyDescent="0.2">
      <c r="O249" s="103">
        <v>18.972000000000001</v>
      </c>
      <c r="P249" s="102">
        <v>2015</v>
      </c>
      <c r="Q249" s="101">
        <v>94.463897349180613</v>
      </c>
      <c r="R249" s="100">
        <v>6</v>
      </c>
    </row>
    <row r="250" spans="15:18" x14ac:dyDescent="0.2">
      <c r="O250" s="103">
        <v>81.06</v>
      </c>
      <c r="P250" s="102">
        <v>2015</v>
      </c>
      <c r="Q250" s="101">
        <v>89.605660798306417</v>
      </c>
      <c r="R250" s="100">
        <v>6</v>
      </c>
    </row>
    <row r="251" spans="15:18" x14ac:dyDescent="0.2">
      <c r="O251" s="103">
        <v>30</v>
      </c>
      <c r="P251" s="102">
        <v>2015</v>
      </c>
      <c r="Q251" s="101">
        <v>120.34592234649979</v>
      </c>
      <c r="R251" s="100">
        <v>6</v>
      </c>
    </row>
    <row r="252" spans="15:18" x14ac:dyDescent="0.2">
      <c r="O252" s="103">
        <v>21</v>
      </c>
      <c r="P252" s="102">
        <v>2015</v>
      </c>
      <c r="Q252" s="101">
        <v>103.80543109986344</v>
      </c>
      <c r="R252" s="100">
        <v>6</v>
      </c>
    </row>
    <row r="253" spans="15:18" x14ac:dyDescent="0.2">
      <c r="O253" s="103">
        <v>20</v>
      </c>
      <c r="P253" s="102">
        <v>2015</v>
      </c>
      <c r="Q253" s="101">
        <v>114.18528603924392</v>
      </c>
      <c r="R253" s="100">
        <v>6</v>
      </c>
    </row>
    <row r="254" spans="15:18" x14ac:dyDescent="0.2">
      <c r="O254" s="103">
        <v>10</v>
      </c>
      <c r="P254" s="102">
        <v>2015</v>
      </c>
      <c r="Q254" s="101">
        <v>172.95266038090497</v>
      </c>
      <c r="R254" s="100">
        <v>6</v>
      </c>
    </row>
    <row r="255" spans="15:18" x14ac:dyDescent="0.2">
      <c r="O255" s="103">
        <v>5.2</v>
      </c>
      <c r="P255" s="102">
        <v>2015</v>
      </c>
      <c r="Q255" s="101">
        <v>182.54839997752535</v>
      </c>
      <c r="R255" s="100">
        <v>6</v>
      </c>
    </row>
    <row r="256" spans="15:18" x14ac:dyDescent="0.2">
      <c r="O256" s="103">
        <v>5.2</v>
      </c>
      <c r="P256" s="102">
        <v>2015</v>
      </c>
      <c r="Q256" s="101">
        <v>179.16874282790016</v>
      </c>
      <c r="R256" s="100">
        <v>6</v>
      </c>
    </row>
    <row r="257" spans="15:18" x14ac:dyDescent="0.2">
      <c r="O257" s="103">
        <v>10.3</v>
      </c>
      <c r="P257" s="102">
        <v>2015</v>
      </c>
      <c r="Q257" s="101">
        <v>106.60452613827003</v>
      </c>
      <c r="R257" s="100">
        <v>6</v>
      </c>
    </row>
    <row r="258" spans="15:18" x14ac:dyDescent="0.2">
      <c r="O258" s="103">
        <v>17.5</v>
      </c>
      <c r="P258" s="102">
        <v>2015</v>
      </c>
      <c r="Q258" s="101">
        <v>471.30851473754313</v>
      </c>
      <c r="R258" s="100">
        <v>6</v>
      </c>
    </row>
    <row r="259" spans="15:18" x14ac:dyDescent="0.2">
      <c r="O259" s="103">
        <v>15.003</v>
      </c>
      <c r="P259" s="102">
        <v>2015</v>
      </c>
      <c r="Q259" s="101">
        <v>111.12783686818618</v>
      </c>
      <c r="R259" s="100">
        <v>6</v>
      </c>
    </row>
    <row r="260" spans="15:18" x14ac:dyDescent="0.2">
      <c r="O260" s="103">
        <v>12.8</v>
      </c>
      <c r="P260" s="102">
        <v>2015</v>
      </c>
      <c r="Q260" s="101">
        <v>131.42309958677973</v>
      </c>
      <c r="R260" s="100">
        <v>6</v>
      </c>
    </row>
    <row r="261" spans="15:18" x14ac:dyDescent="0.2">
      <c r="O261" s="103">
        <v>81</v>
      </c>
      <c r="P261" s="102">
        <v>2015</v>
      </c>
      <c r="Q261" s="101">
        <v>106.04096013825277</v>
      </c>
      <c r="R261" s="100">
        <v>6</v>
      </c>
    </row>
    <row r="262" spans="15:18" x14ac:dyDescent="0.2">
      <c r="O262" s="103">
        <v>14</v>
      </c>
      <c r="P262" s="102">
        <v>2015</v>
      </c>
      <c r="Q262" s="101">
        <v>125.40504309635372</v>
      </c>
      <c r="R262" s="100">
        <v>6</v>
      </c>
    </row>
    <row r="263" spans="15:18" x14ac:dyDescent="0.2">
      <c r="O263" s="103">
        <v>47.7</v>
      </c>
      <c r="P263" s="102">
        <v>2015</v>
      </c>
      <c r="Q263" s="101">
        <v>107.07384027192835</v>
      </c>
      <c r="R263" s="100">
        <v>6</v>
      </c>
    </row>
    <row r="264" spans="15:18" x14ac:dyDescent="0.2">
      <c r="O264" s="103">
        <v>23.1</v>
      </c>
      <c r="P264" s="102">
        <v>2015</v>
      </c>
      <c r="Q264" s="101">
        <v>127.10850269606422</v>
      </c>
      <c r="R264" s="100">
        <v>6</v>
      </c>
    </row>
    <row r="265" spans="15:18" x14ac:dyDescent="0.2">
      <c r="O265" s="103">
        <v>20</v>
      </c>
      <c r="P265" s="102">
        <v>2015</v>
      </c>
      <c r="Q265" s="101">
        <v>98.274157204783506</v>
      </c>
      <c r="R265" s="100">
        <v>6</v>
      </c>
    </row>
    <row r="266" spans="15:18" x14ac:dyDescent="0.2">
      <c r="O266" s="103">
        <v>21</v>
      </c>
      <c r="P266" s="102">
        <v>2015</v>
      </c>
      <c r="Q266" s="101">
        <v>125.06251492548309</v>
      </c>
      <c r="R266" s="100">
        <v>6</v>
      </c>
    </row>
    <row r="267" spans="15:18" x14ac:dyDescent="0.2">
      <c r="O267" s="103">
        <v>20</v>
      </c>
      <c r="P267" s="102">
        <v>2015</v>
      </c>
      <c r="Q267" s="101">
        <v>140.46177078618538</v>
      </c>
      <c r="R267" s="100">
        <v>6</v>
      </c>
    </row>
    <row r="268" spans="15:18" x14ac:dyDescent="0.2">
      <c r="O268" s="103">
        <v>19.654</v>
      </c>
      <c r="P268" s="102">
        <v>2015</v>
      </c>
      <c r="Q268" s="101">
        <v>162.92586596676813</v>
      </c>
      <c r="R268" s="100">
        <v>6</v>
      </c>
    </row>
    <row r="269" spans="15:18" x14ac:dyDescent="0.2">
      <c r="O269" s="103">
        <v>20</v>
      </c>
      <c r="P269" s="102">
        <v>2015</v>
      </c>
      <c r="Q269" s="101">
        <v>118.44397641999224</v>
      </c>
      <c r="R269" s="100">
        <v>6</v>
      </c>
    </row>
    <row r="270" spans="15:18" x14ac:dyDescent="0.2">
      <c r="O270" s="103">
        <v>11.6619999999999</v>
      </c>
      <c r="P270" s="102">
        <v>2015</v>
      </c>
      <c r="Q270" s="101">
        <v>123.55756466048345</v>
      </c>
      <c r="R270" s="100">
        <v>6</v>
      </c>
    </row>
    <row r="271" spans="15:18" x14ac:dyDescent="0.2">
      <c r="O271" s="103">
        <v>64.8</v>
      </c>
      <c r="P271" s="102">
        <v>2015</v>
      </c>
      <c r="Q271" s="101">
        <v>97.737013430101982</v>
      </c>
      <c r="R271" s="100">
        <v>6</v>
      </c>
    </row>
    <row r="272" spans="15:18" x14ac:dyDescent="0.2">
      <c r="O272" s="103">
        <v>20</v>
      </c>
      <c r="P272" s="102">
        <v>2015</v>
      </c>
      <c r="Q272" s="101">
        <v>107.51412326151502</v>
      </c>
      <c r="R272" s="100">
        <v>6</v>
      </c>
    </row>
    <row r="273" spans="15:18" x14ac:dyDescent="0.2">
      <c r="O273" s="103">
        <v>12</v>
      </c>
      <c r="P273" s="102">
        <v>2015</v>
      </c>
      <c r="Q273" s="101">
        <v>108.45983300751878</v>
      </c>
      <c r="R273" s="100">
        <v>6</v>
      </c>
    </row>
    <row r="274" spans="15:18" x14ac:dyDescent="0.2">
      <c r="O274" s="103">
        <v>15</v>
      </c>
      <c r="P274" s="102">
        <v>2015</v>
      </c>
      <c r="Q274" s="101">
        <v>156.18193213167569</v>
      </c>
      <c r="R274" s="100">
        <v>6</v>
      </c>
    </row>
    <row r="275" spans="15:18" x14ac:dyDescent="0.2">
      <c r="O275" s="103">
        <v>8.6</v>
      </c>
      <c r="P275" s="102">
        <v>2015</v>
      </c>
      <c r="Q275" s="101">
        <v>178.75506664563954</v>
      </c>
      <c r="R275" s="100">
        <v>6</v>
      </c>
    </row>
    <row r="276" spans="15:18" x14ac:dyDescent="0.2">
      <c r="O276" s="103">
        <v>10</v>
      </c>
      <c r="P276" s="102">
        <v>2015</v>
      </c>
      <c r="Q276" s="101">
        <v>198.58951018921627</v>
      </c>
      <c r="R276" s="100">
        <v>6</v>
      </c>
    </row>
    <row r="277" spans="15:18" x14ac:dyDescent="0.2">
      <c r="O277" s="103">
        <v>7.8</v>
      </c>
      <c r="P277" s="102">
        <v>2015</v>
      </c>
      <c r="Q277" s="101">
        <v>165.56176312667003</v>
      </c>
      <c r="R277" s="100">
        <v>6</v>
      </c>
    </row>
    <row r="278" spans="15:18" x14ac:dyDescent="0.2">
      <c r="O278" s="103">
        <v>10</v>
      </c>
      <c r="P278" s="102">
        <v>2015</v>
      </c>
      <c r="Q278" s="101">
        <v>74.341272435216226</v>
      </c>
      <c r="R278" s="100">
        <v>6</v>
      </c>
    </row>
    <row r="279" spans="15:18" x14ac:dyDescent="0.2">
      <c r="O279" s="103">
        <v>9.5</v>
      </c>
      <c r="P279" s="102">
        <v>2015</v>
      </c>
      <c r="Q279" s="101">
        <v>71.754069270250923</v>
      </c>
      <c r="R279" s="100">
        <v>6</v>
      </c>
    </row>
    <row r="280" spans="15:18" x14ac:dyDescent="0.2">
      <c r="O280" s="103">
        <v>10.5</v>
      </c>
      <c r="P280" s="102">
        <v>2015</v>
      </c>
      <c r="Q280" s="101">
        <v>70.644345245546589</v>
      </c>
      <c r="R280" s="100">
        <v>6</v>
      </c>
    </row>
    <row r="281" spans="15:18" x14ac:dyDescent="0.2">
      <c r="O281" s="103">
        <v>10</v>
      </c>
      <c r="P281" s="102">
        <v>2015</v>
      </c>
      <c r="Q281" s="101">
        <v>77.32749664495482</v>
      </c>
      <c r="R281" s="100">
        <v>6</v>
      </c>
    </row>
    <row r="282" spans="15:18" x14ac:dyDescent="0.2">
      <c r="O282" s="103">
        <v>60.8</v>
      </c>
      <c r="P282" s="102">
        <v>2015</v>
      </c>
      <c r="Q282" s="101">
        <v>62.269399380838138</v>
      </c>
      <c r="R282" s="100">
        <v>6</v>
      </c>
    </row>
    <row r="283" spans="15:18" x14ac:dyDescent="0.2">
      <c r="O283" s="103">
        <v>255</v>
      </c>
      <c r="P283" s="102">
        <v>2015</v>
      </c>
      <c r="Q283" s="101">
        <v>87.648853223620449</v>
      </c>
      <c r="R283" s="100">
        <v>6</v>
      </c>
    </row>
    <row r="284" spans="15:18" x14ac:dyDescent="0.2">
      <c r="O284" s="103">
        <v>15.5</v>
      </c>
      <c r="P284" s="102">
        <v>2015</v>
      </c>
      <c r="Q284" s="101">
        <v>95.711464394498904</v>
      </c>
      <c r="R284" s="100">
        <v>6</v>
      </c>
    </row>
    <row r="285" spans="15:18" x14ac:dyDescent="0.2">
      <c r="O285" s="103">
        <v>29.76</v>
      </c>
      <c r="P285" s="102">
        <v>2015</v>
      </c>
      <c r="Q285" s="101">
        <v>57.957779413620969</v>
      </c>
      <c r="R285" s="100">
        <v>6</v>
      </c>
    </row>
    <row r="286" spans="15:18" x14ac:dyDescent="0.2">
      <c r="O286" s="103">
        <v>5.5</v>
      </c>
      <c r="P286" s="102">
        <v>2015</v>
      </c>
      <c r="Q286" s="101">
        <v>133.54484587581558</v>
      </c>
      <c r="R286" s="100">
        <v>6</v>
      </c>
    </row>
    <row r="287" spans="15:18" x14ac:dyDescent="0.2">
      <c r="O287" s="103">
        <v>95</v>
      </c>
      <c r="P287" s="102">
        <v>2015</v>
      </c>
      <c r="Q287" s="101">
        <v>122.59294272358885</v>
      </c>
      <c r="R287" s="100">
        <v>6</v>
      </c>
    </row>
    <row r="288" spans="15:18" x14ac:dyDescent="0.2">
      <c r="O288" s="103">
        <v>50</v>
      </c>
      <c r="P288" s="102">
        <v>2015</v>
      </c>
      <c r="Q288" s="101">
        <v>96.338897815293436</v>
      </c>
      <c r="R288" s="100">
        <v>6</v>
      </c>
    </row>
    <row r="289" spans="15:18" x14ac:dyDescent="0.2">
      <c r="O289" s="103">
        <v>80</v>
      </c>
      <c r="P289" s="102">
        <v>2015</v>
      </c>
      <c r="Q289" s="101">
        <v>70.207566977816356</v>
      </c>
      <c r="R289" s="100">
        <v>6</v>
      </c>
    </row>
    <row r="290" spans="15:18" x14ac:dyDescent="0.2">
      <c r="O290" s="103">
        <v>75</v>
      </c>
      <c r="P290" s="102">
        <v>2016</v>
      </c>
      <c r="Q290" s="101">
        <v>77.075181935259351</v>
      </c>
      <c r="R290" s="100">
        <v>7</v>
      </c>
    </row>
    <row r="291" spans="15:18" x14ac:dyDescent="0.2">
      <c r="O291" s="103">
        <v>50</v>
      </c>
      <c r="P291" s="102">
        <v>2016</v>
      </c>
      <c r="Q291" s="101">
        <v>66.795612046379489</v>
      </c>
      <c r="R291" s="100">
        <v>7</v>
      </c>
    </row>
    <row r="292" spans="15:18" x14ac:dyDescent="0.2">
      <c r="O292" s="103">
        <v>16</v>
      </c>
      <c r="P292" s="102">
        <v>2016</v>
      </c>
      <c r="Q292" s="101">
        <v>60.03067430157742</v>
      </c>
      <c r="R292" s="100">
        <v>7</v>
      </c>
    </row>
    <row r="293" spans="15:18" x14ac:dyDescent="0.2">
      <c r="O293" s="103">
        <v>100.8</v>
      </c>
      <c r="P293" s="102">
        <v>2016</v>
      </c>
      <c r="Q293" s="101">
        <v>64.991047948459197</v>
      </c>
      <c r="R293" s="100">
        <v>7</v>
      </c>
    </row>
    <row r="294" spans="15:18" x14ac:dyDescent="0.2">
      <c r="O294" s="103">
        <v>154</v>
      </c>
      <c r="P294" s="102">
        <v>2016</v>
      </c>
      <c r="Q294" s="101">
        <v>44.75836136707013</v>
      </c>
      <c r="R294" s="100">
        <v>7</v>
      </c>
    </row>
    <row r="295" spans="15:18" x14ac:dyDescent="0.2">
      <c r="O295" s="103">
        <v>30</v>
      </c>
      <c r="P295" s="102">
        <v>2016</v>
      </c>
      <c r="Q295" s="101">
        <v>73.255149930520801</v>
      </c>
      <c r="R295" s="100">
        <v>7</v>
      </c>
    </row>
    <row r="296" spans="15:18" x14ac:dyDescent="0.2">
      <c r="O296" s="103">
        <v>20.5</v>
      </c>
      <c r="P296" s="102">
        <v>2016</v>
      </c>
      <c r="Q296" s="101">
        <v>64.564143358076763</v>
      </c>
      <c r="R296" s="100">
        <v>7</v>
      </c>
    </row>
    <row r="297" spans="15:18" x14ac:dyDescent="0.2">
      <c r="O297" s="103">
        <v>148.69999999999999</v>
      </c>
      <c r="P297" s="102">
        <v>2016</v>
      </c>
      <c r="Q297" s="101">
        <v>73.841869959692389</v>
      </c>
      <c r="R297" s="100">
        <v>7</v>
      </c>
    </row>
    <row r="298" spans="15:18" x14ac:dyDescent="0.2">
      <c r="O298" s="103">
        <v>20</v>
      </c>
      <c r="P298" s="102">
        <v>2016</v>
      </c>
      <c r="Q298" s="101">
        <v>76.486772886992611</v>
      </c>
      <c r="R298" s="100">
        <v>7</v>
      </c>
    </row>
    <row r="299" spans="15:18" x14ac:dyDescent="0.2">
      <c r="O299" s="103">
        <v>50</v>
      </c>
      <c r="P299" s="102">
        <v>2016</v>
      </c>
      <c r="Q299" s="101">
        <v>66.566593695142956</v>
      </c>
      <c r="R299" s="100">
        <v>7</v>
      </c>
    </row>
    <row r="300" spans="15:18" x14ac:dyDescent="0.2">
      <c r="O300" s="103">
        <v>5.0010000000000003</v>
      </c>
      <c r="P300" s="102">
        <v>2016</v>
      </c>
      <c r="Q300" s="101">
        <v>64.666606027944511</v>
      </c>
      <c r="R300" s="100">
        <v>7</v>
      </c>
    </row>
    <row r="301" spans="15:18" x14ac:dyDescent="0.2">
      <c r="O301" s="103">
        <v>56</v>
      </c>
      <c r="P301" s="102">
        <v>2016</v>
      </c>
      <c r="Q301" s="101">
        <v>66.861152396549386</v>
      </c>
      <c r="R301" s="100">
        <v>7</v>
      </c>
    </row>
    <row r="302" spans="15:18" x14ac:dyDescent="0.2">
      <c r="O302" s="103">
        <v>50</v>
      </c>
      <c r="P302" s="102">
        <v>2016</v>
      </c>
      <c r="Q302" s="101">
        <v>69.864272404614582</v>
      </c>
      <c r="R302" s="100">
        <v>7</v>
      </c>
    </row>
    <row r="303" spans="15:18" x14ac:dyDescent="0.2">
      <c r="O303" s="103">
        <v>109.8</v>
      </c>
      <c r="P303" s="102">
        <v>2016</v>
      </c>
      <c r="Q303" s="101">
        <v>75.329797025558449</v>
      </c>
      <c r="R303" s="100">
        <v>7</v>
      </c>
    </row>
    <row r="304" spans="15:18" x14ac:dyDescent="0.2">
      <c r="O304" s="103">
        <v>131.19999999999999</v>
      </c>
      <c r="P304" s="102">
        <v>2016</v>
      </c>
      <c r="Q304" s="101">
        <v>70.216567579890452</v>
      </c>
      <c r="R304" s="100">
        <v>7</v>
      </c>
    </row>
    <row r="305" spans="15:18" x14ac:dyDescent="0.2">
      <c r="O305" s="103">
        <v>20</v>
      </c>
      <c r="P305" s="102">
        <v>2016</v>
      </c>
      <c r="Q305" s="101">
        <v>117.8759408190022</v>
      </c>
      <c r="R305" s="100">
        <v>7</v>
      </c>
    </row>
    <row r="306" spans="15:18" x14ac:dyDescent="0.2">
      <c r="O306" s="103">
        <v>20</v>
      </c>
      <c r="P306" s="102">
        <v>2016</v>
      </c>
      <c r="Q306" s="101">
        <v>84.381157610091961</v>
      </c>
      <c r="R306" s="100">
        <v>7</v>
      </c>
    </row>
    <row r="307" spans="15:18" x14ac:dyDescent="0.2">
      <c r="O307" s="103">
        <v>20</v>
      </c>
      <c r="P307" s="102">
        <v>2016</v>
      </c>
      <c r="Q307" s="101">
        <v>92.217447657632945</v>
      </c>
      <c r="R307" s="100">
        <v>7</v>
      </c>
    </row>
    <row r="308" spans="15:18" x14ac:dyDescent="0.2">
      <c r="O308" s="103">
        <v>15</v>
      </c>
      <c r="P308" s="102">
        <v>2016</v>
      </c>
      <c r="Q308" s="101">
        <v>87.981477650342455</v>
      </c>
      <c r="R308" s="100">
        <v>7</v>
      </c>
    </row>
    <row r="309" spans="15:18" x14ac:dyDescent="0.2">
      <c r="O309" s="103">
        <v>20</v>
      </c>
      <c r="P309" s="102">
        <v>2016</v>
      </c>
      <c r="Q309" s="101">
        <v>86.686560868617974</v>
      </c>
      <c r="R309" s="100">
        <v>7</v>
      </c>
    </row>
    <row r="310" spans="15:18" x14ac:dyDescent="0.2">
      <c r="O310" s="103">
        <v>20</v>
      </c>
      <c r="P310" s="102">
        <v>2016</v>
      </c>
      <c r="Q310" s="101">
        <v>106.44586762348298</v>
      </c>
      <c r="R310" s="100">
        <v>7</v>
      </c>
    </row>
    <row r="311" spans="15:18" x14ac:dyDescent="0.2">
      <c r="O311" s="103">
        <v>21.19</v>
      </c>
      <c r="P311" s="102">
        <v>2016</v>
      </c>
      <c r="Q311" s="101">
        <v>74.197546307034429</v>
      </c>
      <c r="R311" s="100">
        <v>7</v>
      </c>
    </row>
    <row r="312" spans="15:18" x14ac:dyDescent="0.2">
      <c r="O312" s="103">
        <v>40</v>
      </c>
      <c r="P312" s="102">
        <v>2016</v>
      </c>
      <c r="Q312" s="101">
        <v>68.581552509858497</v>
      </c>
      <c r="R312" s="100">
        <v>7</v>
      </c>
    </row>
    <row r="313" spans="15:18" x14ac:dyDescent="0.2">
      <c r="O313" s="103">
        <v>60</v>
      </c>
      <c r="P313" s="102">
        <v>2016</v>
      </c>
      <c r="Q313" s="101">
        <v>70.324146626323085</v>
      </c>
      <c r="R313" s="100">
        <v>7</v>
      </c>
    </row>
    <row r="314" spans="15:18" x14ac:dyDescent="0.2">
      <c r="O314" s="103">
        <v>20</v>
      </c>
      <c r="P314" s="102">
        <v>2016</v>
      </c>
      <c r="Q314" s="101">
        <v>73.731102603393296</v>
      </c>
      <c r="R314" s="100">
        <v>7</v>
      </c>
    </row>
    <row r="315" spans="15:18" x14ac:dyDescent="0.2">
      <c r="O315" s="103">
        <v>102</v>
      </c>
      <c r="P315" s="102">
        <v>2016</v>
      </c>
      <c r="Q315" s="101">
        <v>135.04364731624551</v>
      </c>
      <c r="R315" s="100">
        <v>7</v>
      </c>
    </row>
    <row r="316" spans="15:18" x14ac:dyDescent="0.2">
      <c r="O316" s="103">
        <v>20</v>
      </c>
      <c r="P316" s="102">
        <v>2016</v>
      </c>
      <c r="Q316" s="101">
        <v>60.084067700477476</v>
      </c>
      <c r="R316" s="100">
        <v>7</v>
      </c>
    </row>
    <row r="317" spans="15:18" x14ac:dyDescent="0.2">
      <c r="O317" s="103">
        <v>20</v>
      </c>
      <c r="P317" s="102">
        <v>2016</v>
      </c>
      <c r="Q317" s="101">
        <v>57.755868633941958</v>
      </c>
      <c r="R317" s="100">
        <v>7</v>
      </c>
    </row>
    <row r="318" spans="15:18" x14ac:dyDescent="0.2">
      <c r="O318" s="103">
        <v>20</v>
      </c>
      <c r="P318" s="102">
        <v>2016</v>
      </c>
      <c r="Q318" s="101">
        <v>94.945760630802837</v>
      </c>
      <c r="R318" s="100">
        <v>7</v>
      </c>
    </row>
    <row r="319" spans="15:18" x14ac:dyDescent="0.2">
      <c r="O319" s="103">
        <v>270.60000000000002</v>
      </c>
      <c r="P319" s="102">
        <v>2016</v>
      </c>
      <c r="Q319" s="101">
        <v>78.826213407194047</v>
      </c>
      <c r="R319" s="100">
        <v>7</v>
      </c>
    </row>
    <row r="320" spans="15:18" x14ac:dyDescent="0.2">
      <c r="O320" s="103">
        <v>20</v>
      </c>
      <c r="P320" s="102">
        <v>2016</v>
      </c>
      <c r="Q320" s="101">
        <v>122.9820448821437</v>
      </c>
      <c r="R320" s="100">
        <v>7</v>
      </c>
    </row>
    <row r="321" spans="15:18" x14ac:dyDescent="0.2">
      <c r="O321" s="103">
        <v>20</v>
      </c>
      <c r="P321" s="102">
        <v>2016</v>
      </c>
      <c r="Q321" s="101">
        <v>114.41398179160119</v>
      </c>
      <c r="R321" s="100">
        <v>7</v>
      </c>
    </row>
    <row r="322" spans="15:18" x14ac:dyDescent="0.2">
      <c r="O322" s="103">
        <v>20</v>
      </c>
      <c r="P322" s="102">
        <v>2016</v>
      </c>
      <c r="Q322" s="101">
        <v>88.066786790154907</v>
      </c>
      <c r="R322" s="100">
        <v>7</v>
      </c>
    </row>
    <row r="323" spans="15:18" x14ac:dyDescent="0.2">
      <c r="O323" s="103">
        <v>9.5</v>
      </c>
      <c r="P323" s="102">
        <v>2016</v>
      </c>
      <c r="Q323" s="101">
        <v>84.335257860738878</v>
      </c>
      <c r="R323" s="100">
        <v>7</v>
      </c>
    </row>
    <row r="324" spans="15:18" x14ac:dyDescent="0.2">
      <c r="O324" s="103">
        <v>10.88</v>
      </c>
      <c r="P324" s="102">
        <v>2016</v>
      </c>
      <c r="Q324" s="101">
        <v>107.34933372621441</v>
      </c>
      <c r="R324" s="100">
        <v>7</v>
      </c>
    </row>
    <row r="325" spans="15:18" x14ac:dyDescent="0.2">
      <c r="O325" s="103">
        <v>100</v>
      </c>
      <c r="P325" s="102">
        <v>2016</v>
      </c>
      <c r="Q325" s="101">
        <v>73.625044852949415</v>
      </c>
      <c r="R325" s="100">
        <v>7</v>
      </c>
    </row>
    <row r="326" spans="15:18" x14ac:dyDescent="0.2">
      <c r="O326" s="103">
        <v>75</v>
      </c>
      <c r="P326" s="102">
        <v>2016</v>
      </c>
      <c r="Q326" s="101">
        <v>69.37892445012038</v>
      </c>
      <c r="R326" s="100">
        <v>7</v>
      </c>
    </row>
    <row r="327" spans="15:18" x14ac:dyDescent="0.2">
      <c r="O327" s="103">
        <v>62</v>
      </c>
      <c r="P327" s="102">
        <v>2016</v>
      </c>
      <c r="Q327" s="101">
        <v>77.450767959799023</v>
      </c>
      <c r="R327" s="100">
        <v>7</v>
      </c>
    </row>
    <row r="328" spans="15:18" x14ac:dyDescent="0.2">
      <c r="O328" s="103">
        <v>185</v>
      </c>
      <c r="P328" s="102">
        <v>2016</v>
      </c>
      <c r="Q328" s="101">
        <v>71.054350090583284</v>
      </c>
      <c r="R328" s="100">
        <v>7</v>
      </c>
    </row>
    <row r="329" spans="15:18" x14ac:dyDescent="0.2">
      <c r="O329" s="103">
        <v>20</v>
      </c>
      <c r="P329" s="102">
        <v>2016</v>
      </c>
      <c r="Q329" s="101">
        <v>76.716980339191721</v>
      </c>
      <c r="R329" s="100">
        <v>7</v>
      </c>
    </row>
    <row r="330" spans="15:18" x14ac:dyDescent="0.2">
      <c r="O330" s="103">
        <v>100</v>
      </c>
      <c r="P330" s="102">
        <v>2016</v>
      </c>
      <c r="Q330" s="101">
        <v>90.985817593290548</v>
      </c>
      <c r="R330" s="100">
        <v>7</v>
      </c>
    </row>
    <row r="331" spans="15:18" x14ac:dyDescent="0.2">
      <c r="O331" s="103">
        <v>205.3</v>
      </c>
      <c r="P331" s="102">
        <v>2016</v>
      </c>
      <c r="Q331" s="101">
        <v>83.087745015463355</v>
      </c>
      <c r="R331" s="100">
        <v>7</v>
      </c>
    </row>
    <row r="332" spans="15:18" x14ac:dyDescent="0.2">
      <c r="O332" s="103">
        <v>19.5</v>
      </c>
      <c r="P332" s="102">
        <v>2016</v>
      </c>
      <c r="Q332" s="101">
        <v>111.05341845003895</v>
      </c>
      <c r="R332" s="100">
        <v>7</v>
      </c>
    </row>
    <row r="333" spans="15:18" x14ac:dyDescent="0.2">
      <c r="O333" s="103">
        <v>19.5</v>
      </c>
      <c r="P333" s="102">
        <v>2016</v>
      </c>
      <c r="Q333" s="101">
        <v>110.07452483682226</v>
      </c>
      <c r="R333" s="100">
        <v>7</v>
      </c>
    </row>
    <row r="334" spans="15:18" x14ac:dyDescent="0.2">
      <c r="O334" s="103">
        <v>20</v>
      </c>
      <c r="P334" s="102">
        <v>2016</v>
      </c>
      <c r="Q334" s="101">
        <v>80.895556865142453</v>
      </c>
      <c r="R334" s="100">
        <v>7</v>
      </c>
    </row>
    <row r="335" spans="15:18" x14ac:dyDescent="0.2">
      <c r="O335" s="103">
        <v>85</v>
      </c>
      <c r="P335" s="102">
        <v>2016</v>
      </c>
      <c r="Q335" s="101">
        <v>67.833911432247561</v>
      </c>
      <c r="R335" s="100">
        <v>7</v>
      </c>
    </row>
    <row r="336" spans="15:18" x14ac:dyDescent="0.2">
      <c r="O336" s="103">
        <v>105</v>
      </c>
      <c r="P336" s="102">
        <v>2016</v>
      </c>
      <c r="Q336" s="101">
        <v>84.667571274507026</v>
      </c>
      <c r="R336" s="100">
        <v>7</v>
      </c>
    </row>
    <row r="337" spans="15:18" x14ac:dyDescent="0.2">
      <c r="O337" s="103">
        <v>155</v>
      </c>
      <c r="P337" s="102">
        <v>2016</v>
      </c>
      <c r="Q337" s="101">
        <v>76.876493013612475</v>
      </c>
      <c r="R337" s="100">
        <v>7</v>
      </c>
    </row>
    <row r="338" spans="15:18" x14ac:dyDescent="0.2">
      <c r="O338" s="103">
        <v>54</v>
      </c>
      <c r="P338" s="102">
        <v>2016</v>
      </c>
      <c r="Q338" s="101">
        <v>80.19814974685174</v>
      </c>
      <c r="R338" s="100">
        <v>7</v>
      </c>
    </row>
    <row r="339" spans="15:18" x14ac:dyDescent="0.2">
      <c r="O339" s="103">
        <v>299.5</v>
      </c>
      <c r="P339" s="102">
        <v>2016</v>
      </c>
      <c r="Q339" s="101">
        <v>145.25151842504818</v>
      </c>
      <c r="R339" s="100">
        <v>7</v>
      </c>
    </row>
    <row r="340" spans="15:18" x14ac:dyDescent="0.2">
      <c r="O340" s="103">
        <v>20</v>
      </c>
      <c r="P340" s="102">
        <v>2016</v>
      </c>
      <c r="Q340" s="101">
        <v>60.419794188266721</v>
      </c>
      <c r="R340" s="100">
        <v>7</v>
      </c>
    </row>
    <row r="341" spans="15:18" x14ac:dyDescent="0.2">
      <c r="O341" s="103">
        <v>54</v>
      </c>
      <c r="P341" s="102">
        <v>2016</v>
      </c>
      <c r="Q341" s="101">
        <v>79.766703622445277</v>
      </c>
      <c r="R341" s="100">
        <v>7</v>
      </c>
    </row>
    <row r="342" spans="15:18" x14ac:dyDescent="0.2">
      <c r="O342" s="103">
        <v>14</v>
      </c>
      <c r="P342" s="102">
        <v>2016</v>
      </c>
      <c r="Q342" s="101">
        <v>129.77613701690004</v>
      </c>
      <c r="R342" s="100">
        <v>7</v>
      </c>
    </row>
    <row r="343" spans="15:18" x14ac:dyDescent="0.2">
      <c r="O343" s="103">
        <v>20</v>
      </c>
      <c r="P343" s="102">
        <v>2016</v>
      </c>
      <c r="Q343" s="101">
        <v>70.969225451008455</v>
      </c>
      <c r="R343" s="100">
        <v>7</v>
      </c>
    </row>
    <row r="344" spans="15:18" x14ac:dyDescent="0.2">
      <c r="O344" s="103">
        <v>10</v>
      </c>
      <c r="P344" s="102">
        <v>2016</v>
      </c>
      <c r="Q344" s="101">
        <v>74.306529213968119</v>
      </c>
      <c r="R344" s="100">
        <v>7</v>
      </c>
    </row>
    <row r="345" spans="15:18" x14ac:dyDescent="0.2">
      <c r="O345" s="103">
        <v>10</v>
      </c>
      <c r="P345" s="102">
        <v>2016</v>
      </c>
      <c r="Q345" s="101">
        <v>76.374957761221822</v>
      </c>
      <c r="R345" s="100">
        <v>7</v>
      </c>
    </row>
    <row r="346" spans="15:18" x14ac:dyDescent="0.2">
      <c r="O346" s="103">
        <v>120</v>
      </c>
      <c r="P346" s="102">
        <v>2016</v>
      </c>
      <c r="Q346" s="101">
        <v>88.115960974220116</v>
      </c>
      <c r="R346" s="100">
        <v>7</v>
      </c>
    </row>
    <row r="347" spans="15:18" x14ac:dyDescent="0.2">
      <c r="O347" s="103">
        <v>32.4</v>
      </c>
      <c r="P347" s="102">
        <v>2016</v>
      </c>
      <c r="Q347" s="101">
        <v>71.814793941427723</v>
      </c>
      <c r="R347" s="100">
        <v>7</v>
      </c>
    </row>
    <row r="348" spans="15:18" x14ac:dyDescent="0.2">
      <c r="O348" s="103">
        <v>30</v>
      </c>
      <c r="P348" s="102">
        <v>2016</v>
      </c>
      <c r="Q348" s="101">
        <v>68.173333792059424</v>
      </c>
      <c r="R348" s="100">
        <v>7</v>
      </c>
    </row>
    <row r="349" spans="15:18" x14ac:dyDescent="0.2">
      <c r="O349" s="103">
        <v>13</v>
      </c>
      <c r="P349" s="102">
        <v>2016</v>
      </c>
      <c r="Q349" s="101">
        <v>84.600820316194543</v>
      </c>
      <c r="R349" s="100">
        <v>7</v>
      </c>
    </row>
    <row r="350" spans="15:18" x14ac:dyDescent="0.2">
      <c r="O350" s="103">
        <v>6.5</v>
      </c>
      <c r="P350" s="102">
        <v>2016</v>
      </c>
      <c r="Q350" s="101">
        <v>103.58490390138961</v>
      </c>
      <c r="R350" s="100">
        <v>7</v>
      </c>
    </row>
    <row r="351" spans="15:18" x14ac:dyDescent="0.2">
      <c r="O351" s="103">
        <v>12.831</v>
      </c>
      <c r="P351" s="102">
        <v>2016</v>
      </c>
      <c r="Q351" s="101">
        <v>94.046412920209249</v>
      </c>
      <c r="R351" s="100">
        <v>7</v>
      </c>
    </row>
    <row r="352" spans="15:18" x14ac:dyDescent="0.2">
      <c r="O352" s="103">
        <v>74.5</v>
      </c>
      <c r="P352" s="102">
        <v>2016</v>
      </c>
      <c r="Q352" s="101">
        <v>79.314306518911152</v>
      </c>
      <c r="R352" s="100">
        <v>7</v>
      </c>
    </row>
    <row r="353" spans="15:18" x14ac:dyDescent="0.2">
      <c r="O353" s="103">
        <v>74.5</v>
      </c>
      <c r="P353" s="102">
        <v>2016</v>
      </c>
      <c r="Q353" s="101">
        <v>82.6626828838683</v>
      </c>
      <c r="R353" s="100">
        <v>7</v>
      </c>
    </row>
    <row r="354" spans="15:18" x14ac:dyDescent="0.2">
      <c r="O354" s="103">
        <v>74.5</v>
      </c>
      <c r="P354" s="102">
        <v>2016</v>
      </c>
      <c r="Q354" s="101">
        <v>110.65118515459328</v>
      </c>
      <c r="R354" s="100">
        <v>7</v>
      </c>
    </row>
    <row r="355" spans="15:18" x14ac:dyDescent="0.2">
      <c r="O355" s="103">
        <v>5.0999999999999996</v>
      </c>
      <c r="P355" s="102">
        <v>2016</v>
      </c>
      <c r="Q355" s="101">
        <v>120.56295940634429</v>
      </c>
      <c r="R355" s="100">
        <v>7</v>
      </c>
    </row>
    <row r="356" spans="15:18" x14ac:dyDescent="0.2">
      <c r="O356" s="103">
        <v>22</v>
      </c>
      <c r="P356" s="102">
        <v>2016</v>
      </c>
      <c r="Q356" s="101">
        <v>86.311033224033565</v>
      </c>
      <c r="R356" s="100">
        <v>7</v>
      </c>
    </row>
    <row r="357" spans="15:18" x14ac:dyDescent="0.2">
      <c r="O357" s="103">
        <v>103</v>
      </c>
      <c r="P357" s="102">
        <v>2016</v>
      </c>
      <c r="Q357" s="101">
        <v>87.262211523703414</v>
      </c>
      <c r="R357" s="100">
        <v>7</v>
      </c>
    </row>
    <row r="358" spans="15:18" x14ac:dyDescent="0.2">
      <c r="O358" s="103">
        <v>30</v>
      </c>
      <c r="P358" s="102">
        <v>2016</v>
      </c>
      <c r="Q358" s="101">
        <v>107.86895259912018</v>
      </c>
      <c r="R358" s="100">
        <v>7</v>
      </c>
    </row>
    <row r="359" spans="15:18" x14ac:dyDescent="0.2">
      <c r="O359" s="103">
        <v>30</v>
      </c>
      <c r="P359" s="102">
        <v>2016</v>
      </c>
      <c r="Q359" s="101">
        <v>114.73552706265549</v>
      </c>
      <c r="R359" s="100">
        <v>7</v>
      </c>
    </row>
    <row r="360" spans="15:18" x14ac:dyDescent="0.2">
      <c r="O360" s="103">
        <v>52.5</v>
      </c>
      <c r="P360" s="102">
        <v>2016</v>
      </c>
      <c r="Q360" s="101">
        <v>97.766853392849484</v>
      </c>
      <c r="R360" s="100">
        <v>7</v>
      </c>
    </row>
    <row r="361" spans="15:18" x14ac:dyDescent="0.2">
      <c r="O361" s="103">
        <v>30</v>
      </c>
      <c r="P361" s="102">
        <v>2016</v>
      </c>
      <c r="Q361" s="101">
        <v>104.45253393717178</v>
      </c>
      <c r="R361" s="100">
        <v>7</v>
      </c>
    </row>
    <row r="362" spans="15:18" x14ac:dyDescent="0.2">
      <c r="O362" s="103">
        <v>51</v>
      </c>
      <c r="P362" s="102">
        <v>2016</v>
      </c>
      <c r="Q362" s="101">
        <v>85.406900247159825</v>
      </c>
      <c r="R362" s="100">
        <v>7</v>
      </c>
    </row>
    <row r="363" spans="15:18" x14ac:dyDescent="0.2">
      <c r="O363" s="103">
        <v>20.163</v>
      </c>
      <c r="P363" s="102">
        <v>2016</v>
      </c>
      <c r="Q363" s="101">
        <v>90.03361677714372</v>
      </c>
      <c r="R363" s="100">
        <v>7</v>
      </c>
    </row>
    <row r="364" spans="15:18" x14ac:dyDescent="0.2">
      <c r="O364" s="103">
        <v>30.48</v>
      </c>
      <c r="P364" s="102">
        <v>2016</v>
      </c>
      <c r="Q364" s="101">
        <v>89.514021661694443</v>
      </c>
      <c r="R364" s="100">
        <v>7</v>
      </c>
    </row>
    <row r="365" spans="15:18" x14ac:dyDescent="0.2">
      <c r="O365" s="103">
        <v>15.7</v>
      </c>
      <c r="P365" s="102">
        <v>2016</v>
      </c>
      <c r="Q365" s="101">
        <v>119.26576439986225</v>
      </c>
      <c r="R365" s="100">
        <v>7</v>
      </c>
    </row>
    <row r="366" spans="15:18" x14ac:dyDescent="0.2">
      <c r="O366" s="103">
        <v>17.68</v>
      </c>
      <c r="P366" s="102">
        <v>2016</v>
      </c>
      <c r="Q366" s="101">
        <v>101.49362361424467</v>
      </c>
      <c r="R366" s="100">
        <v>7</v>
      </c>
    </row>
    <row r="367" spans="15:18" x14ac:dyDescent="0.2">
      <c r="O367" s="103">
        <v>146</v>
      </c>
      <c r="P367" s="102">
        <v>2016</v>
      </c>
      <c r="Q367" s="101">
        <v>86.689531542009846</v>
      </c>
      <c r="R367" s="100">
        <v>7</v>
      </c>
    </row>
    <row r="368" spans="15:18" x14ac:dyDescent="0.2">
      <c r="O368" s="103">
        <v>76.5</v>
      </c>
      <c r="P368" s="102">
        <v>2016</v>
      </c>
      <c r="Q368" s="101">
        <v>84.006934821162901</v>
      </c>
      <c r="R368" s="100">
        <v>7</v>
      </c>
    </row>
    <row r="369" spans="15:18" x14ac:dyDescent="0.2">
      <c r="O369" s="103">
        <v>101.2</v>
      </c>
      <c r="P369" s="102">
        <v>2016</v>
      </c>
      <c r="Q369" s="101">
        <v>80.198382659364029</v>
      </c>
      <c r="R369" s="100">
        <v>7</v>
      </c>
    </row>
    <row r="370" spans="15:18" x14ac:dyDescent="0.2">
      <c r="O370" s="103">
        <v>80</v>
      </c>
      <c r="P370" s="102">
        <v>2016</v>
      </c>
      <c r="Q370" s="101">
        <v>63.660741520342832</v>
      </c>
      <c r="R370" s="100">
        <v>7</v>
      </c>
    </row>
    <row r="371" spans="15:18" x14ac:dyDescent="0.2">
      <c r="O371" s="103">
        <v>40</v>
      </c>
      <c r="P371" s="102">
        <v>2016</v>
      </c>
      <c r="Q371" s="101">
        <v>93.88473117992244</v>
      </c>
      <c r="R371" s="100">
        <v>7</v>
      </c>
    </row>
    <row r="372" spans="15:18" x14ac:dyDescent="0.2">
      <c r="O372" s="103">
        <v>5.4</v>
      </c>
      <c r="P372" s="102">
        <v>2016</v>
      </c>
      <c r="Q372" s="101">
        <v>112.14774854002432</v>
      </c>
      <c r="R372" s="100">
        <v>7</v>
      </c>
    </row>
    <row r="373" spans="15:18" x14ac:dyDescent="0.2">
      <c r="O373" s="103">
        <v>5.01</v>
      </c>
      <c r="P373" s="102">
        <v>2016</v>
      </c>
      <c r="Q373" s="101">
        <v>125.06304745912486</v>
      </c>
      <c r="R373" s="100">
        <v>7</v>
      </c>
    </row>
    <row r="374" spans="15:18" x14ac:dyDescent="0.2">
      <c r="O374" s="103">
        <v>5.2</v>
      </c>
      <c r="P374" s="102">
        <v>2016</v>
      </c>
      <c r="Q374" s="101">
        <v>117.6387514220049</v>
      </c>
      <c r="R374" s="100">
        <v>7</v>
      </c>
    </row>
    <row r="375" spans="15:18" x14ac:dyDescent="0.2">
      <c r="O375" s="103">
        <v>10</v>
      </c>
      <c r="P375" s="102">
        <v>2016</v>
      </c>
      <c r="Q375" s="101">
        <v>124.76747499486981</v>
      </c>
      <c r="R375" s="100">
        <v>7</v>
      </c>
    </row>
    <row r="376" spans="15:18" x14ac:dyDescent="0.2">
      <c r="O376" s="103">
        <v>11.93</v>
      </c>
      <c r="P376" s="102">
        <v>2016</v>
      </c>
      <c r="Q376" s="101">
        <v>190.03839833004992</v>
      </c>
      <c r="R376" s="100">
        <v>7</v>
      </c>
    </row>
    <row r="377" spans="15:18" x14ac:dyDescent="0.2">
      <c r="O377" s="103">
        <v>14.681999999999899</v>
      </c>
      <c r="P377" s="102">
        <v>2016</v>
      </c>
      <c r="Q377" s="101">
        <v>804.19578982695589</v>
      </c>
      <c r="R377" s="100">
        <v>7</v>
      </c>
    </row>
    <row r="378" spans="15:18" x14ac:dyDescent="0.2">
      <c r="O378" s="103">
        <v>15.7</v>
      </c>
      <c r="P378" s="102">
        <v>2016</v>
      </c>
      <c r="Q378" s="101">
        <v>130.60572597681082</v>
      </c>
      <c r="R378" s="100">
        <v>7</v>
      </c>
    </row>
    <row r="379" spans="15:18" x14ac:dyDescent="0.2">
      <c r="O379" s="103">
        <v>13.6</v>
      </c>
      <c r="P379" s="102">
        <v>2016</v>
      </c>
      <c r="Q379" s="101">
        <v>115.63664136290228</v>
      </c>
      <c r="R379" s="100">
        <v>7</v>
      </c>
    </row>
    <row r="380" spans="15:18" x14ac:dyDescent="0.2">
      <c r="O380" s="103">
        <v>10</v>
      </c>
      <c r="P380" s="102">
        <v>2016</v>
      </c>
      <c r="Q380" s="101">
        <v>154.93513127977184</v>
      </c>
      <c r="R380" s="100">
        <v>7</v>
      </c>
    </row>
    <row r="381" spans="15:18" x14ac:dyDescent="0.2">
      <c r="O381" s="103">
        <v>100</v>
      </c>
      <c r="P381" s="102">
        <v>2016</v>
      </c>
      <c r="Q381" s="101">
        <v>103.87887153708226</v>
      </c>
      <c r="R381" s="100">
        <v>7</v>
      </c>
    </row>
    <row r="382" spans="15:18" x14ac:dyDescent="0.2">
      <c r="O382" s="103">
        <v>40</v>
      </c>
      <c r="P382" s="102">
        <v>2016</v>
      </c>
      <c r="Q382" s="101">
        <v>95.883035324037323</v>
      </c>
      <c r="R382" s="100">
        <v>7</v>
      </c>
    </row>
    <row r="383" spans="15:18" x14ac:dyDescent="0.2">
      <c r="O383" s="103">
        <v>78.5</v>
      </c>
      <c r="P383" s="102">
        <v>2016</v>
      </c>
      <c r="Q383" s="101">
        <v>96.104249950590969</v>
      </c>
      <c r="R383" s="100">
        <v>7</v>
      </c>
    </row>
    <row r="384" spans="15:18" x14ac:dyDescent="0.2">
      <c r="O384" s="103">
        <v>38.9</v>
      </c>
      <c r="P384" s="102">
        <v>2016</v>
      </c>
      <c r="Q384" s="101">
        <v>82.654170706647562</v>
      </c>
      <c r="R384" s="100">
        <v>7</v>
      </c>
    </row>
    <row r="385" spans="15:18" x14ac:dyDescent="0.2">
      <c r="O385" s="103">
        <v>15.4</v>
      </c>
      <c r="P385" s="102">
        <v>2016</v>
      </c>
      <c r="Q385" s="101">
        <v>103.54214958712187</v>
      </c>
      <c r="R385" s="100">
        <v>7</v>
      </c>
    </row>
    <row r="386" spans="15:18" x14ac:dyDescent="0.2">
      <c r="O386" s="103">
        <v>19.998999999999999</v>
      </c>
      <c r="P386" s="102">
        <v>2016</v>
      </c>
      <c r="Q386" s="101">
        <v>110.63621866190266</v>
      </c>
      <c r="R386" s="100">
        <v>7</v>
      </c>
    </row>
    <row r="387" spans="15:18" x14ac:dyDescent="0.2">
      <c r="O387" s="103">
        <v>74.8</v>
      </c>
      <c r="P387" s="102">
        <v>2016</v>
      </c>
      <c r="Q387" s="101">
        <v>84.721411040322266</v>
      </c>
      <c r="R387" s="100">
        <v>7</v>
      </c>
    </row>
    <row r="388" spans="15:18" x14ac:dyDescent="0.2">
      <c r="O388" s="103">
        <v>6.6639999999999997</v>
      </c>
      <c r="P388" s="102">
        <v>2016</v>
      </c>
      <c r="Q388" s="101">
        <v>96.913388365247485</v>
      </c>
      <c r="R388" s="100">
        <v>7</v>
      </c>
    </row>
    <row r="389" spans="15:18" x14ac:dyDescent="0.2">
      <c r="O389" s="103">
        <v>60</v>
      </c>
      <c r="P389" s="102">
        <v>2016</v>
      </c>
      <c r="Q389" s="101">
        <v>107.71093659641161</v>
      </c>
      <c r="R389" s="100">
        <v>7</v>
      </c>
    </row>
    <row r="390" spans="15:18" x14ac:dyDescent="0.2">
      <c r="O390" s="103">
        <v>15</v>
      </c>
      <c r="P390" s="102">
        <v>2016</v>
      </c>
      <c r="Q390" s="101">
        <v>110.97746415685519</v>
      </c>
      <c r="R390" s="100">
        <v>7</v>
      </c>
    </row>
    <row r="391" spans="15:18" x14ac:dyDescent="0.2">
      <c r="O391" s="103">
        <v>5.9</v>
      </c>
      <c r="P391" s="102">
        <v>2016</v>
      </c>
      <c r="Q391" s="101">
        <v>108.29362826271401</v>
      </c>
      <c r="R391" s="100">
        <v>7</v>
      </c>
    </row>
    <row r="392" spans="15:18" x14ac:dyDescent="0.2">
      <c r="O392" s="103">
        <v>8.5</v>
      </c>
      <c r="P392" s="102">
        <v>2016</v>
      </c>
      <c r="Q392" s="101">
        <v>138.36039523744989</v>
      </c>
      <c r="R392" s="100">
        <v>7</v>
      </c>
    </row>
    <row r="393" spans="15:18" x14ac:dyDescent="0.2">
      <c r="O393" s="103">
        <v>7.92</v>
      </c>
      <c r="P393" s="102">
        <v>2016</v>
      </c>
      <c r="Q393" s="101">
        <v>192.3892258525625</v>
      </c>
      <c r="R393" s="100">
        <v>7</v>
      </c>
    </row>
    <row r="394" spans="15:18" x14ac:dyDescent="0.2">
      <c r="O394" s="103">
        <v>7</v>
      </c>
      <c r="P394" s="102">
        <v>2016</v>
      </c>
      <c r="Q394" s="101">
        <v>177.45270243804586</v>
      </c>
      <c r="R394" s="100">
        <v>7</v>
      </c>
    </row>
    <row r="395" spans="15:18" x14ac:dyDescent="0.2">
      <c r="O395" s="103">
        <v>6.2</v>
      </c>
      <c r="P395" s="102">
        <v>2016</v>
      </c>
      <c r="Q395" s="101">
        <v>198.97243762089585</v>
      </c>
      <c r="R395" s="100">
        <v>7</v>
      </c>
    </row>
    <row r="396" spans="15:18" x14ac:dyDescent="0.2">
      <c r="O396" s="103">
        <v>7.7</v>
      </c>
      <c r="P396" s="102">
        <v>2016</v>
      </c>
      <c r="Q396" s="101">
        <v>156.95110094576222</v>
      </c>
      <c r="R396" s="100">
        <v>7</v>
      </c>
    </row>
    <row r="397" spans="15:18" x14ac:dyDescent="0.2">
      <c r="O397" s="103">
        <v>7.5</v>
      </c>
      <c r="P397" s="102">
        <v>2016</v>
      </c>
      <c r="Q397" s="101">
        <v>143.81646251754117</v>
      </c>
      <c r="R397" s="100">
        <v>7</v>
      </c>
    </row>
    <row r="398" spans="15:18" x14ac:dyDescent="0.2">
      <c r="O398" s="103">
        <v>25</v>
      </c>
      <c r="P398" s="102">
        <v>2016</v>
      </c>
      <c r="Q398" s="101">
        <v>67.196071927291044</v>
      </c>
      <c r="R398" s="100">
        <v>7</v>
      </c>
    </row>
    <row r="399" spans="15:18" x14ac:dyDescent="0.2">
      <c r="O399" s="103">
        <v>70</v>
      </c>
      <c r="P399" s="102">
        <v>2016</v>
      </c>
      <c r="Q399" s="101">
        <v>69.448563013735281</v>
      </c>
      <c r="R399" s="100">
        <v>7</v>
      </c>
    </row>
    <row r="400" spans="15:18" x14ac:dyDescent="0.2">
      <c r="O400" s="103">
        <v>70</v>
      </c>
      <c r="P400" s="102">
        <v>2016</v>
      </c>
      <c r="Q400" s="101">
        <v>73.256124689271431</v>
      </c>
      <c r="R400" s="100">
        <v>7</v>
      </c>
    </row>
    <row r="401" spans="15:18" x14ac:dyDescent="0.2">
      <c r="O401" s="103">
        <v>100</v>
      </c>
      <c r="P401" s="102">
        <v>2016</v>
      </c>
      <c r="Q401" s="101">
        <v>69.983227100033815</v>
      </c>
      <c r="R401" s="100">
        <v>7</v>
      </c>
    </row>
    <row r="402" spans="15:18" x14ac:dyDescent="0.2">
      <c r="O402" s="103">
        <v>93.6</v>
      </c>
      <c r="P402" s="102">
        <v>2016</v>
      </c>
      <c r="Q402" s="101">
        <v>76.651165695985185</v>
      </c>
      <c r="R402" s="100">
        <v>7</v>
      </c>
    </row>
    <row r="403" spans="15:18" x14ac:dyDescent="0.2">
      <c r="O403" s="103">
        <v>250</v>
      </c>
      <c r="P403" s="102">
        <v>2016</v>
      </c>
      <c r="Q403" s="101">
        <v>97.082838166994691</v>
      </c>
      <c r="R403" s="100">
        <v>7</v>
      </c>
    </row>
    <row r="404" spans="15:18" x14ac:dyDescent="0.2">
      <c r="O404" s="103">
        <v>14.4</v>
      </c>
      <c r="P404" s="102">
        <v>2016</v>
      </c>
      <c r="Q404" s="101">
        <v>109.43016133978264</v>
      </c>
      <c r="R404" s="100">
        <v>7</v>
      </c>
    </row>
    <row r="405" spans="15:18" x14ac:dyDescent="0.2">
      <c r="O405" s="103">
        <v>249.99999999999901</v>
      </c>
      <c r="P405" s="102">
        <v>2016</v>
      </c>
      <c r="Q405" s="101">
        <v>67.615802725332827</v>
      </c>
      <c r="R405" s="100">
        <v>7</v>
      </c>
    </row>
    <row r="406" spans="15:18" x14ac:dyDescent="0.2">
      <c r="O406" s="103">
        <v>9.5</v>
      </c>
      <c r="P406" s="102">
        <v>2016</v>
      </c>
      <c r="Q406" s="101">
        <v>155.31558888711936</v>
      </c>
      <c r="R406" s="100">
        <v>7</v>
      </c>
    </row>
    <row r="407" spans="15:18" x14ac:dyDescent="0.2">
      <c r="O407" s="103">
        <v>9.9</v>
      </c>
      <c r="P407" s="102">
        <v>2016</v>
      </c>
      <c r="Q407" s="101">
        <v>137.57868531813457</v>
      </c>
      <c r="R407" s="100">
        <v>7</v>
      </c>
    </row>
    <row r="408" spans="15:18" x14ac:dyDescent="0.2">
      <c r="O408" s="103">
        <v>6</v>
      </c>
      <c r="P408" s="102">
        <v>2016</v>
      </c>
      <c r="Q408" s="101">
        <v>88.187714375764699</v>
      </c>
      <c r="R408" s="100">
        <v>7</v>
      </c>
    </row>
    <row r="409" spans="15:18" x14ac:dyDescent="0.2">
      <c r="O409" s="103">
        <v>9</v>
      </c>
      <c r="P409" s="102">
        <v>2016</v>
      </c>
      <c r="Q409" s="101">
        <v>88.84832492447417</v>
      </c>
      <c r="R409" s="100">
        <v>7</v>
      </c>
    </row>
    <row r="410" spans="15:18" x14ac:dyDescent="0.2">
      <c r="O410" s="103">
        <v>9.9</v>
      </c>
      <c r="P410" s="102">
        <v>2016</v>
      </c>
      <c r="Q410" s="101">
        <v>92.956709262582223</v>
      </c>
      <c r="R410" s="100">
        <v>7</v>
      </c>
    </row>
    <row r="411" spans="15:18" x14ac:dyDescent="0.2">
      <c r="O411" s="103">
        <v>10</v>
      </c>
      <c r="P411" s="102">
        <v>2016</v>
      </c>
      <c r="Q411" s="101">
        <v>86.48896769870494</v>
      </c>
      <c r="R411" s="100">
        <v>7</v>
      </c>
    </row>
    <row r="412" spans="15:18" x14ac:dyDescent="0.2">
      <c r="O412" s="103">
        <v>8</v>
      </c>
      <c r="P412" s="102">
        <v>2016</v>
      </c>
      <c r="Q412" s="101">
        <v>93.641608935188373</v>
      </c>
      <c r="R412" s="100">
        <v>7</v>
      </c>
    </row>
    <row r="413" spans="15:18" x14ac:dyDescent="0.2">
      <c r="O413" s="103">
        <v>10</v>
      </c>
      <c r="P413" s="102">
        <v>2016</v>
      </c>
      <c r="Q413" s="101">
        <v>88.748028701805978</v>
      </c>
      <c r="R413" s="100">
        <v>7</v>
      </c>
    </row>
    <row r="414" spans="15:18" x14ac:dyDescent="0.2">
      <c r="O414" s="103">
        <v>10</v>
      </c>
      <c r="P414" s="102">
        <v>2016</v>
      </c>
      <c r="Q414" s="101">
        <v>88.766657097173024</v>
      </c>
      <c r="R414" s="100">
        <v>7</v>
      </c>
    </row>
    <row r="415" spans="15:18" x14ac:dyDescent="0.2">
      <c r="O415" s="103">
        <v>10</v>
      </c>
      <c r="P415" s="102">
        <v>2016</v>
      </c>
      <c r="Q415" s="101">
        <v>92.933176332503209</v>
      </c>
      <c r="R415" s="100">
        <v>7</v>
      </c>
    </row>
    <row r="416" spans="15:18" x14ac:dyDescent="0.2">
      <c r="O416" s="103">
        <v>6.8</v>
      </c>
      <c r="P416" s="102">
        <v>2016</v>
      </c>
      <c r="Q416" s="101">
        <v>84.39582820685979</v>
      </c>
      <c r="R416" s="100">
        <v>7</v>
      </c>
    </row>
    <row r="417" spans="15:18" x14ac:dyDescent="0.2">
      <c r="O417" s="103">
        <v>16</v>
      </c>
      <c r="P417" s="102">
        <v>2016</v>
      </c>
      <c r="Q417" s="101">
        <v>99.713999282924902</v>
      </c>
      <c r="R417" s="100">
        <v>7</v>
      </c>
    </row>
    <row r="418" spans="15:18" x14ac:dyDescent="0.2">
      <c r="O418" s="103">
        <v>8</v>
      </c>
      <c r="P418" s="102">
        <v>2016</v>
      </c>
      <c r="Q418" s="101">
        <v>102.5453529904688</v>
      </c>
      <c r="R418" s="100">
        <v>7</v>
      </c>
    </row>
    <row r="419" spans="15:18" x14ac:dyDescent="0.2">
      <c r="O419" s="103">
        <v>106.4</v>
      </c>
      <c r="P419" s="102">
        <v>2016</v>
      </c>
      <c r="Q419" s="101">
        <v>91.685319585175776</v>
      </c>
      <c r="R419" s="100">
        <v>7</v>
      </c>
    </row>
    <row r="420" spans="15:18" x14ac:dyDescent="0.2">
      <c r="O420" s="103">
        <v>157.5</v>
      </c>
      <c r="P420" s="102">
        <v>2016</v>
      </c>
      <c r="Q420" s="101">
        <v>74.244451922962867</v>
      </c>
      <c r="R420" s="100">
        <v>7</v>
      </c>
    </row>
    <row r="421" spans="15:18" x14ac:dyDescent="0.2">
      <c r="O421" s="103">
        <v>80</v>
      </c>
      <c r="P421" s="102">
        <v>2016</v>
      </c>
      <c r="Q421" s="101">
        <v>56.727343565284933</v>
      </c>
      <c r="R421" s="100">
        <v>7</v>
      </c>
    </row>
    <row r="422" spans="15:18" x14ac:dyDescent="0.2">
      <c r="O422" s="103">
        <v>80.016000000000005</v>
      </c>
      <c r="P422" s="102">
        <v>2016</v>
      </c>
      <c r="Q422" s="101">
        <v>60.374186590335249</v>
      </c>
      <c r="R422" s="100">
        <v>7</v>
      </c>
    </row>
    <row r="423" spans="15:18" x14ac:dyDescent="0.2">
      <c r="O423" s="103">
        <v>80.016000000000005</v>
      </c>
      <c r="P423" s="102">
        <v>2016</v>
      </c>
      <c r="Q423" s="101">
        <v>61.212252993357815</v>
      </c>
      <c r="R423" s="100">
        <v>7</v>
      </c>
    </row>
    <row r="424" spans="15:18" x14ac:dyDescent="0.2">
      <c r="O424" s="103">
        <v>80.016000000000005</v>
      </c>
      <c r="P424" s="102">
        <v>2016</v>
      </c>
      <c r="Q424" s="101">
        <v>61.097764365275502</v>
      </c>
      <c r="R424" s="100">
        <v>7</v>
      </c>
    </row>
    <row r="425" spans="15:18" x14ac:dyDescent="0.2">
      <c r="O425" s="103">
        <v>80</v>
      </c>
      <c r="P425" s="102">
        <v>2016</v>
      </c>
      <c r="Q425" s="101">
        <v>65.227157618825245</v>
      </c>
      <c r="R425" s="100">
        <v>7</v>
      </c>
    </row>
    <row r="426" spans="15:18" x14ac:dyDescent="0.2">
      <c r="O426" s="103">
        <v>50.4</v>
      </c>
      <c r="P426" s="102">
        <v>2016</v>
      </c>
      <c r="Q426" s="101">
        <v>71.596981810962035</v>
      </c>
      <c r="R426" s="100">
        <v>7</v>
      </c>
    </row>
    <row r="427" spans="15:18" x14ac:dyDescent="0.2">
      <c r="O427" s="103">
        <v>80.016000000000005</v>
      </c>
      <c r="P427" s="102">
        <v>2016</v>
      </c>
      <c r="Q427" s="101">
        <v>61.927568530452845</v>
      </c>
      <c r="R427" s="100">
        <v>7</v>
      </c>
    </row>
    <row r="428" spans="15:18" x14ac:dyDescent="0.2">
      <c r="O428" s="103">
        <v>20</v>
      </c>
      <c r="P428" s="102">
        <v>2016</v>
      </c>
      <c r="Q428" s="101">
        <v>72.51039165915455</v>
      </c>
      <c r="R428" s="100">
        <v>7</v>
      </c>
    </row>
    <row r="429" spans="15:18" x14ac:dyDescent="0.2">
      <c r="O429" s="103">
        <v>50</v>
      </c>
      <c r="P429" s="102">
        <v>2016</v>
      </c>
      <c r="Q429" s="101">
        <v>75.082864895615714</v>
      </c>
      <c r="R429" s="100">
        <v>7</v>
      </c>
    </row>
    <row r="430" spans="15:18" x14ac:dyDescent="0.2">
      <c r="O430" s="103">
        <v>80</v>
      </c>
      <c r="P430" s="102">
        <v>2016</v>
      </c>
      <c r="Q430" s="101">
        <v>54.350823906337311</v>
      </c>
      <c r="R430" s="100">
        <v>7</v>
      </c>
    </row>
    <row r="431" spans="15:18" x14ac:dyDescent="0.2">
      <c r="O431" s="103">
        <v>80</v>
      </c>
      <c r="P431" s="102">
        <v>2016</v>
      </c>
      <c r="Q431" s="101">
        <v>111.73593957868179</v>
      </c>
      <c r="R431" s="100">
        <v>7</v>
      </c>
    </row>
    <row r="432" spans="15:18" x14ac:dyDescent="0.2">
      <c r="O432" s="103">
        <v>17</v>
      </c>
      <c r="P432" s="102">
        <v>2016</v>
      </c>
      <c r="Q432" s="101">
        <v>136.97446014193665</v>
      </c>
      <c r="R432" s="100">
        <v>7</v>
      </c>
    </row>
    <row r="433" spans="15:18" x14ac:dyDescent="0.2">
      <c r="O433" s="103">
        <v>20</v>
      </c>
      <c r="P433" s="102">
        <v>2016</v>
      </c>
      <c r="Q433" s="101">
        <v>131.10195115792672</v>
      </c>
      <c r="R433" s="100">
        <v>7</v>
      </c>
    </row>
    <row r="434" spans="15:18" x14ac:dyDescent="0.2">
      <c r="O434" s="103">
        <v>19.7</v>
      </c>
      <c r="P434" s="102">
        <v>2016</v>
      </c>
      <c r="Q434" s="101">
        <v>122.24148832246007</v>
      </c>
      <c r="R434" s="100">
        <v>7</v>
      </c>
    </row>
    <row r="435" spans="15:18" x14ac:dyDescent="0.2">
      <c r="O435" s="103">
        <v>79.2</v>
      </c>
      <c r="P435" s="102">
        <v>2017</v>
      </c>
      <c r="Q435" s="101">
        <v>58.182359309730614</v>
      </c>
      <c r="R435" s="100">
        <v>8</v>
      </c>
    </row>
    <row r="436" spans="15:18" x14ac:dyDescent="0.2">
      <c r="O436" s="103">
        <v>7.4</v>
      </c>
      <c r="P436" s="102">
        <v>2017</v>
      </c>
      <c r="Q436" s="101">
        <v>148.97098842763515</v>
      </c>
      <c r="R436" s="100">
        <v>8</v>
      </c>
    </row>
    <row r="437" spans="15:18" x14ac:dyDescent="0.2">
      <c r="O437" s="103">
        <v>10.6</v>
      </c>
      <c r="P437" s="102">
        <v>2017</v>
      </c>
      <c r="Q437" s="101">
        <v>156.37517922752855</v>
      </c>
      <c r="R437" s="100">
        <v>8</v>
      </c>
    </row>
    <row r="438" spans="15:18" x14ac:dyDescent="0.2">
      <c r="O438" s="103">
        <v>10</v>
      </c>
      <c r="P438" s="102">
        <v>2017</v>
      </c>
      <c r="Q438" s="101">
        <v>112.45614980788653</v>
      </c>
      <c r="R438" s="100">
        <v>8</v>
      </c>
    </row>
    <row r="439" spans="15:18" x14ac:dyDescent="0.2">
      <c r="O439" s="103">
        <v>20</v>
      </c>
      <c r="P439" s="102">
        <v>2017</v>
      </c>
      <c r="Q439" s="101">
        <v>48.200561652588412</v>
      </c>
      <c r="R439" s="100">
        <v>8</v>
      </c>
    </row>
    <row r="440" spans="15:18" x14ac:dyDescent="0.2">
      <c r="O440" s="103">
        <v>27.3</v>
      </c>
      <c r="P440" s="102">
        <v>2017</v>
      </c>
      <c r="Q440" s="101">
        <v>74.48202522774902</v>
      </c>
      <c r="R440" s="100">
        <v>8</v>
      </c>
    </row>
    <row r="441" spans="15:18" x14ac:dyDescent="0.2">
      <c r="O441" s="103">
        <v>40</v>
      </c>
      <c r="P441" s="102">
        <v>2017</v>
      </c>
      <c r="Q441" s="101">
        <v>67.196573629183547</v>
      </c>
      <c r="R441" s="100">
        <v>8</v>
      </c>
    </row>
    <row r="442" spans="15:18" x14ac:dyDescent="0.2">
      <c r="O442" s="103">
        <v>9</v>
      </c>
      <c r="P442" s="102">
        <v>2017</v>
      </c>
      <c r="Q442" s="101">
        <v>62.102603247493242</v>
      </c>
      <c r="R442" s="100">
        <v>8</v>
      </c>
    </row>
    <row r="443" spans="15:18" x14ac:dyDescent="0.2">
      <c r="O443" s="103">
        <v>5.25</v>
      </c>
      <c r="P443" s="102">
        <v>2017</v>
      </c>
      <c r="Q443" s="101">
        <v>120.59457133436307</v>
      </c>
      <c r="R443" s="100">
        <v>8</v>
      </c>
    </row>
    <row r="444" spans="15:18" x14ac:dyDescent="0.2">
      <c r="O444" s="103">
        <v>20</v>
      </c>
      <c r="P444" s="102">
        <v>2017</v>
      </c>
      <c r="Q444" s="101">
        <v>51.934577050407476</v>
      </c>
      <c r="R444" s="100">
        <v>8</v>
      </c>
    </row>
    <row r="445" spans="15:18" x14ac:dyDescent="0.2">
      <c r="O445" s="103">
        <v>20</v>
      </c>
      <c r="P445" s="102">
        <v>2017</v>
      </c>
      <c r="Q445" s="101">
        <v>54.116086946731116</v>
      </c>
      <c r="R445" s="100">
        <v>8</v>
      </c>
    </row>
    <row r="446" spans="15:18" x14ac:dyDescent="0.2">
      <c r="O446" s="103">
        <v>20</v>
      </c>
      <c r="P446" s="102">
        <v>2017</v>
      </c>
      <c r="Q446" s="101">
        <v>56.589421368130189</v>
      </c>
      <c r="R446" s="100">
        <v>8</v>
      </c>
    </row>
    <row r="447" spans="15:18" x14ac:dyDescent="0.2">
      <c r="O447" s="103">
        <v>56</v>
      </c>
      <c r="P447" s="102">
        <v>2017</v>
      </c>
      <c r="Q447" s="101">
        <v>58.031161560900841</v>
      </c>
      <c r="R447" s="100">
        <v>8</v>
      </c>
    </row>
    <row r="448" spans="15:18" x14ac:dyDescent="0.2">
      <c r="O448" s="103">
        <v>45</v>
      </c>
      <c r="P448" s="102">
        <v>2017</v>
      </c>
      <c r="Q448" s="101">
        <v>61.697755552961979</v>
      </c>
      <c r="R448" s="100">
        <v>8</v>
      </c>
    </row>
    <row r="449" spans="15:18" x14ac:dyDescent="0.2">
      <c r="O449" s="103">
        <v>36</v>
      </c>
      <c r="P449" s="102">
        <v>2017</v>
      </c>
      <c r="Q449" s="101">
        <v>65.654324693637548</v>
      </c>
      <c r="R449" s="100">
        <v>8</v>
      </c>
    </row>
    <row r="450" spans="15:18" x14ac:dyDescent="0.2">
      <c r="O450" s="103">
        <v>130</v>
      </c>
      <c r="P450" s="102">
        <v>2017</v>
      </c>
      <c r="Q450" s="101">
        <v>97.73412786539113</v>
      </c>
      <c r="R450" s="100">
        <v>8</v>
      </c>
    </row>
    <row r="451" spans="15:18" x14ac:dyDescent="0.2">
      <c r="O451" s="103">
        <v>15.8</v>
      </c>
      <c r="P451" s="102">
        <v>2017</v>
      </c>
      <c r="Q451" s="101">
        <v>155.06401113498717</v>
      </c>
      <c r="R451" s="100">
        <v>8</v>
      </c>
    </row>
    <row r="452" spans="15:18" x14ac:dyDescent="0.2">
      <c r="O452" s="103">
        <v>20</v>
      </c>
      <c r="P452" s="102">
        <v>2017</v>
      </c>
      <c r="Q452" s="101">
        <v>82.956184695457821</v>
      </c>
      <c r="R452" s="100">
        <v>8</v>
      </c>
    </row>
    <row r="453" spans="15:18" x14ac:dyDescent="0.2">
      <c r="O453" s="103">
        <v>40</v>
      </c>
      <c r="P453" s="102">
        <v>2017</v>
      </c>
      <c r="Q453" s="101">
        <v>126.32922116270414</v>
      </c>
      <c r="R453" s="100">
        <v>8</v>
      </c>
    </row>
    <row r="454" spans="15:18" x14ac:dyDescent="0.2">
      <c r="O454" s="103">
        <v>20</v>
      </c>
      <c r="P454" s="102">
        <v>2017</v>
      </c>
      <c r="Q454" s="101">
        <v>101.30435924806758</v>
      </c>
      <c r="R454" s="100">
        <v>8</v>
      </c>
    </row>
    <row r="455" spans="15:18" x14ac:dyDescent="0.2">
      <c r="O455" s="103">
        <v>20</v>
      </c>
      <c r="P455" s="102">
        <v>2017</v>
      </c>
      <c r="Q455" s="101">
        <v>89.418969573435433</v>
      </c>
      <c r="R455" s="100">
        <v>8</v>
      </c>
    </row>
    <row r="456" spans="15:18" x14ac:dyDescent="0.2">
      <c r="O456" s="103">
        <v>10.5</v>
      </c>
      <c r="P456" s="102">
        <v>2017</v>
      </c>
      <c r="Q456" s="101">
        <v>83.432779291451595</v>
      </c>
      <c r="R456" s="100">
        <v>8</v>
      </c>
    </row>
    <row r="457" spans="15:18" x14ac:dyDescent="0.2">
      <c r="O457" s="103">
        <v>30</v>
      </c>
      <c r="P457" s="102">
        <v>2017</v>
      </c>
      <c r="Q457" s="101">
        <v>80.027449218698223</v>
      </c>
      <c r="R457" s="100">
        <v>8</v>
      </c>
    </row>
    <row r="458" spans="15:18" x14ac:dyDescent="0.2">
      <c r="O458" s="103">
        <v>21.04</v>
      </c>
      <c r="P458" s="102">
        <v>2017</v>
      </c>
      <c r="Q458" s="101">
        <v>95.384448388929727</v>
      </c>
      <c r="R458" s="100">
        <v>8</v>
      </c>
    </row>
    <row r="459" spans="15:18" x14ac:dyDescent="0.2">
      <c r="O459" s="103">
        <v>20</v>
      </c>
      <c r="P459" s="102">
        <v>2017</v>
      </c>
      <c r="Q459" s="101">
        <v>112.11105719142338</v>
      </c>
      <c r="R459" s="100">
        <v>8</v>
      </c>
    </row>
    <row r="460" spans="15:18" x14ac:dyDescent="0.2">
      <c r="O460" s="103">
        <v>11.4</v>
      </c>
      <c r="P460" s="102">
        <v>2017</v>
      </c>
      <c r="Q460" s="101">
        <v>103.96375197208056</v>
      </c>
      <c r="R460" s="100">
        <v>8</v>
      </c>
    </row>
    <row r="461" spans="15:18" x14ac:dyDescent="0.2">
      <c r="O461" s="103">
        <v>20</v>
      </c>
      <c r="P461" s="102">
        <v>2017</v>
      </c>
      <c r="Q461" s="101">
        <v>70.322747356331263</v>
      </c>
      <c r="R461" s="100">
        <v>8</v>
      </c>
    </row>
    <row r="462" spans="15:18" x14ac:dyDescent="0.2">
      <c r="O462" s="103">
        <v>6.8</v>
      </c>
      <c r="P462" s="102">
        <v>2017</v>
      </c>
      <c r="Q462" s="101">
        <v>77.360575529765754</v>
      </c>
      <c r="R462" s="100">
        <v>8</v>
      </c>
    </row>
    <row r="463" spans="15:18" x14ac:dyDescent="0.2">
      <c r="O463" s="103">
        <v>10</v>
      </c>
      <c r="P463" s="102">
        <v>2017</v>
      </c>
      <c r="Q463" s="101">
        <v>119.88727714007227</v>
      </c>
      <c r="R463" s="100">
        <v>8</v>
      </c>
    </row>
    <row r="464" spans="15:18" x14ac:dyDescent="0.2">
      <c r="O464" s="103">
        <v>20</v>
      </c>
      <c r="P464" s="102">
        <v>2017</v>
      </c>
      <c r="Q464" s="101">
        <v>54.050145678278447</v>
      </c>
      <c r="R464" s="100">
        <v>8</v>
      </c>
    </row>
    <row r="465" spans="15:18" x14ac:dyDescent="0.2">
      <c r="O465" s="103">
        <v>13.8</v>
      </c>
      <c r="P465" s="102">
        <v>2017</v>
      </c>
      <c r="Q465" s="101">
        <v>87.424085392596837</v>
      </c>
      <c r="R465" s="100">
        <v>8</v>
      </c>
    </row>
    <row r="466" spans="15:18" x14ac:dyDescent="0.2">
      <c r="O466" s="103">
        <v>20.6</v>
      </c>
      <c r="P466" s="102">
        <v>2017</v>
      </c>
      <c r="Q466" s="101">
        <v>93.814950704619207</v>
      </c>
      <c r="R466" s="100">
        <v>8</v>
      </c>
    </row>
    <row r="467" spans="15:18" x14ac:dyDescent="0.2">
      <c r="O467" s="103">
        <v>20</v>
      </c>
      <c r="P467" s="102">
        <v>2017</v>
      </c>
      <c r="Q467" s="101">
        <v>78.712654736188682</v>
      </c>
      <c r="R467" s="100">
        <v>8</v>
      </c>
    </row>
    <row r="468" spans="15:18" x14ac:dyDescent="0.2">
      <c r="O468" s="103">
        <v>20</v>
      </c>
      <c r="P468" s="102">
        <v>2017</v>
      </c>
      <c r="Q468" s="101">
        <v>71.175219657299863</v>
      </c>
      <c r="R468" s="100">
        <v>8</v>
      </c>
    </row>
    <row r="469" spans="15:18" x14ac:dyDescent="0.2">
      <c r="O469" s="103">
        <v>14.7</v>
      </c>
      <c r="P469" s="102">
        <v>2017</v>
      </c>
      <c r="Q469" s="101">
        <v>103.18352144227268</v>
      </c>
      <c r="R469" s="100">
        <v>8</v>
      </c>
    </row>
    <row r="470" spans="15:18" x14ac:dyDescent="0.2">
      <c r="O470" s="103">
        <v>16</v>
      </c>
      <c r="P470" s="102">
        <v>2017</v>
      </c>
      <c r="Q470" s="101">
        <v>67.10506403991738</v>
      </c>
      <c r="R470" s="100">
        <v>8</v>
      </c>
    </row>
    <row r="471" spans="15:18" x14ac:dyDescent="0.2">
      <c r="O471" s="103">
        <v>7.1</v>
      </c>
      <c r="P471" s="102">
        <v>2017</v>
      </c>
      <c r="Q471" s="101">
        <v>86.651443766032926</v>
      </c>
      <c r="R471" s="100">
        <v>8</v>
      </c>
    </row>
    <row r="472" spans="15:18" x14ac:dyDescent="0.2">
      <c r="O472" s="103">
        <v>19</v>
      </c>
      <c r="P472" s="102">
        <v>2017</v>
      </c>
      <c r="Q472" s="101">
        <v>96.257064387774321</v>
      </c>
      <c r="R472" s="100">
        <v>8</v>
      </c>
    </row>
    <row r="473" spans="15:18" x14ac:dyDescent="0.2">
      <c r="O473" s="103">
        <v>30</v>
      </c>
      <c r="P473" s="102">
        <v>2017</v>
      </c>
      <c r="Q473" s="101">
        <v>99.416169546831554</v>
      </c>
      <c r="R473" s="100">
        <v>8</v>
      </c>
    </row>
    <row r="474" spans="15:18" x14ac:dyDescent="0.2">
      <c r="O474" s="103">
        <v>40</v>
      </c>
      <c r="P474" s="102">
        <v>2017</v>
      </c>
      <c r="Q474" s="101">
        <v>106.79431676749635</v>
      </c>
      <c r="R474" s="100">
        <v>8</v>
      </c>
    </row>
    <row r="475" spans="15:18" x14ac:dyDescent="0.2">
      <c r="O475" s="103">
        <v>50</v>
      </c>
      <c r="P475" s="102">
        <v>2017</v>
      </c>
      <c r="Q475" s="101">
        <v>103.14192612941245</v>
      </c>
      <c r="R475" s="100">
        <v>8</v>
      </c>
    </row>
    <row r="476" spans="15:18" x14ac:dyDescent="0.2">
      <c r="O476" s="103">
        <v>8.8000000000000007</v>
      </c>
      <c r="P476" s="102">
        <v>2017</v>
      </c>
      <c r="Q476" s="101">
        <v>82.633345586055157</v>
      </c>
      <c r="R476" s="100">
        <v>8</v>
      </c>
    </row>
    <row r="477" spans="15:18" x14ac:dyDescent="0.2">
      <c r="O477" s="103">
        <v>20</v>
      </c>
      <c r="P477" s="102">
        <v>2017</v>
      </c>
      <c r="Q477" s="101">
        <v>71.679718100306673</v>
      </c>
      <c r="R477" s="100">
        <v>8</v>
      </c>
    </row>
    <row r="478" spans="15:18" x14ac:dyDescent="0.2">
      <c r="O478" s="103">
        <v>20</v>
      </c>
      <c r="P478" s="102">
        <v>2017</v>
      </c>
      <c r="Q478" s="101">
        <v>94.049789905597947</v>
      </c>
      <c r="R478" s="100">
        <v>8</v>
      </c>
    </row>
    <row r="479" spans="15:18" x14ac:dyDescent="0.2">
      <c r="O479" s="103">
        <v>20</v>
      </c>
      <c r="P479" s="102">
        <v>2017</v>
      </c>
      <c r="Q479" s="101">
        <v>84.460767630084646</v>
      </c>
      <c r="R479" s="100">
        <v>8</v>
      </c>
    </row>
    <row r="480" spans="15:18" x14ac:dyDescent="0.2">
      <c r="O480" s="103">
        <v>20</v>
      </c>
      <c r="P480" s="102">
        <v>2017</v>
      </c>
      <c r="Q480" s="101">
        <v>77.616358683830057</v>
      </c>
      <c r="R480" s="100">
        <v>8</v>
      </c>
    </row>
    <row r="481" spans="15:18" x14ac:dyDescent="0.2">
      <c r="O481" s="103">
        <v>20</v>
      </c>
      <c r="P481" s="102">
        <v>2017</v>
      </c>
      <c r="Q481" s="101">
        <v>99.069211649892992</v>
      </c>
      <c r="R481" s="100">
        <v>8</v>
      </c>
    </row>
    <row r="482" spans="15:18" x14ac:dyDescent="0.2">
      <c r="O482" s="103">
        <v>20</v>
      </c>
      <c r="P482" s="102">
        <v>2017</v>
      </c>
      <c r="Q482" s="101">
        <v>81.207060165444759</v>
      </c>
      <c r="R482" s="100">
        <v>8</v>
      </c>
    </row>
    <row r="483" spans="15:18" x14ac:dyDescent="0.2">
      <c r="O483" s="103">
        <v>20</v>
      </c>
      <c r="P483" s="102">
        <v>2017</v>
      </c>
      <c r="Q483" s="101">
        <v>83.631872533458861</v>
      </c>
      <c r="R483" s="100">
        <v>8</v>
      </c>
    </row>
    <row r="484" spans="15:18" x14ac:dyDescent="0.2">
      <c r="O484" s="103">
        <v>5.0010000000000003</v>
      </c>
      <c r="P484" s="102">
        <v>2017</v>
      </c>
      <c r="Q484" s="101">
        <v>75.990240994446722</v>
      </c>
      <c r="R484" s="100">
        <v>8</v>
      </c>
    </row>
    <row r="485" spans="15:18" x14ac:dyDescent="0.2">
      <c r="O485" s="103">
        <v>8.1</v>
      </c>
      <c r="P485" s="102">
        <v>2017</v>
      </c>
      <c r="Q485" s="101">
        <v>67.984085355581541</v>
      </c>
      <c r="R485" s="100">
        <v>8</v>
      </c>
    </row>
    <row r="486" spans="15:18" x14ac:dyDescent="0.2">
      <c r="O486" s="103">
        <v>17</v>
      </c>
      <c r="P486" s="102">
        <v>2017</v>
      </c>
      <c r="Q486" s="101">
        <v>114.60418258804178</v>
      </c>
      <c r="R486" s="100">
        <v>8</v>
      </c>
    </row>
    <row r="487" spans="15:18" x14ac:dyDescent="0.2">
      <c r="O487" s="103">
        <v>8.5</v>
      </c>
      <c r="P487" s="102">
        <v>2017</v>
      </c>
      <c r="Q487" s="101">
        <v>106.74198282357111</v>
      </c>
      <c r="R487" s="100">
        <v>8</v>
      </c>
    </row>
    <row r="488" spans="15:18" x14ac:dyDescent="0.2">
      <c r="O488" s="103">
        <v>5.8</v>
      </c>
      <c r="P488" s="102">
        <v>2017</v>
      </c>
      <c r="Q488" s="101">
        <v>193.52482606823637</v>
      </c>
      <c r="R488" s="100">
        <v>8</v>
      </c>
    </row>
    <row r="489" spans="15:18" x14ac:dyDescent="0.2">
      <c r="O489" s="103">
        <v>5.0010000000000003</v>
      </c>
      <c r="P489" s="102">
        <v>2017</v>
      </c>
      <c r="Q489" s="101">
        <v>103.43736710487366</v>
      </c>
      <c r="R489" s="100">
        <v>8</v>
      </c>
    </row>
    <row r="490" spans="15:18" x14ac:dyDescent="0.2">
      <c r="O490" s="103">
        <v>6.5</v>
      </c>
      <c r="P490" s="102">
        <v>2017</v>
      </c>
      <c r="Q490" s="101">
        <v>161.05136693783055</v>
      </c>
      <c r="R490" s="100">
        <v>8</v>
      </c>
    </row>
    <row r="491" spans="15:18" x14ac:dyDescent="0.2">
      <c r="O491" s="103">
        <v>9.9</v>
      </c>
      <c r="P491" s="102">
        <v>2017</v>
      </c>
      <c r="Q491" s="101">
        <v>107.3343840942388</v>
      </c>
      <c r="R491" s="100">
        <v>8</v>
      </c>
    </row>
    <row r="492" spans="15:18" x14ac:dyDescent="0.2">
      <c r="O492" s="103">
        <v>28.56</v>
      </c>
      <c r="P492" s="102">
        <v>2017</v>
      </c>
      <c r="Q492" s="101">
        <v>112.51438727735319</v>
      </c>
      <c r="R492" s="100">
        <v>8</v>
      </c>
    </row>
    <row r="493" spans="15:18" x14ac:dyDescent="0.2">
      <c r="O493" s="103">
        <v>19.57</v>
      </c>
      <c r="P493" s="102">
        <v>2017</v>
      </c>
      <c r="Q493" s="101">
        <v>123.7074587723928</v>
      </c>
      <c r="R493" s="100">
        <v>8</v>
      </c>
    </row>
    <row r="494" spans="15:18" x14ac:dyDescent="0.2">
      <c r="O494" s="103">
        <v>10</v>
      </c>
      <c r="P494" s="102">
        <v>2017</v>
      </c>
      <c r="Q494" s="101">
        <v>115.66550194504153</v>
      </c>
      <c r="R494" s="100">
        <v>8</v>
      </c>
    </row>
    <row r="495" spans="15:18" x14ac:dyDescent="0.2">
      <c r="O495" s="103">
        <v>6</v>
      </c>
      <c r="P495" s="102">
        <v>2017</v>
      </c>
      <c r="Q495" s="101">
        <v>115.24700803638726</v>
      </c>
      <c r="R495" s="100">
        <v>8</v>
      </c>
    </row>
    <row r="496" spans="15:18" x14ac:dyDescent="0.2">
      <c r="O496" s="103">
        <v>6.5</v>
      </c>
      <c r="P496" s="102">
        <v>2017</v>
      </c>
      <c r="Q496" s="101">
        <v>130.59057798894062</v>
      </c>
      <c r="R496" s="100">
        <v>8</v>
      </c>
    </row>
    <row r="497" spans="15:18" x14ac:dyDescent="0.2">
      <c r="O497" s="103">
        <v>6.5</v>
      </c>
      <c r="P497" s="102">
        <v>2017</v>
      </c>
      <c r="Q497" s="101">
        <v>116.32809159344016</v>
      </c>
      <c r="R497" s="100">
        <v>8</v>
      </c>
    </row>
    <row r="498" spans="15:18" x14ac:dyDescent="0.2">
      <c r="O498" s="103">
        <v>5.5</v>
      </c>
      <c r="P498" s="102">
        <v>2017</v>
      </c>
      <c r="Q498" s="101">
        <v>117.24763166127467</v>
      </c>
      <c r="R498" s="100">
        <v>8</v>
      </c>
    </row>
    <row r="499" spans="15:18" x14ac:dyDescent="0.2">
      <c r="O499" s="103">
        <v>7.5</v>
      </c>
      <c r="P499" s="102">
        <v>2017</v>
      </c>
      <c r="Q499" s="101">
        <v>123.95898567845599</v>
      </c>
      <c r="R499" s="100">
        <v>8</v>
      </c>
    </row>
    <row r="500" spans="15:18" x14ac:dyDescent="0.2">
      <c r="O500" s="103">
        <v>10</v>
      </c>
      <c r="P500" s="102">
        <v>2017</v>
      </c>
      <c r="Q500" s="101">
        <v>121.41873258071999</v>
      </c>
      <c r="R500" s="100">
        <v>8</v>
      </c>
    </row>
    <row r="501" spans="15:18" x14ac:dyDescent="0.2">
      <c r="O501" s="103">
        <v>10</v>
      </c>
      <c r="P501" s="102">
        <v>2017</v>
      </c>
      <c r="Q501" s="101">
        <v>140.95969079455023</v>
      </c>
      <c r="R501" s="100">
        <v>8</v>
      </c>
    </row>
    <row r="502" spans="15:18" x14ac:dyDescent="0.2">
      <c r="O502" s="103">
        <v>5.5</v>
      </c>
      <c r="P502" s="102">
        <v>2017</v>
      </c>
      <c r="Q502" s="101">
        <v>125.374468028263</v>
      </c>
      <c r="R502" s="100">
        <v>8</v>
      </c>
    </row>
    <row r="503" spans="15:18" x14ac:dyDescent="0.2">
      <c r="O503" s="103">
        <v>8.5</v>
      </c>
      <c r="P503" s="102">
        <v>2017</v>
      </c>
      <c r="Q503" s="101">
        <v>126.06183261457912</v>
      </c>
      <c r="R503" s="100">
        <v>8</v>
      </c>
    </row>
    <row r="504" spans="15:18" x14ac:dyDescent="0.2">
      <c r="O504" s="103">
        <v>10</v>
      </c>
      <c r="P504" s="102">
        <v>2017</v>
      </c>
      <c r="Q504" s="101">
        <v>79.833540916640302</v>
      </c>
      <c r="R504" s="100">
        <v>8</v>
      </c>
    </row>
    <row r="505" spans="15:18" x14ac:dyDescent="0.2">
      <c r="O505" s="103">
        <v>62.25</v>
      </c>
      <c r="P505" s="102">
        <v>2017</v>
      </c>
      <c r="Q505" s="101">
        <v>106.72852159892723</v>
      </c>
      <c r="R505" s="100">
        <v>8</v>
      </c>
    </row>
    <row r="506" spans="15:18" x14ac:dyDescent="0.2">
      <c r="O506" s="103">
        <v>7.11</v>
      </c>
      <c r="P506" s="102">
        <v>2017</v>
      </c>
      <c r="Q506" s="101">
        <v>76.508068820010578</v>
      </c>
      <c r="R506" s="100">
        <v>8</v>
      </c>
    </row>
    <row r="507" spans="15:18" x14ac:dyDescent="0.2">
      <c r="O507" s="103">
        <v>7.92</v>
      </c>
      <c r="P507" s="102">
        <v>2017</v>
      </c>
      <c r="Q507" s="101">
        <v>96.096342919662078</v>
      </c>
      <c r="R507" s="100">
        <v>8</v>
      </c>
    </row>
    <row r="508" spans="15:18" x14ac:dyDescent="0.2">
      <c r="O508" s="103">
        <v>50.6</v>
      </c>
      <c r="P508" s="102">
        <v>2017</v>
      </c>
      <c r="Q508" s="101">
        <v>82.565077746801137</v>
      </c>
      <c r="R508" s="100">
        <v>8</v>
      </c>
    </row>
    <row r="509" spans="15:18" x14ac:dyDescent="0.2">
      <c r="O509" s="103">
        <v>52</v>
      </c>
      <c r="P509" s="102">
        <v>2017</v>
      </c>
      <c r="Q509" s="101">
        <v>94.797115249706721</v>
      </c>
      <c r="R509" s="100">
        <v>8</v>
      </c>
    </row>
    <row r="510" spans="15:18" x14ac:dyDescent="0.2">
      <c r="O510" s="103">
        <v>52</v>
      </c>
      <c r="P510" s="102">
        <v>2017</v>
      </c>
      <c r="Q510" s="101">
        <v>78.531142122589628</v>
      </c>
      <c r="R510" s="100">
        <v>8</v>
      </c>
    </row>
    <row r="511" spans="15:18" x14ac:dyDescent="0.2">
      <c r="O511" s="103">
        <v>15.84</v>
      </c>
      <c r="P511" s="102">
        <v>2017</v>
      </c>
      <c r="Q511" s="101">
        <v>81.653581954691035</v>
      </c>
      <c r="R511" s="100">
        <v>8</v>
      </c>
    </row>
    <row r="512" spans="15:18" x14ac:dyDescent="0.2">
      <c r="O512" s="103">
        <v>19.399999999999999</v>
      </c>
      <c r="P512" s="102">
        <v>2017</v>
      </c>
      <c r="Q512" s="101">
        <v>120.44766606525698</v>
      </c>
      <c r="R512" s="100">
        <v>8</v>
      </c>
    </row>
    <row r="513" spans="15:18" x14ac:dyDescent="0.2">
      <c r="O513" s="103">
        <v>50</v>
      </c>
      <c r="P513" s="102">
        <v>2017</v>
      </c>
      <c r="Q513" s="101">
        <v>95.867426573199126</v>
      </c>
      <c r="R513" s="100">
        <v>8</v>
      </c>
    </row>
    <row r="514" spans="15:18" x14ac:dyDescent="0.2">
      <c r="O514" s="103">
        <v>50</v>
      </c>
      <c r="P514" s="102">
        <v>2017</v>
      </c>
      <c r="Q514" s="101">
        <v>95.12196193600677</v>
      </c>
      <c r="R514" s="100">
        <v>8</v>
      </c>
    </row>
    <row r="515" spans="15:18" x14ac:dyDescent="0.2">
      <c r="O515" s="103">
        <v>5.28</v>
      </c>
      <c r="P515" s="102">
        <v>2017</v>
      </c>
      <c r="Q515" s="101">
        <v>86.305163690352444</v>
      </c>
      <c r="R515" s="100">
        <v>8</v>
      </c>
    </row>
    <row r="516" spans="15:18" x14ac:dyDescent="0.2">
      <c r="O516" s="103">
        <v>35</v>
      </c>
      <c r="P516" s="102">
        <v>2017</v>
      </c>
      <c r="Q516" s="101">
        <v>87.543362191226763</v>
      </c>
      <c r="R516" s="100">
        <v>8</v>
      </c>
    </row>
    <row r="517" spans="15:18" x14ac:dyDescent="0.2">
      <c r="O517" s="103">
        <v>78.7</v>
      </c>
      <c r="P517" s="102">
        <v>2017</v>
      </c>
      <c r="Q517" s="101">
        <v>84.394841861167905</v>
      </c>
      <c r="R517" s="100">
        <v>8</v>
      </c>
    </row>
    <row r="518" spans="15:18" x14ac:dyDescent="0.2">
      <c r="O518" s="103">
        <v>71</v>
      </c>
      <c r="P518" s="102">
        <v>2017</v>
      </c>
      <c r="Q518" s="101">
        <v>81.124408232193048</v>
      </c>
      <c r="R518" s="100">
        <v>8</v>
      </c>
    </row>
    <row r="519" spans="15:18" x14ac:dyDescent="0.2">
      <c r="O519" s="103">
        <v>35</v>
      </c>
      <c r="P519" s="102">
        <v>2017</v>
      </c>
      <c r="Q519" s="101">
        <v>80.632218744324433</v>
      </c>
      <c r="R519" s="100">
        <v>8</v>
      </c>
    </row>
    <row r="520" spans="15:18" x14ac:dyDescent="0.2">
      <c r="O520" s="103">
        <v>10</v>
      </c>
      <c r="P520" s="102">
        <v>2017</v>
      </c>
      <c r="Q520" s="101">
        <v>76.899972200401734</v>
      </c>
      <c r="R520" s="100">
        <v>8</v>
      </c>
    </row>
    <row r="521" spans="15:18" x14ac:dyDescent="0.2">
      <c r="O521" s="103">
        <v>60</v>
      </c>
      <c r="P521" s="102">
        <v>2017</v>
      </c>
      <c r="Q521" s="101">
        <v>90.493318480975901</v>
      </c>
      <c r="R521" s="100">
        <v>8</v>
      </c>
    </row>
    <row r="522" spans="15:18" x14ac:dyDescent="0.2">
      <c r="O522" s="103">
        <v>20.25</v>
      </c>
      <c r="P522" s="102">
        <v>2017</v>
      </c>
      <c r="Q522" s="101">
        <v>98.079311207128285</v>
      </c>
      <c r="R522" s="100">
        <v>8</v>
      </c>
    </row>
    <row r="523" spans="15:18" x14ac:dyDescent="0.2">
      <c r="O523" s="103">
        <v>16.2</v>
      </c>
      <c r="P523" s="102">
        <v>2017</v>
      </c>
      <c r="Q523" s="101">
        <v>89.192853430927116</v>
      </c>
      <c r="R523" s="100">
        <v>8</v>
      </c>
    </row>
    <row r="524" spans="15:18" x14ac:dyDescent="0.2">
      <c r="O524" s="103">
        <v>60</v>
      </c>
      <c r="P524" s="102">
        <v>2017</v>
      </c>
      <c r="Q524" s="101">
        <v>85.035908815859102</v>
      </c>
      <c r="R524" s="100">
        <v>8</v>
      </c>
    </row>
    <row r="525" spans="15:18" x14ac:dyDescent="0.2">
      <c r="O525" s="103">
        <v>64.48</v>
      </c>
      <c r="P525" s="102">
        <v>2017</v>
      </c>
      <c r="Q525" s="101">
        <v>71.862554292633206</v>
      </c>
      <c r="R525" s="100">
        <v>8</v>
      </c>
    </row>
    <row r="526" spans="15:18" x14ac:dyDescent="0.2">
      <c r="O526" s="103">
        <v>13.5</v>
      </c>
      <c r="P526" s="102">
        <v>2017</v>
      </c>
      <c r="Q526" s="101">
        <v>107.28801504586073</v>
      </c>
      <c r="R526" s="100">
        <v>8</v>
      </c>
    </row>
    <row r="527" spans="15:18" x14ac:dyDescent="0.2">
      <c r="O527" s="103">
        <v>19.899999999999999</v>
      </c>
      <c r="P527" s="102">
        <v>2017</v>
      </c>
      <c r="Q527" s="101">
        <v>47.478764283756881</v>
      </c>
      <c r="R527" s="100">
        <v>8</v>
      </c>
    </row>
    <row r="528" spans="15:18" x14ac:dyDescent="0.2">
      <c r="O528" s="103">
        <v>10</v>
      </c>
      <c r="P528" s="102">
        <v>2017</v>
      </c>
      <c r="Q528" s="101">
        <v>85.897027942238637</v>
      </c>
      <c r="R528" s="100">
        <v>8</v>
      </c>
    </row>
    <row r="529" spans="15:18" x14ac:dyDescent="0.2">
      <c r="O529" s="103">
        <v>10</v>
      </c>
      <c r="P529" s="102">
        <v>2017</v>
      </c>
      <c r="Q529" s="101">
        <v>82.373159514322865</v>
      </c>
      <c r="R529" s="100">
        <v>8</v>
      </c>
    </row>
    <row r="530" spans="15:18" x14ac:dyDescent="0.2">
      <c r="O530" s="103">
        <v>10</v>
      </c>
      <c r="P530" s="102">
        <v>2017</v>
      </c>
      <c r="Q530" s="101">
        <v>84.101668673422608</v>
      </c>
      <c r="R530" s="100">
        <v>8</v>
      </c>
    </row>
    <row r="531" spans="15:18" x14ac:dyDescent="0.2">
      <c r="O531" s="103">
        <v>10</v>
      </c>
      <c r="P531" s="102">
        <v>2017</v>
      </c>
      <c r="Q531" s="101">
        <v>84.005205645179572</v>
      </c>
      <c r="R531" s="100">
        <v>8</v>
      </c>
    </row>
    <row r="532" spans="15:18" x14ac:dyDescent="0.2">
      <c r="O532" s="103">
        <v>10</v>
      </c>
      <c r="P532" s="102">
        <v>2017</v>
      </c>
      <c r="Q532" s="101">
        <v>85.459751773294201</v>
      </c>
      <c r="R532" s="100">
        <v>8</v>
      </c>
    </row>
    <row r="533" spans="15:18" x14ac:dyDescent="0.2">
      <c r="O533" s="103">
        <v>5.76</v>
      </c>
      <c r="P533" s="102">
        <v>2017</v>
      </c>
      <c r="Q533" s="101">
        <v>83.847404048692212</v>
      </c>
      <c r="R533" s="100">
        <v>8</v>
      </c>
    </row>
    <row r="534" spans="15:18" x14ac:dyDescent="0.2">
      <c r="O534" s="103">
        <v>13</v>
      </c>
      <c r="P534" s="102">
        <v>2017</v>
      </c>
      <c r="Q534" s="101">
        <v>152.23678614920226</v>
      </c>
      <c r="R534" s="100">
        <v>8</v>
      </c>
    </row>
    <row r="535" spans="15:18" x14ac:dyDescent="0.2">
      <c r="O535" s="103">
        <v>8.8000000000000007</v>
      </c>
      <c r="P535" s="102">
        <v>2017</v>
      </c>
      <c r="Q535" s="101">
        <v>102.25353273494288</v>
      </c>
      <c r="R535" s="100">
        <v>8</v>
      </c>
    </row>
    <row r="536" spans="15:18" x14ac:dyDescent="0.2">
      <c r="O536" s="103">
        <v>8.8000000000000007</v>
      </c>
      <c r="P536" s="102">
        <v>2017</v>
      </c>
      <c r="Q536" s="101">
        <v>101.0815127984454</v>
      </c>
      <c r="R536" s="100">
        <v>8</v>
      </c>
    </row>
    <row r="537" spans="15:18" x14ac:dyDescent="0.2">
      <c r="O537" s="103">
        <v>8.3000000000000007</v>
      </c>
      <c r="P537" s="102">
        <v>2017</v>
      </c>
      <c r="Q537" s="101">
        <v>154.4623267623096</v>
      </c>
      <c r="R537" s="100">
        <v>8</v>
      </c>
    </row>
    <row r="538" spans="15:18" x14ac:dyDescent="0.2">
      <c r="O538" s="103">
        <v>28.1</v>
      </c>
      <c r="P538" s="102">
        <v>2017</v>
      </c>
      <c r="Q538" s="101">
        <v>70.216213642018047</v>
      </c>
      <c r="R538" s="100">
        <v>8</v>
      </c>
    </row>
    <row r="539" spans="15:18" x14ac:dyDescent="0.2">
      <c r="O539" s="103">
        <v>10</v>
      </c>
      <c r="P539" s="102">
        <v>2017</v>
      </c>
      <c r="Q539" s="101">
        <v>50.38426574726499</v>
      </c>
      <c r="R539" s="100">
        <v>8</v>
      </c>
    </row>
    <row r="540" spans="15:18" x14ac:dyDescent="0.2">
      <c r="O540" s="103">
        <v>50</v>
      </c>
      <c r="P540" s="102">
        <v>2017</v>
      </c>
      <c r="Q540" s="101">
        <v>62.050856817336104</v>
      </c>
      <c r="R540" s="100">
        <v>8</v>
      </c>
    </row>
    <row r="541" spans="15:18" x14ac:dyDescent="0.2">
      <c r="O541" s="103">
        <v>10.638</v>
      </c>
      <c r="P541" s="102">
        <v>2017</v>
      </c>
      <c r="Q541" s="101">
        <v>71.480959529662371</v>
      </c>
      <c r="R541" s="100">
        <v>8</v>
      </c>
    </row>
    <row r="542" spans="15:18" x14ac:dyDescent="0.2">
      <c r="O542" s="103">
        <v>50</v>
      </c>
      <c r="P542" s="102">
        <v>2017</v>
      </c>
      <c r="Q542" s="101">
        <v>66.76984378132201</v>
      </c>
      <c r="R542" s="100">
        <v>8</v>
      </c>
    </row>
    <row r="543" spans="15:18" x14ac:dyDescent="0.2">
      <c r="O543" s="103">
        <v>79</v>
      </c>
      <c r="P543" s="102">
        <v>2017</v>
      </c>
      <c r="Q543" s="101">
        <v>67.943898951749574</v>
      </c>
      <c r="R543" s="100">
        <v>8</v>
      </c>
    </row>
    <row r="544" spans="15:18" x14ac:dyDescent="0.2">
      <c r="O544" s="103">
        <v>100</v>
      </c>
      <c r="P544" s="102">
        <v>2017</v>
      </c>
      <c r="Q544" s="101">
        <v>70.699300733048304</v>
      </c>
      <c r="R544" s="100">
        <v>8</v>
      </c>
    </row>
    <row r="545" spans="15:18" x14ac:dyDescent="0.2">
      <c r="O545" s="103">
        <v>6</v>
      </c>
      <c r="P545" s="102">
        <v>2017</v>
      </c>
      <c r="Q545" s="101">
        <v>115.77143561988912</v>
      </c>
      <c r="R545" s="100">
        <v>8</v>
      </c>
    </row>
    <row r="546" spans="15:18" x14ac:dyDescent="0.2">
      <c r="O546" s="103">
        <v>9</v>
      </c>
      <c r="P546" s="102">
        <v>2017</v>
      </c>
      <c r="Q546" s="101">
        <v>137.45108723293299</v>
      </c>
      <c r="R546" s="100">
        <v>8</v>
      </c>
    </row>
    <row r="547" spans="15:18" x14ac:dyDescent="0.2">
      <c r="O547" s="103">
        <v>20</v>
      </c>
      <c r="P547" s="102">
        <v>2017</v>
      </c>
      <c r="Q547" s="101">
        <v>85.308976580949178</v>
      </c>
      <c r="R547" s="100">
        <v>8</v>
      </c>
    </row>
    <row r="548" spans="15:18" x14ac:dyDescent="0.2">
      <c r="O548" s="103">
        <v>5.0010000000000003</v>
      </c>
      <c r="P548" s="102">
        <v>2017</v>
      </c>
      <c r="Q548" s="101">
        <v>62.155425602475553</v>
      </c>
      <c r="R548" s="100">
        <v>8</v>
      </c>
    </row>
    <row r="549" spans="15:18" x14ac:dyDescent="0.2">
      <c r="O549" s="103">
        <v>9.9</v>
      </c>
      <c r="P549" s="102">
        <v>2017</v>
      </c>
      <c r="Q549" s="101">
        <v>66.968422768776819</v>
      </c>
      <c r="R549" s="100">
        <v>8</v>
      </c>
    </row>
    <row r="550" spans="15:18" x14ac:dyDescent="0.2">
      <c r="O550" s="103">
        <v>56</v>
      </c>
      <c r="P550" s="102">
        <v>2017</v>
      </c>
      <c r="Q550" s="101">
        <v>76.507904247788332</v>
      </c>
      <c r="R550" s="100">
        <v>8</v>
      </c>
    </row>
    <row r="551" spans="15:18" x14ac:dyDescent="0.2">
      <c r="O551" s="103">
        <v>10</v>
      </c>
      <c r="P551" s="102">
        <v>2017</v>
      </c>
      <c r="Q551" s="101">
        <v>70.406825614378519</v>
      </c>
      <c r="R551" s="100">
        <v>8</v>
      </c>
    </row>
    <row r="552" spans="15:18" x14ac:dyDescent="0.2">
      <c r="O552" s="103">
        <v>10</v>
      </c>
      <c r="P552" s="102">
        <v>2017</v>
      </c>
      <c r="Q552" s="101">
        <v>72.377247683449809</v>
      </c>
      <c r="R552" s="100">
        <v>8</v>
      </c>
    </row>
    <row r="553" spans="15:18" x14ac:dyDescent="0.2">
      <c r="O553" s="103">
        <v>9.9</v>
      </c>
      <c r="P553" s="102">
        <v>2017</v>
      </c>
      <c r="Q553" s="101">
        <v>85.600267493793098</v>
      </c>
      <c r="R553" s="100">
        <v>8</v>
      </c>
    </row>
    <row r="554" spans="15:18" x14ac:dyDescent="0.2">
      <c r="O554" s="103">
        <v>8</v>
      </c>
      <c r="P554" s="102">
        <v>2017</v>
      </c>
      <c r="Q554" s="101">
        <v>40.451657165209461</v>
      </c>
      <c r="R554" s="100">
        <v>8</v>
      </c>
    </row>
    <row r="555" spans="15:18" x14ac:dyDescent="0.2">
      <c r="O555" s="103">
        <v>5.44</v>
      </c>
      <c r="P555" s="102">
        <v>2017</v>
      </c>
      <c r="Q555" s="101">
        <v>59.609675700164132</v>
      </c>
      <c r="R555" s="100">
        <v>8</v>
      </c>
    </row>
    <row r="556" spans="15:18" x14ac:dyDescent="0.2">
      <c r="O556" s="103">
        <v>20</v>
      </c>
      <c r="P556" s="102">
        <v>2017</v>
      </c>
      <c r="Q556" s="101">
        <v>58.145075575746596</v>
      </c>
      <c r="R556" s="100">
        <v>8</v>
      </c>
    </row>
    <row r="557" spans="15:18" x14ac:dyDescent="0.2">
      <c r="O557" s="103">
        <v>10.88</v>
      </c>
      <c r="P557" s="102">
        <v>2017</v>
      </c>
      <c r="Q557" s="101">
        <v>39.930757487339704</v>
      </c>
      <c r="R557" s="100">
        <v>8</v>
      </c>
    </row>
    <row r="558" spans="15:18" x14ac:dyDescent="0.2">
      <c r="O558" s="103">
        <v>20.399999999999999</v>
      </c>
      <c r="P558" s="102">
        <v>2017</v>
      </c>
      <c r="Q558" s="101">
        <v>66.84514353074691</v>
      </c>
      <c r="R558" s="100">
        <v>8</v>
      </c>
    </row>
    <row r="559" spans="15:18" x14ac:dyDescent="0.2">
      <c r="O559" s="103">
        <v>10.199999999999999</v>
      </c>
      <c r="P559" s="102">
        <v>2017</v>
      </c>
      <c r="Q559" s="101">
        <v>72.503055910852879</v>
      </c>
      <c r="R559" s="100">
        <v>8</v>
      </c>
    </row>
    <row r="560" spans="15:18" x14ac:dyDescent="0.2">
      <c r="O560" s="103">
        <v>8.16</v>
      </c>
      <c r="P560" s="102">
        <v>2017</v>
      </c>
      <c r="Q560" s="101">
        <v>56.84057520622477</v>
      </c>
      <c r="R560" s="100">
        <v>8</v>
      </c>
    </row>
    <row r="561" spans="15:18" x14ac:dyDescent="0.2">
      <c r="O561" s="103">
        <v>20</v>
      </c>
      <c r="P561" s="102">
        <v>2017</v>
      </c>
      <c r="Q561" s="101">
        <v>62.068640538408587</v>
      </c>
      <c r="R561" s="100">
        <v>8</v>
      </c>
    </row>
    <row r="562" spans="15:18" x14ac:dyDescent="0.2">
      <c r="O562" s="103">
        <v>6.8</v>
      </c>
      <c r="P562" s="102">
        <v>2017</v>
      </c>
      <c r="Q562" s="101">
        <v>60.808091084792203</v>
      </c>
      <c r="R562" s="100">
        <v>8</v>
      </c>
    </row>
    <row r="563" spans="15:18" x14ac:dyDescent="0.2">
      <c r="O563" s="103">
        <v>71.400000000000006</v>
      </c>
      <c r="P563" s="102">
        <v>2017</v>
      </c>
      <c r="Q563" s="101">
        <v>74.69255955941891</v>
      </c>
      <c r="R563" s="100">
        <v>8</v>
      </c>
    </row>
    <row r="564" spans="15:18" x14ac:dyDescent="0.2">
      <c r="O564" s="103">
        <v>8.16</v>
      </c>
      <c r="P564" s="102">
        <v>2017</v>
      </c>
      <c r="Q564" s="101">
        <v>48.92694562480478</v>
      </c>
      <c r="R564" s="100">
        <v>8</v>
      </c>
    </row>
    <row r="565" spans="15:18" x14ac:dyDescent="0.2">
      <c r="O565" s="103">
        <v>10</v>
      </c>
      <c r="P565" s="102">
        <v>2017</v>
      </c>
      <c r="Q565" s="101">
        <v>75.647069110669889</v>
      </c>
      <c r="R565" s="100">
        <v>8</v>
      </c>
    </row>
    <row r="566" spans="15:18" x14ac:dyDescent="0.2">
      <c r="O566" s="103">
        <v>10.199999999999999</v>
      </c>
      <c r="P566" s="102">
        <v>2017</v>
      </c>
      <c r="Q566" s="101">
        <v>87.950824673729556</v>
      </c>
      <c r="R566" s="100">
        <v>8</v>
      </c>
    </row>
    <row r="567" spans="15:18" x14ac:dyDescent="0.2">
      <c r="O567" s="103">
        <v>10.199999999999999</v>
      </c>
      <c r="P567" s="102">
        <v>2017</v>
      </c>
      <c r="Q567" s="101">
        <v>55.690701693617228</v>
      </c>
      <c r="R567" s="100">
        <v>8</v>
      </c>
    </row>
    <row r="568" spans="15:18" x14ac:dyDescent="0.2">
      <c r="O568" s="103">
        <v>10.88</v>
      </c>
      <c r="P568" s="102">
        <v>2017</v>
      </c>
      <c r="Q568" s="101">
        <v>41.175020452538604</v>
      </c>
      <c r="R568" s="100">
        <v>8</v>
      </c>
    </row>
    <row r="569" spans="15:18" x14ac:dyDescent="0.2">
      <c r="O569" s="103">
        <v>16</v>
      </c>
      <c r="P569" s="102">
        <v>2017</v>
      </c>
      <c r="Q569" s="101">
        <v>90.006333444748051</v>
      </c>
      <c r="R569" s="100">
        <v>8</v>
      </c>
    </row>
    <row r="570" spans="15:18" x14ac:dyDescent="0.2">
      <c r="O570" s="103">
        <v>15</v>
      </c>
      <c r="P570" s="102">
        <v>2017</v>
      </c>
      <c r="Q570" s="101">
        <v>69.418482180012575</v>
      </c>
      <c r="R570" s="100">
        <v>8</v>
      </c>
    </row>
    <row r="571" spans="15:18" x14ac:dyDescent="0.2">
      <c r="O571" s="103">
        <v>157.5</v>
      </c>
      <c r="P571" s="102">
        <v>2017</v>
      </c>
      <c r="Q571" s="101">
        <v>59.067185176715</v>
      </c>
      <c r="R571" s="100">
        <v>8</v>
      </c>
    </row>
    <row r="572" spans="15:18" x14ac:dyDescent="0.2">
      <c r="O572" s="103">
        <v>120</v>
      </c>
      <c r="P572" s="102">
        <v>2017</v>
      </c>
      <c r="Q572" s="101">
        <v>58.458850088050163</v>
      </c>
      <c r="R572" s="100">
        <v>8</v>
      </c>
    </row>
    <row r="573" spans="15:18" x14ac:dyDescent="0.2">
      <c r="O573" s="103">
        <v>15.4</v>
      </c>
      <c r="P573" s="102">
        <v>2017</v>
      </c>
      <c r="Q573" s="101">
        <v>100.68624551146308</v>
      </c>
      <c r="R573" s="100">
        <v>8</v>
      </c>
    </row>
    <row r="574" spans="15:18" x14ac:dyDescent="0.2">
      <c r="O574" s="103">
        <v>5.3</v>
      </c>
      <c r="P574" s="102">
        <v>2017</v>
      </c>
      <c r="Q574" s="101">
        <v>111.48478946186124</v>
      </c>
      <c r="R574" s="100">
        <v>8</v>
      </c>
    </row>
    <row r="575" spans="15:18" x14ac:dyDescent="0.2">
      <c r="O575" s="103">
        <v>102</v>
      </c>
      <c r="P575" s="102">
        <v>2017</v>
      </c>
      <c r="Q575" s="101">
        <v>64.832747431099804</v>
      </c>
      <c r="R575" s="100">
        <v>8</v>
      </c>
    </row>
    <row r="576" spans="15:18" x14ac:dyDescent="0.2">
      <c r="O576" s="103">
        <v>10</v>
      </c>
      <c r="P576" s="102">
        <v>2017</v>
      </c>
      <c r="Q576" s="101">
        <v>62.4955305290583</v>
      </c>
      <c r="R576" s="100">
        <v>8</v>
      </c>
    </row>
    <row r="577" spans="15:18" x14ac:dyDescent="0.2">
      <c r="O577" s="103">
        <v>5.28</v>
      </c>
      <c r="P577" s="102">
        <v>2017</v>
      </c>
      <c r="Q577" s="101">
        <v>157.15033297589287</v>
      </c>
      <c r="R577" s="100">
        <v>8</v>
      </c>
    </row>
    <row r="578" spans="15:18" x14ac:dyDescent="0.2">
      <c r="O578" s="103">
        <v>5.17</v>
      </c>
      <c r="P578" s="102">
        <v>2017</v>
      </c>
      <c r="Q578" s="101">
        <v>87.592452305233905</v>
      </c>
      <c r="R578" s="100">
        <v>8</v>
      </c>
    </row>
    <row r="579" spans="15:18" x14ac:dyDescent="0.2">
      <c r="O579" s="103">
        <v>110.2</v>
      </c>
      <c r="P579" s="102">
        <v>2017</v>
      </c>
      <c r="Q579" s="101">
        <v>108.76583619740997</v>
      </c>
      <c r="R579" s="100">
        <v>8</v>
      </c>
    </row>
    <row r="580" spans="15:18" x14ac:dyDescent="0.2">
      <c r="O580" s="103">
        <v>50</v>
      </c>
      <c r="P580" s="102">
        <v>2017</v>
      </c>
      <c r="Q580" s="101">
        <v>75.797658077815996</v>
      </c>
      <c r="R580" s="100">
        <v>8</v>
      </c>
    </row>
    <row r="581" spans="15:18" x14ac:dyDescent="0.2">
      <c r="O581" s="103">
        <v>50</v>
      </c>
      <c r="P581" s="102">
        <v>2017</v>
      </c>
      <c r="Q581" s="101">
        <v>55.106515319590613</v>
      </c>
      <c r="R581" s="100">
        <v>8</v>
      </c>
    </row>
    <row r="582" spans="15:18" x14ac:dyDescent="0.2">
      <c r="O582" s="103">
        <v>5.0010000000000003</v>
      </c>
      <c r="P582" s="102">
        <v>2017</v>
      </c>
      <c r="Q582" s="101">
        <v>65.611372574182553</v>
      </c>
      <c r="R582" s="100">
        <v>8</v>
      </c>
    </row>
    <row r="583" spans="15:18" x14ac:dyDescent="0.2">
      <c r="O583" s="103">
        <v>5.0010000000000003</v>
      </c>
      <c r="P583" s="102">
        <v>2017</v>
      </c>
      <c r="Q583" s="101">
        <v>83.761402316328486</v>
      </c>
      <c r="R583" s="100">
        <v>8</v>
      </c>
    </row>
    <row r="584" spans="15:18" x14ac:dyDescent="0.2">
      <c r="O584" s="103">
        <v>10</v>
      </c>
      <c r="P584" s="102">
        <v>2017</v>
      </c>
      <c r="Q584" s="101">
        <v>52.0753058371874</v>
      </c>
      <c r="R584" s="100">
        <v>8</v>
      </c>
    </row>
    <row r="585" spans="15:18" x14ac:dyDescent="0.2">
      <c r="O585" s="103">
        <v>19.8</v>
      </c>
      <c r="P585" s="102">
        <v>2017</v>
      </c>
      <c r="Q585" s="101">
        <v>71.074027792833974</v>
      </c>
      <c r="R585" s="100">
        <v>8</v>
      </c>
    </row>
    <row r="586" spans="15:18" x14ac:dyDescent="0.2">
      <c r="O586" s="103">
        <v>20</v>
      </c>
      <c r="P586" s="102">
        <v>2017</v>
      </c>
      <c r="Q586" s="101">
        <v>83.037691834863097</v>
      </c>
      <c r="R586" s="100">
        <v>8</v>
      </c>
    </row>
    <row r="587" spans="15:18" x14ac:dyDescent="0.2">
      <c r="O587" s="103">
        <v>20</v>
      </c>
      <c r="P587" s="102">
        <v>2017</v>
      </c>
      <c r="Q587" s="101">
        <v>77.968813499572448</v>
      </c>
      <c r="R587" s="100">
        <v>8</v>
      </c>
    </row>
    <row r="588" spans="15:18" x14ac:dyDescent="0.2">
      <c r="O588" s="103">
        <v>20</v>
      </c>
      <c r="P588" s="102">
        <v>2017</v>
      </c>
      <c r="Q588" s="101">
        <v>75.689982099901911</v>
      </c>
      <c r="R588" s="100">
        <v>8</v>
      </c>
    </row>
    <row r="589" spans="15:18" x14ac:dyDescent="0.2">
      <c r="O589" s="103">
        <v>100</v>
      </c>
      <c r="P589" s="102">
        <v>2017</v>
      </c>
      <c r="Q589" s="101">
        <v>79.974641453548287</v>
      </c>
      <c r="R589" s="100">
        <v>8</v>
      </c>
    </row>
    <row r="590" spans="15:18" x14ac:dyDescent="0.2">
      <c r="O590" s="103">
        <v>10</v>
      </c>
      <c r="P590" s="102">
        <v>2017</v>
      </c>
      <c r="Q590" s="101">
        <v>78.597450665040824</v>
      </c>
      <c r="R590" s="100">
        <v>8</v>
      </c>
    </row>
    <row r="591" spans="15:18" x14ac:dyDescent="0.2">
      <c r="O591" s="103">
        <v>20</v>
      </c>
      <c r="P591" s="102">
        <v>2017</v>
      </c>
      <c r="Q591" s="101">
        <v>91.727683424729292</v>
      </c>
      <c r="R591" s="100">
        <v>8</v>
      </c>
    </row>
    <row r="592" spans="15:18" x14ac:dyDescent="0.2">
      <c r="O592" s="103">
        <v>20</v>
      </c>
      <c r="P592" s="102">
        <v>2017</v>
      </c>
      <c r="Q592" s="101">
        <v>97.780549436444616</v>
      </c>
      <c r="R592" s="100">
        <v>8</v>
      </c>
    </row>
    <row r="593" spans="15:18" x14ac:dyDescent="0.2">
      <c r="O593" s="103">
        <v>17.600000000000001</v>
      </c>
      <c r="P593" s="102">
        <v>2017</v>
      </c>
      <c r="Q593" s="101">
        <v>102.18426804684226</v>
      </c>
      <c r="R593" s="100">
        <v>8</v>
      </c>
    </row>
    <row r="594" spans="15:18" x14ac:dyDescent="0.2">
      <c r="O594" s="103">
        <v>20</v>
      </c>
      <c r="P594" s="102">
        <v>2017</v>
      </c>
      <c r="Q594" s="101">
        <v>103.59992842895302</v>
      </c>
      <c r="R594" s="100">
        <v>8</v>
      </c>
    </row>
    <row r="595" spans="15:18" x14ac:dyDescent="0.2">
      <c r="O595" s="103">
        <v>15.9</v>
      </c>
      <c r="P595" s="102">
        <v>2018</v>
      </c>
      <c r="Q595" s="101">
        <v>96.274722849848359</v>
      </c>
      <c r="R595" s="100">
        <v>9</v>
      </c>
    </row>
    <row r="596" spans="15:18" x14ac:dyDescent="0.2">
      <c r="O596" s="103">
        <v>81</v>
      </c>
      <c r="P596" s="102">
        <v>2018</v>
      </c>
      <c r="Q596" s="101">
        <v>43.526705751163441</v>
      </c>
      <c r="R596" s="100">
        <v>9</v>
      </c>
    </row>
    <row r="597" spans="15:18" x14ac:dyDescent="0.2">
      <c r="O597" s="103">
        <v>46</v>
      </c>
      <c r="P597" s="102">
        <v>2018</v>
      </c>
      <c r="Q597" s="101">
        <v>45.176960696713678</v>
      </c>
      <c r="R597" s="100">
        <v>9</v>
      </c>
    </row>
    <row r="598" spans="15:18" x14ac:dyDescent="0.2">
      <c r="O598" s="103">
        <v>20</v>
      </c>
      <c r="P598" s="102">
        <v>2018</v>
      </c>
      <c r="Q598" s="101">
        <v>67.746861328124098</v>
      </c>
      <c r="R598" s="100">
        <v>9</v>
      </c>
    </row>
    <row r="599" spans="15:18" x14ac:dyDescent="0.2">
      <c r="O599" s="103">
        <v>105</v>
      </c>
      <c r="P599" s="102">
        <v>2018</v>
      </c>
      <c r="Q599" s="101">
        <v>50.94689344059168</v>
      </c>
      <c r="R599" s="100">
        <v>9</v>
      </c>
    </row>
    <row r="600" spans="15:18" x14ac:dyDescent="0.2">
      <c r="O600" s="103">
        <v>140</v>
      </c>
      <c r="P600" s="102">
        <v>2018</v>
      </c>
      <c r="Q600" s="101">
        <v>84.909366397237477</v>
      </c>
      <c r="R600" s="100">
        <v>9</v>
      </c>
    </row>
    <row r="601" spans="15:18" x14ac:dyDescent="0.2">
      <c r="O601" s="103">
        <v>100</v>
      </c>
      <c r="P601" s="102">
        <v>2018</v>
      </c>
      <c r="Q601" s="101">
        <v>77.936994879486178</v>
      </c>
      <c r="R601" s="100">
        <v>9</v>
      </c>
    </row>
    <row r="602" spans="15:18" x14ac:dyDescent="0.2">
      <c r="O602" s="103">
        <v>74.8</v>
      </c>
      <c r="P602" s="102">
        <v>2018</v>
      </c>
      <c r="Q602" s="101">
        <v>66.622477724409848</v>
      </c>
      <c r="R602" s="100">
        <v>9</v>
      </c>
    </row>
    <row r="603" spans="15:18" x14ac:dyDescent="0.2">
      <c r="O603" s="103">
        <v>200</v>
      </c>
      <c r="P603" s="102">
        <v>2018</v>
      </c>
      <c r="Q603" s="101">
        <v>61.425530272383945</v>
      </c>
      <c r="R603" s="100">
        <v>9</v>
      </c>
    </row>
    <row r="604" spans="15:18" x14ac:dyDescent="0.2">
      <c r="O604" s="103">
        <v>50</v>
      </c>
      <c r="P604" s="102">
        <v>2018</v>
      </c>
      <c r="Q604" s="101">
        <v>78.727379052082441</v>
      </c>
      <c r="R604" s="100">
        <v>9</v>
      </c>
    </row>
    <row r="605" spans="15:18" x14ac:dyDescent="0.2">
      <c r="O605" s="103">
        <v>20</v>
      </c>
      <c r="P605" s="102">
        <v>2018</v>
      </c>
      <c r="Q605" s="101">
        <v>63.940974476563852</v>
      </c>
      <c r="R605" s="100">
        <v>9</v>
      </c>
    </row>
    <row r="606" spans="15:18" x14ac:dyDescent="0.2">
      <c r="O606" s="103">
        <v>252.3</v>
      </c>
      <c r="P606" s="102">
        <v>2018</v>
      </c>
      <c r="Q606" s="101">
        <v>81.822110703076774</v>
      </c>
      <c r="R606" s="100">
        <v>9</v>
      </c>
    </row>
    <row r="607" spans="15:18" x14ac:dyDescent="0.2">
      <c r="O607" s="103">
        <v>20</v>
      </c>
      <c r="P607" s="102">
        <v>2018</v>
      </c>
      <c r="Q607" s="101">
        <v>90.137444472744988</v>
      </c>
      <c r="R607" s="100">
        <v>9</v>
      </c>
    </row>
    <row r="608" spans="15:18" x14ac:dyDescent="0.2">
      <c r="O608" s="103">
        <v>18.5</v>
      </c>
      <c r="P608" s="102">
        <v>2018</v>
      </c>
      <c r="Q608" s="101">
        <v>114.01477306533202</v>
      </c>
      <c r="R608" s="100">
        <v>9</v>
      </c>
    </row>
    <row r="609" spans="15:18" x14ac:dyDescent="0.2">
      <c r="O609" s="103">
        <v>50</v>
      </c>
      <c r="P609" s="102">
        <v>2018</v>
      </c>
      <c r="Q609" s="101">
        <v>53.018715368910108</v>
      </c>
      <c r="R609" s="100">
        <v>9</v>
      </c>
    </row>
    <row r="610" spans="15:18" x14ac:dyDescent="0.2">
      <c r="O610" s="103">
        <v>20</v>
      </c>
      <c r="P610" s="102">
        <v>2018</v>
      </c>
      <c r="Q610" s="101">
        <v>92.688166117754307</v>
      </c>
      <c r="R610" s="100">
        <v>9</v>
      </c>
    </row>
    <row r="611" spans="15:18" x14ac:dyDescent="0.2">
      <c r="O611" s="103">
        <v>20</v>
      </c>
      <c r="P611" s="102">
        <v>2018</v>
      </c>
      <c r="Q611" s="101">
        <v>108.32489304798494</v>
      </c>
      <c r="R611" s="100">
        <v>9</v>
      </c>
    </row>
    <row r="612" spans="15:18" x14ac:dyDescent="0.2">
      <c r="O612" s="103">
        <v>74.400000000000006</v>
      </c>
      <c r="P612" s="102">
        <v>2018</v>
      </c>
      <c r="Q612" s="101">
        <v>62.081764032911785</v>
      </c>
      <c r="R612" s="100">
        <v>9</v>
      </c>
    </row>
    <row r="613" spans="15:18" x14ac:dyDescent="0.2">
      <c r="O613" s="103">
        <v>7.26</v>
      </c>
      <c r="P613" s="102">
        <v>2018</v>
      </c>
      <c r="Q613" s="101">
        <v>70.54956260408585</v>
      </c>
      <c r="R613" s="100">
        <v>9</v>
      </c>
    </row>
    <row r="614" spans="15:18" x14ac:dyDescent="0.2">
      <c r="O614" s="103">
        <v>52</v>
      </c>
      <c r="P614" s="102">
        <v>2018</v>
      </c>
      <c r="Q614" s="101">
        <v>54.878818452190551</v>
      </c>
      <c r="R614" s="100">
        <v>9</v>
      </c>
    </row>
    <row r="615" spans="15:18" x14ac:dyDescent="0.2">
      <c r="O615" s="103">
        <v>74.5</v>
      </c>
      <c r="P615" s="102">
        <v>2018</v>
      </c>
      <c r="Q615" s="101">
        <v>47.696312983563061</v>
      </c>
      <c r="R615" s="100">
        <v>9</v>
      </c>
    </row>
    <row r="616" spans="15:18" x14ac:dyDescent="0.2">
      <c r="O616" s="103">
        <v>74.5</v>
      </c>
      <c r="P616" s="102">
        <v>2018</v>
      </c>
      <c r="Q616" s="101">
        <v>50.710967497737293</v>
      </c>
      <c r="R616" s="100">
        <v>9</v>
      </c>
    </row>
    <row r="617" spans="15:18" x14ac:dyDescent="0.2">
      <c r="O617" s="103">
        <v>74.5</v>
      </c>
      <c r="P617" s="102">
        <v>2018</v>
      </c>
      <c r="Q617" s="101">
        <v>52.086624481412009</v>
      </c>
      <c r="R617" s="100">
        <v>9</v>
      </c>
    </row>
    <row r="618" spans="15:18" x14ac:dyDescent="0.2">
      <c r="O618" s="103">
        <v>74.5</v>
      </c>
      <c r="P618" s="102">
        <v>2018</v>
      </c>
      <c r="Q618" s="101">
        <v>49.502437121353374</v>
      </c>
      <c r="R618" s="100">
        <v>9</v>
      </c>
    </row>
    <row r="619" spans="15:18" x14ac:dyDescent="0.2">
      <c r="O619" s="103">
        <v>74.5</v>
      </c>
      <c r="P619" s="102">
        <v>2018</v>
      </c>
      <c r="Q619" s="101">
        <v>51.320241119076037</v>
      </c>
      <c r="R619" s="100">
        <v>9</v>
      </c>
    </row>
    <row r="620" spans="15:18" x14ac:dyDescent="0.2">
      <c r="O620" s="103">
        <v>74.5</v>
      </c>
      <c r="P620" s="102">
        <v>2018</v>
      </c>
      <c r="Q620" s="101">
        <v>49.322362753947608</v>
      </c>
      <c r="R620" s="100">
        <v>9</v>
      </c>
    </row>
    <row r="621" spans="15:18" x14ac:dyDescent="0.2">
      <c r="O621" s="103">
        <v>74.5</v>
      </c>
      <c r="P621" s="102">
        <v>2018</v>
      </c>
      <c r="Q621" s="101">
        <v>51.232795201563867</v>
      </c>
      <c r="R621" s="100">
        <v>9</v>
      </c>
    </row>
    <row r="622" spans="15:18" x14ac:dyDescent="0.2">
      <c r="O622" s="103">
        <v>74.5</v>
      </c>
      <c r="P622" s="102">
        <v>2018</v>
      </c>
      <c r="Q622" s="101">
        <v>50.648850868776741</v>
      </c>
      <c r="R622" s="100">
        <v>9</v>
      </c>
    </row>
    <row r="623" spans="15:18" x14ac:dyDescent="0.2">
      <c r="O623" s="103">
        <v>74.900000000000006</v>
      </c>
      <c r="P623" s="102">
        <v>2018</v>
      </c>
      <c r="Q623" s="101">
        <v>53.841338821727753</v>
      </c>
      <c r="R623" s="100">
        <v>9</v>
      </c>
    </row>
    <row r="624" spans="15:18" x14ac:dyDescent="0.2">
      <c r="O624" s="103">
        <v>70.3</v>
      </c>
      <c r="P624" s="102">
        <v>2018</v>
      </c>
      <c r="Q624" s="101">
        <v>55.795158002382216</v>
      </c>
      <c r="R624" s="100">
        <v>9</v>
      </c>
    </row>
    <row r="625" spans="15:18" x14ac:dyDescent="0.2">
      <c r="O625" s="103">
        <v>31.16</v>
      </c>
      <c r="P625" s="102">
        <v>2018</v>
      </c>
      <c r="Q625" s="101">
        <v>91.748631862830223</v>
      </c>
      <c r="R625" s="100">
        <v>9</v>
      </c>
    </row>
    <row r="626" spans="15:18" x14ac:dyDescent="0.2">
      <c r="O626" s="103">
        <v>7.5</v>
      </c>
      <c r="P626" s="102">
        <v>2018</v>
      </c>
      <c r="Q626" s="101">
        <v>66.607342078623162</v>
      </c>
      <c r="R626" s="100">
        <v>9</v>
      </c>
    </row>
    <row r="627" spans="15:18" x14ac:dyDescent="0.2">
      <c r="O627" s="103">
        <v>12</v>
      </c>
      <c r="P627" s="102">
        <v>2018</v>
      </c>
      <c r="Q627" s="101">
        <v>128.35351806380035</v>
      </c>
      <c r="R627" s="100">
        <v>9</v>
      </c>
    </row>
    <row r="628" spans="15:18" x14ac:dyDescent="0.2">
      <c r="O628" s="103">
        <v>75</v>
      </c>
      <c r="P628" s="102">
        <v>2018</v>
      </c>
      <c r="Q628" s="101">
        <v>83.490763612295993</v>
      </c>
      <c r="R628" s="100">
        <v>9</v>
      </c>
    </row>
    <row r="629" spans="15:18" x14ac:dyDescent="0.2">
      <c r="O629" s="103">
        <v>8.1</v>
      </c>
      <c r="P629" s="102">
        <v>2018</v>
      </c>
      <c r="Q629" s="101">
        <v>70.474248460498131</v>
      </c>
      <c r="R629" s="100">
        <v>9</v>
      </c>
    </row>
    <row r="630" spans="15:18" x14ac:dyDescent="0.2">
      <c r="O630" s="103">
        <v>15.9</v>
      </c>
      <c r="P630" s="102">
        <v>2018</v>
      </c>
      <c r="Q630" s="101">
        <v>73.450675775665772</v>
      </c>
      <c r="R630" s="100">
        <v>9</v>
      </c>
    </row>
    <row r="631" spans="15:18" x14ac:dyDescent="0.2">
      <c r="O631" s="103">
        <v>6.625</v>
      </c>
      <c r="P631" s="102">
        <v>2018</v>
      </c>
      <c r="Q631" s="101">
        <v>70.488363919383445</v>
      </c>
      <c r="R631" s="100">
        <v>9</v>
      </c>
    </row>
    <row r="632" spans="15:18" x14ac:dyDescent="0.2">
      <c r="O632" s="103">
        <v>8.4</v>
      </c>
      <c r="P632" s="102">
        <v>2018</v>
      </c>
      <c r="Q632" s="101">
        <v>63.577137504840024</v>
      </c>
      <c r="R632" s="100">
        <v>9</v>
      </c>
    </row>
    <row r="633" spans="15:18" x14ac:dyDescent="0.2">
      <c r="O633" s="103">
        <v>80</v>
      </c>
      <c r="P633" s="102">
        <v>2018</v>
      </c>
      <c r="Q633" s="101">
        <v>90.159903117071096</v>
      </c>
      <c r="R633" s="100">
        <v>9</v>
      </c>
    </row>
    <row r="634" spans="15:18" x14ac:dyDescent="0.2">
      <c r="O634" s="103">
        <v>50.2</v>
      </c>
      <c r="P634" s="102">
        <v>2018</v>
      </c>
      <c r="Q634" s="101">
        <v>66.928894991519968</v>
      </c>
      <c r="R634" s="100">
        <v>9</v>
      </c>
    </row>
    <row r="635" spans="15:18" x14ac:dyDescent="0.2">
      <c r="O635" s="103">
        <v>52.1</v>
      </c>
      <c r="P635" s="102">
        <v>2018</v>
      </c>
      <c r="Q635" s="101">
        <v>59.866314564820023</v>
      </c>
      <c r="R635" s="100">
        <v>9</v>
      </c>
    </row>
    <row r="636" spans="15:18" x14ac:dyDescent="0.2">
      <c r="O636" s="103">
        <v>50.2</v>
      </c>
      <c r="P636" s="102">
        <v>2018</v>
      </c>
      <c r="Q636" s="101">
        <v>66.012050108352639</v>
      </c>
      <c r="R636" s="100">
        <v>9</v>
      </c>
    </row>
    <row r="637" spans="15:18" x14ac:dyDescent="0.2">
      <c r="O637" s="103">
        <v>50</v>
      </c>
      <c r="P637" s="102">
        <v>2018</v>
      </c>
      <c r="Q637" s="101">
        <v>69.947392944677162</v>
      </c>
      <c r="R637" s="100">
        <v>9</v>
      </c>
    </row>
    <row r="638" spans="15:18" x14ac:dyDescent="0.2">
      <c r="O638" s="103">
        <v>33.299999999999997</v>
      </c>
      <c r="P638" s="102">
        <v>2018</v>
      </c>
      <c r="Q638" s="101">
        <v>67.810618372089323</v>
      </c>
      <c r="R638" s="100">
        <v>9</v>
      </c>
    </row>
    <row r="639" spans="15:18" x14ac:dyDescent="0.2">
      <c r="O639" s="103">
        <v>74.8</v>
      </c>
      <c r="P639" s="102">
        <v>2018</v>
      </c>
      <c r="Q639" s="101">
        <v>74.352397548352883</v>
      </c>
      <c r="R639" s="100">
        <v>9</v>
      </c>
    </row>
    <row r="640" spans="15:18" x14ac:dyDescent="0.2">
      <c r="O640" s="103">
        <v>74.900000000000006</v>
      </c>
      <c r="P640" s="102">
        <v>2018</v>
      </c>
      <c r="Q640" s="101">
        <v>70.594043649616552</v>
      </c>
      <c r="R640" s="100">
        <v>9</v>
      </c>
    </row>
    <row r="641" spans="15:18" x14ac:dyDescent="0.2">
      <c r="O641" s="103">
        <v>6</v>
      </c>
      <c r="P641" s="102">
        <v>2018</v>
      </c>
      <c r="Q641" s="101">
        <v>79.918161951683587</v>
      </c>
      <c r="R641" s="100">
        <v>9</v>
      </c>
    </row>
    <row r="642" spans="15:18" x14ac:dyDescent="0.2">
      <c r="O642" s="103">
        <v>10</v>
      </c>
      <c r="P642" s="102">
        <v>2018</v>
      </c>
      <c r="Q642" s="101">
        <v>142.31386820640208</v>
      </c>
      <c r="R642" s="100">
        <v>9</v>
      </c>
    </row>
    <row r="643" spans="15:18" x14ac:dyDescent="0.2">
      <c r="O643" s="103">
        <v>10</v>
      </c>
      <c r="P643" s="102">
        <v>2018</v>
      </c>
      <c r="Q643" s="101">
        <v>107.22436667985858</v>
      </c>
      <c r="R643" s="100">
        <v>9</v>
      </c>
    </row>
    <row r="644" spans="15:18" x14ac:dyDescent="0.2">
      <c r="O644" s="103">
        <v>8.8000000000000007</v>
      </c>
      <c r="P644" s="102">
        <v>2018</v>
      </c>
      <c r="Q644" s="101">
        <v>108.43099285279203</v>
      </c>
      <c r="R644" s="100">
        <v>9</v>
      </c>
    </row>
    <row r="645" spans="15:18" x14ac:dyDescent="0.2">
      <c r="O645" s="103">
        <v>8.8000000000000007</v>
      </c>
      <c r="P645" s="102">
        <v>2018</v>
      </c>
      <c r="Q645" s="101">
        <v>99.922672354134733</v>
      </c>
      <c r="R645" s="100">
        <v>9</v>
      </c>
    </row>
    <row r="646" spans="15:18" x14ac:dyDescent="0.2">
      <c r="O646" s="103">
        <v>8.4</v>
      </c>
      <c r="P646" s="102">
        <v>2018</v>
      </c>
      <c r="Q646" s="101">
        <v>117.96377394813852</v>
      </c>
      <c r="R646" s="100">
        <v>9</v>
      </c>
    </row>
    <row r="647" spans="15:18" x14ac:dyDescent="0.2">
      <c r="O647" s="103">
        <v>7.5</v>
      </c>
      <c r="P647" s="102">
        <v>2018</v>
      </c>
      <c r="Q647" s="101">
        <v>148.63388270662682</v>
      </c>
      <c r="R647" s="100">
        <v>9</v>
      </c>
    </row>
    <row r="648" spans="15:18" x14ac:dyDescent="0.2">
      <c r="O648" s="103">
        <v>8</v>
      </c>
      <c r="P648" s="102">
        <v>2018</v>
      </c>
      <c r="Q648" s="101">
        <v>68.744821921892211</v>
      </c>
      <c r="R648" s="100">
        <v>9</v>
      </c>
    </row>
    <row r="649" spans="15:18" x14ac:dyDescent="0.2">
      <c r="O649" s="103">
        <v>10</v>
      </c>
      <c r="P649" s="102">
        <v>2018</v>
      </c>
      <c r="Q649" s="101">
        <v>43.108500214104687</v>
      </c>
      <c r="R649" s="100">
        <v>9</v>
      </c>
    </row>
    <row r="650" spans="15:18" x14ac:dyDescent="0.2">
      <c r="O650" s="103">
        <v>10</v>
      </c>
      <c r="P650" s="102">
        <v>2018</v>
      </c>
      <c r="Q650" s="101">
        <v>43.990827903440582</v>
      </c>
      <c r="R650" s="100">
        <v>9</v>
      </c>
    </row>
    <row r="651" spans="15:18" x14ac:dyDescent="0.2">
      <c r="O651" s="103">
        <v>5.0010000000000003</v>
      </c>
      <c r="P651" s="102">
        <v>2018</v>
      </c>
      <c r="Q651" s="101">
        <v>60.631058338363182</v>
      </c>
      <c r="R651" s="100">
        <v>9</v>
      </c>
    </row>
    <row r="652" spans="15:18" x14ac:dyDescent="0.2">
      <c r="O652" s="103">
        <v>20</v>
      </c>
      <c r="P652" s="102">
        <v>2018</v>
      </c>
      <c r="Q652" s="101">
        <v>82.922541015204985</v>
      </c>
      <c r="R652" s="100">
        <v>9</v>
      </c>
    </row>
    <row r="653" spans="15:18" x14ac:dyDescent="0.2">
      <c r="O653" s="103">
        <v>24.9</v>
      </c>
      <c r="P653" s="102">
        <v>2018</v>
      </c>
      <c r="Q653" s="101">
        <v>91.393021417175447</v>
      </c>
      <c r="R653" s="100">
        <v>9</v>
      </c>
    </row>
    <row r="654" spans="15:18" x14ac:dyDescent="0.2">
      <c r="O654" s="103">
        <v>10</v>
      </c>
      <c r="P654" s="102">
        <v>2018</v>
      </c>
      <c r="Q654" s="101">
        <v>80.001236155797557</v>
      </c>
      <c r="R654" s="100">
        <v>9</v>
      </c>
    </row>
    <row r="655" spans="15:18" x14ac:dyDescent="0.2">
      <c r="O655" s="103">
        <v>10</v>
      </c>
      <c r="P655" s="102">
        <v>2018</v>
      </c>
      <c r="Q655" s="101">
        <v>63.580829817867738</v>
      </c>
      <c r="R655" s="100">
        <v>9</v>
      </c>
    </row>
    <row r="656" spans="15:18" x14ac:dyDescent="0.2">
      <c r="O656" s="103">
        <v>10</v>
      </c>
      <c r="P656" s="102">
        <v>2018</v>
      </c>
      <c r="Q656" s="101">
        <v>73.47576704411486</v>
      </c>
      <c r="R656" s="100">
        <v>9</v>
      </c>
    </row>
    <row r="657" spans="15:18" x14ac:dyDescent="0.2">
      <c r="O657" s="103">
        <v>8</v>
      </c>
      <c r="P657" s="102">
        <v>2018</v>
      </c>
      <c r="Q657" s="101">
        <v>87.631040482801851</v>
      </c>
      <c r="R657" s="100">
        <v>9</v>
      </c>
    </row>
    <row r="658" spans="15:18" x14ac:dyDescent="0.2">
      <c r="O658" s="103">
        <v>9.9</v>
      </c>
      <c r="P658" s="102">
        <v>2018</v>
      </c>
      <c r="Q658" s="101">
        <v>64.633843074891956</v>
      </c>
      <c r="R658" s="100">
        <v>9</v>
      </c>
    </row>
    <row r="659" spans="15:18" x14ac:dyDescent="0.2">
      <c r="O659" s="103">
        <v>10</v>
      </c>
      <c r="P659" s="102">
        <v>2018</v>
      </c>
      <c r="Q659" s="101">
        <v>67.862522692929744</v>
      </c>
      <c r="R659" s="100">
        <v>9</v>
      </c>
    </row>
    <row r="660" spans="15:18" x14ac:dyDescent="0.2">
      <c r="O660" s="103">
        <v>6</v>
      </c>
      <c r="P660" s="102">
        <v>2018</v>
      </c>
      <c r="Q660" s="101">
        <v>67.867457257805569</v>
      </c>
      <c r="R660" s="100">
        <v>9</v>
      </c>
    </row>
    <row r="661" spans="15:18" x14ac:dyDescent="0.2">
      <c r="O661" s="103">
        <v>8</v>
      </c>
      <c r="P661" s="102">
        <v>2018</v>
      </c>
      <c r="Q661" s="101">
        <v>57.394394379682204</v>
      </c>
      <c r="R661" s="100">
        <v>9</v>
      </c>
    </row>
    <row r="662" spans="15:18" x14ac:dyDescent="0.2">
      <c r="O662" s="103">
        <v>10</v>
      </c>
      <c r="P662" s="102">
        <v>2018</v>
      </c>
      <c r="Q662" s="101">
        <v>56.497402541181856</v>
      </c>
      <c r="R662" s="100">
        <v>9</v>
      </c>
    </row>
    <row r="663" spans="15:18" x14ac:dyDescent="0.2">
      <c r="O663" s="103">
        <v>10</v>
      </c>
      <c r="P663" s="102">
        <v>2018</v>
      </c>
      <c r="Q663" s="101">
        <v>75.630214110756071</v>
      </c>
      <c r="R663" s="100">
        <v>9</v>
      </c>
    </row>
    <row r="664" spans="15:18" x14ac:dyDescent="0.2">
      <c r="O664" s="103">
        <v>10.199999999999999</v>
      </c>
      <c r="P664" s="102">
        <v>2018</v>
      </c>
      <c r="Q664" s="101">
        <v>67.126459823573214</v>
      </c>
      <c r="R664" s="100">
        <v>9</v>
      </c>
    </row>
    <row r="665" spans="15:18" x14ac:dyDescent="0.2">
      <c r="O665" s="103">
        <v>7.48</v>
      </c>
      <c r="P665" s="102">
        <v>2018</v>
      </c>
      <c r="Q665" s="101">
        <v>98.394280470053644</v>
      </c>
      <c r="R665" s="100">
        <v>9</v>
      </c>
    </row>
    <row r="666" spans="15:18" x14ac:dyDescent="0.2">
      <c r="O666" s="103">
        <v>39</v>
      </c>
      <c r="P666" s="102">
        <v>2018</v>
      </c>
      <c r="Q666" s="101">
        <v>71.216838687603158</v>
      </c>
      <c r="R666" s="100">
        <v>9</v>
      </c>
    </row>
    <row r="667" spans="15:18" x14ac:dyDescent="0.2">
      <c r="O667" s="103">
        <v>8</v>
      </c>
      <c r="P667" s="102">
        <v>2018</v>
      </c>
      <c r="Q667" s="101">
        <v>51.780207593481521</v>
      </c>
      <c r="R667" s="100">
        <v>9</v>
      </c>
    </row>
    <row r="668" spans="15:18" x14ac:dyDescent="0.2">
      <c r="O668" s="103">
        <v>6.1</v>
      </c>
      <c r="P668" s="102">
        <v>2018</v>
      </c>
      <c r="Q668" s="101">
        <v>53.094691316595977</v>
      </c>
      <c r="R668" s="100">
        <v>9</v>
      </c>
    </row>
    <row r="669" spans="15:18" x14ac:dyDescent="0.2">
      <c r="O669" s="103">
        <v>15</v>
      </c>
      <c r="P669" s="102">
        <v>2018</v>
      </c>
      <c r="Q669" s="101">
        <v>78.605980284904092</v>
      </c>
      <c r="R669" s="100">
        <v>9</v>
      </c>
    </row>
    <row r="670" spans="15:18" x14ac:dyDescent="0.2">
      <c r="O670" s="103">
        <v>53</v>
      </c>
      <c r="P670" s="102">
        <v>2018</v>
      </c>
      <c r="Q670" s="101">
        <v>73.204273176709933</v>
      </c>
      <c r="R670" s="100">
        <v>9</v>
      </c>
    </row>
    <row r="671" spans="15:18" x14ac:dyDescent="0.2">
      <c r="O671" s="103">
        <v>30</v>
      </c>
      <c r="P671" s="102">
        <v>2018</v>
      </c>
      <c r="Q671" s="101">
        <v>51.267947406584931</v>
      </c>
      <c r="R671" s="100">
        <v>9</v>
      </c>
    </row>
    <row r="672" spans="15:18" x14ac:dyDescent="0.2">
      <c r="O672" s="103">
        <v>10</v>
      </c>
      <c r="P672" s="102">
        <v>2018</v>
      </c>
      <c r="Q672" s="101">
        <v>61.842363225228219</v>
      </c>
      <c r="R672" s="100">
        <v>9</v>
      </c>
    </row>
    <row r="673" spans="15:18" x14ac:dyDescent="0.2">
      <c r="O673" s="103">
        <v>10</v>
      </c>
      <c r="P673" s="102">
        <v>2018</v>
      </c>
      <c r="Q673" s="101">
        <v>94.996171761949796</v>
      </c>
      <c r="R673" s="100">
        <v>9</v>
      </c>
    </row>
    <row r="674" spans="15:18" x14ac:dyDescent="0.2">
      <c r="O674" s="103">
        <v>154</v>
      </c>
      <c r="P674" s="102">
        <v>2018</v>
      </c>
      <c r="Q674" s="101">
        <v>54.330169735214376</v>
      </c>
      <c r="R674" s="100">
        <v>9</v>
      </c>
    </row>
    <row r="675" spans="15:18" x14ac:dyDescent="0.2">
      <c r="O675" s="103">
        <v>180</v>
      </c>
      <c r="P675" s="102">
        <v>2018</v>
      </c>
      <c r="Q675" s="101">
        <v>41.217432562164561</v>
      </c>
      <c r="R675" s="100">
        <v>9</v>
      </c>
    </row>
    <row r="676" spans="15:18" x14ac:dyDescent="0.2">
      <c r="O676" s="103">
        <v>10</v>
      </c>
      <c r="P676" s="102">
        <v>2018</v>
      </c>
      <c r="Q676" s="101">
        <v>65.358235403004414</v>
      </c>
      <c r="R676" s="100">
        <v>9</v>
      </c>
    </row>
    <row r="677" spans="15:18" x14ac:dyDescent="0.2">
      <c r="O677" s="103">
        <v>10</v>
      </c>
      <c r="P677" s="102">
        <v>2018</v>
      </c>
      <c r="Q677" s="101">
        <v>79.116008626438486</v>
      </c>
      <c r="R677" s="100">
        <v>9</v>
      </c>
    </row>
    <row r="678" spans="15:18" x14ac:dyDescent="0.2">
      <c r="O678" s="103">
        <v>182</v>
      </c>
      <c r="P678" s="102">
        <v>2018</v>
      </c>
      <c r="Q678" s="101">
        <v>66.106454415011541</v>
      </c>
      <c r="R678" s="100">
        <v>9</v>
      </c>
    </row>
    <row r="679" spans="15:18" x14ac:dyDescent="0.2">
      <c r="O679" s="103">
        <v>50</v>
      </c>
      <c r="P679" s="102">
        <v>2018</v>
      </c>
      <c r="Q679" s="101">
        <v>53.380915392261926</v>
      </c>
      <c r="R679" s="100">
        <v>9</v>
      </c>
    </row>
    <row r="680" spans="15:18" x14ac:dyDescent="0.2">
      <c r="O680" s="103">
        <v>10</v>
      </c>
      <c r="P680" s="102">
        <v>2018</v>
      </c>
      <c r="Q680" s="101">
        <v>91.879369923445338</v>
      </c>
      <c r="R680" s="100">
        <v>9</v>
      </c>
    </row>
    <row r="681" spans="15:18" x14ac:dyDescent="0.2">
      <c r="O681" s="103">
        <v>6</v>
      </c>
      <c r="P681" s="102">
        <v>2018</v>
      </c>
      <c r="Q681" s="101">
        <v>55.345352731666317</v>
      </c>
      <c r="R681" s="100">
        <v>9</v>
      </c>
    </row>
    <row r="682" spans="15:18" x14ac:dyDescent="0.2">
      <c r="O682" s="103">
        <v>20</v>
      </c>
      <c r="P682" s="102">
        <v>2018</v>
      </c>
      <c r="Q682" s="101">
        <v>61.012952764435667</v>
      </c>
      <c r="R682" s="100">
        <v>9</v>
      </c>
    </row>
    <row r="683" spans="15:18" x14ac:dyDescent="0.2">
      <c r="O683" s="103">
        <v>17</v>
      </c>
      <c r="P683" s="102">
        <v>2018</v>
      </c>
      <c r="Q683" s="101">
        <v>82.729357473381299</v>
      </c>
      <c r="R683" s="100">
        <v>9</v>
      </c>
    </row>
    <row r="684" spans="15:18" x14ac:dyDescent="0.2">
      <c r="O684" s="103">
        <v>15</v>
      </c>
      <c r="P684" s="102">
        <v>2018</v>
      </c>
      <c r="Q684" s="101">
        <v>86.415299151123435</v>
      </c>
      <c r="R684" s="100">
        <v>9</v>
      </c>
    </row>
    <row r="685" spans="15:18" x14ac:dyDescent="0.2">
      <c r="O685" s="103">
        <v>19.59</v>
      </c>
      <c r="P685" s="102">
        <v>2018</v>
      </c>
      <c r="Q685" s="101">
        <v>92.158794200199566</v>
      </c>
      <c r="R685" s="100">
        <v>9</v>
      </c>
    </row>
    <row r="686" spans="15:18" x14ac:dyDescent="0.2">
      <c r="O686" s="103">
        <v>19.2</v>
      </c>
      <c r="P686" s="102">
        <v>2018</v>
      </c>
      <c r="Q686" s="101">
        <v>143.0675864413692</v>
      </c>
      <c r="R686" s="100">
        <v>9</v>
      </c>
    </row>
    <row r="687" spans="15:18" x14ac:dyDescent="0.2">
      <c r="O687" s="103">
        <v>80</v>
      </c>
      <c r="P687" s="102">
        <v>2018</v>
      </c>
      <c r="Q687" s="101">
        <v>50.857162975866629</v>
      </c>
      <c r="R687" s="100">
        <v>9</v>
      </c>
    </row>
    <row r="688" spans="15:18" x14ac:dyDescent="0.2">
      <c r="O688" s="103">
        <v>5.0010000000000003</v>
      </c>
      <c r="P688" s="102">
        <v>2019</v>
      </c>
      <c r="Q688" s="101">
        <v>47.620363072129614</v>
      </c>
      <c r="R688" s="100">
        <v>10</v>
      </c>
    </row>
    <row r="689" spans="15:18" x14ac:dyDescent="0.2">
      <c r="O689" s="103">
        <v>5.0010000000000003</v>
      </c>
      <c r="P689" s="102">
        <v>2019</v>
      </c>
      <c r="Q689" s="101">
        <v>47.437757441588218</v>
      </c>
      <c r="R689" s="100">
        <v>10</v>
      </c>
    </row>
    <row r="690" spans="15:18" x14ac:dyDescent="0.2">
      <c r="O690" s="103">
        <v>28</v>
      </c>
      <c r="P690" s="102">
        <v>2019</v>
      </c>
      <c r="Q690" s="101">
        <v>57.891662486259342</v>
      </c>
      <c r="R690" s="100">
        <v>10</v>
      </c>
    </row>
    <row r="691" spans="15:18" x14ac:dyDescent="0.2">
      <c r="O691" s="103">
        <v>20</v>
      </c>
      <c r="P691" s="102">
        <v>2019</v>
      </c>
      <c r="Q691" s="101">
        <v>60.943568540164904</v>
      </c>
      <c r="R691" s="100">
        <v>10</v>
      </c>
    </row>
    <row r="692" spans="15:18" x14ac:dyDescent="0.2">
      <c r="O692" s="103">
        <v>20</v>
      </c>
      <c r="P692" s="102">
        <v>2019</v>
      </c>
      <c r="Q692" s="101">
        <v>56.114503785431076</v>
      </c>
      <c r="R692" s="100">
        <v>10</v>
      </c>
    </row>
    <row r="693" spans="15:18" x14ac:dyDescent="0.2">
      <c r="O693" s="103">
        <v>150</v>
      </c>
      <c r="P693" s="102">
        <v>2019</v>
      </c>
      <c r="Q693" s="101">
        <v>83.668904535139291</v>
      </c>
      <c r="R693" s="100">
        <v>10</v>
      </c>
    </row>
    <row r="694" spans="15:18" x14ac:dyDescent="0.2">
      <c r="O694" s="103">
        <v>30</v>
      </c>
      <c r="P694" s="102">
        <v>2019</v>
      </c>
      <c r="Q694" s="101">
        <v>50.117972018583551</v>
      </c>
      <c r="R694" s="100">
        <v>10</v>
      </c>
    </row>
    <row r="695" spans="15:18" x14ac:dyDescent="0.2">
      <c r="O695" s="103">
        <v>7.6</v>
      </c>
      <c r="P695" s="102">
        <v>2019</v>
      </c>
      <c r="Q695" s="101">
        <v>94.018333749204999</v>
      </c>
      <c r="R695" s="100">
        <v>10</v>
      </c>
    </row>
    <row r="696" spans="15:18" x14ac:dyDescent="0.2">
      <c r="O696" s="103">
        <v>150</v>
      </c>
      <c r="P696" s="102">
        <v>2019</v>
      </c>
      <c r="Q696" s="101">
        <v>73.963758234114451</v>
      </c>
      <c r="R696" s="100">
        <v>10</v>
      </c>
    </row>
    <row r="697" spans="15:18" x14ac:dyDescent="0.2">
      <c r="O697" s="103">
        <v>100</v>
      </c>
      <c r="P697" s="102">
        <v>2019</v>
      </c>
      <c r="Q697" s="101">
        <v>40.527325857508529</v>
      </c>
      <c r="R697" s="100">
        <v>10</v>
      </c>
    </row>
    <row r="698" spans="15:18" x14ac:dyDescent="0.2">
      <c r="O698" s="103">
        <v>90</v>
      </c>
      <c r="P698" s="102">
        <v>2019</v>
      </c>
      <c r="Q698" s="101">
        <v>85.139140733294681</v>
      </c>
      <c r="R698" s="100">
        <v>10</v>
      </c>
    </row>
    <row r="699" spans="15:18" x14ac:dyDescent="0.2">
      <c r="O699" s="103">
        <v>111.2</v>
      </c>
      <c r="P699" s="102">
        <v>2019</v>
      </c>
      <c r="Q699" s="101">
        <v>55.466698321704236</v>
      </c>
      <c r="R699" s="100">
        <v>10</v>
      </c>
    </row>
    <row r="700" spans="15:18" x14ac:dyDescent="0.2">
      <c r="O700" s="103">
        <v>100</v>
      </c>
      <c r="P700" s="102">
        <v>2019</v>
      </c>
      <c r="Q700" s="101">
        <v>56.587487158950054</v>
      </c>
      <c r="R700" s="100">
        <v>10</v>
      </c>
    </row>
    <row r="701" spans="15:18" x14ac:dyDescent="0.2">
      <c r="O701" s="103">
        <v>20</v>
      </c>
      <c r="P701" s="102">
        <v>2019</v>
      </c>
      <c r="Q701" s="101">
        <v>50.196407893852765</v>
      </c>
      <c r="R701" s="100">
        <v>10</v>
      </c>
    </row>
    <row r="702" spans="15:18" x14ac:dyDescent="0.2">
      <c r="O702" s="103">
        <v>200</v>
      </c>
      <c r="P702" s="102">
        <v>2019</v>
      </c>
      <c r="Q702" s="101">
        <v>37.53515039659608</v>
      </c>
      <c r="R702" s="100">
        <v>10</v>
      </c>
    </row>
    <row r="703" spans="15:18" x14ac:dyDescent="0.2">
      <c r="O703" s="103">
        <v>39.5</v>
      </c>
      <c r="P703" s="102">
        <v>2019</v>
      </c>
      <c r="Q703" s="101">
        <v>40.672971385254804</v>
      </c>
      <c r="R703" s="100">
        <v>10</v>
      </c>
    </row>
    <row r="704" spans="15:18" x14ac:dyDescent="0.2">
      <c r="O704" s="103">
        <v>8.1</v>
      </c>
      <c r="P704" s="102">
        <v>2019</v>
      </c>
      <c r="Q704" s="101">
        <v>54.683580944916322</v>
      </c>
      <c r="R704" s="100">
        <v>10</v>
      </c>
    </row>
    <row r="705" spans="15:18" x14ac:dyDescent="0.2">
      <c r="O705" s="103">
        <v>26.4</v>
      </c>
      <c r="P705" s="102">
        <v>2019</v>
      </c>
      <c r="Q705" s="101">
        <v>146.95258634067812</v>
      </c>
      <c r="R705" s="100">
        <v>10</v>
      </c>
    </row>
    <row r="706" spans="15:18" x14ac:dyDescent="0.2">
      <c r="O706" s="103">
        <v>35</v>
      </c>
      <c r="P706" s="102">
        <v>2019</v>
      </c>
      <c r="Q706" s="101">
        <v>67.756738562816494</v>
      </c>
      <c r="R706" s="100">
        <v>10</v>
      </c>
    </row>
    <row r="707" spans="15:18" x14ac:dyDescent="0.2">
      <c r="O707" s="103">
        <v>74.5</v>
      </c>
      <c r="P707" s="102">
        <v>2019</v>
      </c>
      <c r="Q707" s="101">
        <v>49.202219885474676</v>
      </c>
      <c r="R707" s="100">
        <v>10</v>
      </c>
    </row>
    <row r="708" spans="15:18" x14ac:dyDescent="0.2">
      <c r="O708" s="103">
        <v>74.5</v>
      </c>
      <c r="P708" s="102">
        <v>2019</v>
      </c>
      <c r="Q708" s="101">
        <v>48.820935846003636</v>
      </c>
      <c r="R708" s="100">
        <v>10</v>
      </c>
    </row>
    <row r="709" spans="15:18" x14ac:dyDescent="0.2">
      <c r="O709" s="103">
        <v>74.5</v>
      </c>
      <c r="P709" s="102">
        <v>2019</v>
      </c>
      <c r="Q709" s="101">
        <v>55.398440443221531</v>
      </c>
      <c r="R709" s="100">
        <v>10</v>
      </c>
    </row>
    <row r="710" spans="15:18" x14ac:dyDescent="0.2">
      <c r="O710" s="103">
        <v>74.5</v>
      </c>
      <c r="P710" s="102">
        <v>2019</v>
      </c>
      <c r="Q710" s="101">
        <v>49.649284869210973</v>
      </c>
      <c r="R710" s="100">
        <v>10</v>
      </c>
    </row>
    <row r="711" spans="15:18" x14ac:dyDescent="0.2">
      <c r="O711" s="103">
        <v>61.1</v>
      </c>
      <c r="P711" s="102">
        <v>2019</v>
      </c>
      <c r="Q711" s="101">
        <v>59.357034385609985</v>
      </c>
      <c r="R711" s="100">
        <v>10</v>
      </c>
    </row>
    <row r="712" spans="15:18" x14ac:dyDescent="0.2">
      <c r="O712" s="103">
        <v>5.0010000000000003</v>
      </c>
      <c r="P712" s="102">
        <v>2019</v>
      </c>
      <c r="Q712" s="101">
        <v>70.018842814649986</v>
      </c>
      <c r="R712" s="100">
        <v>10</v>
      </c>
    </row>
    <row r="713" spans="15:18" x14ac:dyDescent="0.2">
      <c r="O713" s="103">
        <v>49.6</v>
      </c>
      <c r="P713" s="102">
        <v>2019</v>
      </c>
      <c r="Q713" s="101">
        <v>59.351288850926281</v>
      </c>
      <c r="R713" s="100">
        <v>10</v>
      </c>
    </row>
    <row r="714" spans="15:18" x14ac:dyDescent="0.2">
      <c r="O714" s="103">
        <v>45</v>
      </c>
      <c r="P714" s="102">
        <v>2019</v>
      </c>
      <c r="Q714" s="101">
        <v>66.814423373709076</v>
      </c>
      <c r="R714" s="100">
        <v>10</v>
      </c>
    </row>
    <row r="715" spans="15:18" x14ac:dyDescent="0.2">
      <c r="O715" s="103">
        <v>74.5</v>
      </c>
      <c r="P715" s="102">
        <v>2019</v>
      </c>
      <c r="Q715" s="101">
        <v>56.584698218303529</v>
      </c>
      <c r="R715" s="100">
        <v>10</v>
      </c>
    </row>
    <row r="716" spans="15:18" x14ac:dyDescent="0.2">
      <c r="O716" s="103">
        <v>55</v>
      </c>
      <c r="P716" s="102">
        <v>2019</v>
      </c>
      <c r="Q716" s="101">
        <v>61.972323313689806</v>
      </c>
      <c r="R716" s="100">
        <v>10</v>
      </c>
    </row>
    <row r="717" spans="15:18" x14ac:dyDescent="0.2">
      <c r="O717" s="103">
        <v>42</v>
      </c>
      <c r="P717" s="102">
        <v>2019</v>
      </c>
      <c r="Q717" s="101">
        <v>60.076074520245811</v>
      </c>
      <c r="R717" s="100">
        <v>10</v>
      </c>
    </row>
    <row r="718" spans="15:18" x14ac:dyDescent="0.2">
      <c r="O718" s="103">
        <v>74.900000000000006</v>
      </c>
      <c r="P718" s="102">
        <v>2019</v>
      </c>
      <c r="Q718" s="101">
        <v>50.092286747472976</v>
      </c>
      <c r="R718" s="100">
        <v>10</v>
      </c>
    </row>
    <row r="719" spans="15:18" x14ac:dyDescent="0.2">
      <c r="O719" s="103">
        <v>120</v>
      </c>
      <c r="P719" s="102">
        <v>2019</v>
      </c>
      <c r="Q719" s="101">
        <v>44.960172470663885</v>
      </c>
      <c r="R719" s="100">
        <v>10</v>
      </c>
    </row>
    <row r="720" spans="15:18" x14ac:dyDescent="0.2">
      <c r="O720" s="103">
        <v>150</v>
      </c>
      <c r="P720" s="102">
        <v>2019</v>
      </c>
      <c r="Q720" s="101">
        <v>44.510082903951449</v>
      </c>
      <c r="R720" s="100">
        <v>10</v>
      </c>
    </row>
    <row r="721" spans="15:18" x14ac:dyDescent="0.2">
      <c r="O721" s="103">
        <v>102.5</v>
      </c>
      <c r="P721" s="102">
        <v>2019</v>
      </c>
      <c r="Q721" s="101">
        <v>40.189177850501096</v>
      </c>
      <c r="R721" s="100">
        <v>10</v>
      </c>
    </row>
    <row r="722" spans="15:18" x14ac:dyDescent="0.2">
      <c r="O722" s="103">
        <v>40</v>
      </c>
      <c r="P722" s="102">
        <v>2019</v>
      </c>
      <c r="Q722" s="101">
        <v>37.151609521717575</v>
      </c>
      <c r="R722" s="100">
        <v>10</v>
      </c>
    </row>
    <row r="723" spans="15:18" x14ac:dyDescent="0.2">
      <c r="O723" s="103">
        <v>7.9</v>
      </c>
      <c r="P723" s="102">
        <v>2019</v>
      </c>
      <c r="Q723" s="101">
        <v>75.634389350300808</v>
      </c>
      <c r="R723" s="100">
        <v>10</v>
      </c>
    </row>
    <row r="724" spans="15:18" x14ac:dyDescent="0.2">
      <c r="O724" s="103">
        <v>6.7</v>
      </c>
      <c r="P724" s="102">
        <v>2019</v>
      </c>
      <c r="Q724" s="101">
        <v>65.208234825113522</v>
      </c>
      <c r="R724" s="100">
        <v>10</v>
      </c>
    </row>
    <row r="725" spans="15:18" x14ac:dyDescent="0.2">
      <c r="O725" s="103">
        <v>5.3</v>
      </c>
      <c r="P725" s="102">
        <v>2019</v>
      </c>
      <c r="Q725" s="101">
        <v>66.260217745644397</v>
      </c>
      <c r="R725" s="100">
        <v>10</v>
      </c>
    </row>
    <row r="726" spans="15:18" x14ac:dyDescent="0.2">
      <c r="O726" s="103">
        <v>6</v>
      </c>
      <c r="P726" s="102">
        <v>2019</v>
      </c>
      <c r="Q726" s="101">
        <v>55.480548552734433</v>
      </c>
      <c r="R726" s="100">
        <v>10</v>
      </c>
    </row>
    <row r="727" spans="15:18" x14ac:dyDescent="0.2">
      <c r="O727" s="103">
        <v>5.0010000000000003</v>
      </c>
      <c r="P727" s="102">
        <v>2019</v>
      </c>
      <c r="Q727" s="101">
        <v>92.646100639073339</v>
      </c>
      <c r="R727" s="100">
        <v>10</v>
      </c>
    </row>
    <row r="728" spans="15:18" x14ac:dyDescent="0.2">
      <c r="O728" s="103">
        <v>5.0010000000000003</v>
      </c>
      <c r="P728" s="102">
        <v>2019</v>
      </c>
      <c r="Q728" s="101">
        <v>101.29437825771049</v>
      </c>
      <c r="R728" s="100">
        <v>10</v>
      </c>
    </row>
    <row r="729" spans="15:18" x14ac:dyDescent="0.2">
      <c r="O729" s="103">
        <v>7.6</v>
      </c>
      <c r="P729" s="102">
        <v>2019</v>
      </c>
      <c r="Q729" s="101">
        <v>132.55165058867496</v>
      </c>
      <c r="R729" s="100">
        <v>10</v>
      </c>
    </row>
    <row r="730" spans="15:18" x14ac:dyDescent="0.2">
      <c r="O730" s="103">
        <v>52.5</v>
      </c>
      <c r="P730" s="102">
        <v>2019</v>
      </c>
      <c r="Q730" s="101">
        <v>37.562156242140837</v>
      </c>
      <c r="R730" s="100">
        <v>10</v>
      </c>
    </row>
    <row r="731" spans="15:18" x14ac:dyDescent="0.2">
      <c r="O731" s="103">
        <v>70.099999999999994</v>
      </c>
      <c r="P731" s="102">
        <v>2019</v>
      </c>
      <c r="Q731" s="101">
        <v>59.121314963897355</v>
      </c>
      <c r="R731" s="100">
        <v>10</v>
      </c>
    </row>
    <row r="732" spans="15:18" x14ac:dyDescent="0.2">
      <c r="O732" s="103">
        <v>10</v>
      </c>
      <c r="P732" s="102">
        <v>2019</v>
      </c>
      <c r="Q732" s="101">
        <v>59.715118207146652</v>
      </c>
      <c r="R732" s="100">
        <v>10</v>
      </c>
    </row>
    <row r="733" spans="15:18" x14ac:dyDescent="0.2">
      <c r="O733" s="103">
        <v>20</v>
      </c>
      <c r="P733" s="102">
        <v>2019</v>
      </c>
      <c r="Q733" s="101">
        <v>63.779085249518864</v>
      </c>
      <c r="R733" s="100">
        <v>10</v>
      </c>
    </row>
    <row r="734" spans="15:18" x14ac:dyDescent="0.2">
      <c r="O734" s="103">
        <v>79.900000000000006</v>
      </c>
      <c r="P734" s="102">
        <v>2019</v>
      </c>
      <c r="Q734" s="101">
        <v>67.166786663712784</v>
      </c>
      <c r="R734" s="100">
        <v>10</v>
      </c>
    </row>
    <row r="735" spans="15:18" x14ac:dyDescent="0.2">
      <c r="O735" s="103">
        <v>20</v>
      </c>
      <c r="P735" s="102">
        <v>2019</v>
      </c>
      <c r="Q735" s="101">
        <v>59.143659881142973</v>
      </c>
      <c r="R735" s="100">
        <v>10</v>
      </c>
    </row>
    <row r="736" spans="15:18" x14ac:dyDescent="0.2">
      <c r="O736" s="103">
        <v>16.2</v>
      </c>
      <c r="P736" s="102">
        <v>2019</v>
      </c>
      <c r="Q736" s="101">
        <v>69.629659879974312</v>
      </c>
      <c r="R736" s="100">
        <v>10</v>
      </c>
    </row>
    <row r="737" spans="15:18" x14ac:dyDescent="0.2">
      <c r="O737" s="103">
        <v>80.599999999999994</v>
      </c>
      <c r="P737" s="102">
        <v>2019</v>
      </c>
      <c r="Q737" s="101">
        <v>66.811363347377451</v>
      </c>
      <c r="R737" s="100">
        <v>10</v>
      </c>
    </row>
    <row r="738" spans="15:18" x14ac:dyDescent="0.2">
      <c r="O738" s="103">
        <v>5.5</v>
      </c>
      <c r="P738" s="102">
        <v>2019</v>
      </c>
      <c r="Q738" s="101">
        <v>152.29073097483334</v>
      </c>
      <c r="R738" s="100">
        <v>10</v>
      </c>
    </row>
    <row r="739" spans="15:18" x14ac:dyDescent="0.2">
      <c r="O739" s="103">
        <v>7.6</v>
      </c>
      <c r="P739" s="102">
        <v>2019</v>
      </c>
      <c r="Q739" s="101">
        <v>110.47156395347027</v>
      </c>
      <c r="R739" s="100">
        <v>10</v>
      </c>
    </row>
    <row r="740" spans="15:18" x14ac:dyDescent="0.2">
      <c r="O740" s="103">
        <v>7.5</v>
      </c>
      <c r="P740" s="102">
        <v>2019</v>
      </c>
      <c r="Q740" s="101">
        <v>124.77203125294359</v>
      </c>
      <c r="R740" s="100">
        <v>10</v>
      </c>
    </row>
    <row r="741" spans="15:18" x14ac:dyDescent="0.2">
      <c r="O741" s="103">
        <v>50</v>
      </c>
      <c r="P741" s="102">
        <v>2019</v>
      </c>
      <c r="Q741" s="101">
        <v>36.866509642746109</v>
      </c>
      <c r="R741" s="100">
        <v>10</v>
      </c>
    </row>
    <row r="742" spans="15:18" x14ac:dyDescent="0.2">
      <c r="O742" s="103">
        <v>10</v>
      </c>
      <c r="P742" s="102">
        <v>2019</v>
      </c>
      <c r="Q742" s="101">
        <v>37.062525884138147</v>
      </c>
      <c r="R742" s="100">
        <v>10</v>
      </c>
    </row>
    <row r="743" spans="15:18" x14ac:dyDescent="0.2">
      <c r="O743" s="103">
        <v>10</v>
      </c>
      <c r="P743" s="102">
        <v>2019</v>
      </c>
      <c r="Q743" s="101">
        <v>36.786012428049645</v>
      </c>
      <c r="R743" s="100">
        <v>10</v>
      </c>
    </row>
    <row r="744" spans="15:18" x14ac:dyDescent="0.2">
      <c r="O744" s="103">
        <v>10</v>
      </c>
      <c r="P744" s="102">
        <v>2019</v>
      </c>
      <c r="Q744" s="101">
        <v>38.085788511286147</v>
      </c>
      <c r="R744" s="100">
        <v>10</v>
      </c>
    </row>
    <row r="745" spans="15:18" x14ac:dyDescent="0.2">
      <c r="O745" s="103">
        <v>10</v>
      </c>
      <c r="P745" s="102">
        <v>2019</v>
      </c>
      <c r="Q745" s="101">
        <v>37.720075722270408</v>
      </c>
      <c r="R745" s="100">
        <v>10</v>
      </c>
    </row>
    <row r="746" spans="15:18" x14ac:dyDescent="0.2">
      <c r="O746" s="103">
        <v>10</v>
      </c>
      <c r="P746" s="102">
        <v>2019</v>
      </c>
      <c r="Q746" s="101">
        <v>39.827095864437027</v>
      </c>
      <c r="R746" s="100">
        <v>10</v>
      </c>
    </row>
    <row r="747" spans="15:18" x14ac:dyDescent="0.2">
      <c r="O747" s="103">
        <v>100</v>
      </c>
      <c r="P747" s="102">
        <v>2019</v>
      </c>
      <c r="Q747" s="101">
        <v>54.36587287371912</v>
      </c>
      <c r="R747" s="100">
        <v>10</v>
      </c>
    </row>
    <row r="748" spans="15:18" x14ac:dyDescent="0.2">
      <c r="O748" s="103">
        <v>100</v>
      </c>
      <c r="P748" s="102">
        <v>2019</v>
      </c>
      <c r="Q748" s="101">
        <v>54.172946537258866</v>
      </c>
      <c r="R748" s="100">
        <v>10</v>
      </c>
    </row>
    <row r="749" spans="15:18" x14ac:dyDescent="0.2">
      <c r="O749" s="103">
        <v>200</v>
      </c>
      <c r="P749" s="102">
        <v>2019</v>
      </c>
      <c r="Q749" s="101">
        <v>32.771544468143468</v>
      </c>
      <c r="R749" s="100">
        <v>10</v>
      </c>
    </row>
    <row r="750" spans="15:18" x14ac:dyDescent="0.2">
      <c r="O750" s="103">
        <v>7.3</v>
      </c>
      <c r="P750" s="102">
        <v>2019</v>
      </c>
      <c r="Q750" s="101">
        <v>41.139497899266807</v>
      </c>
      <c r="R750" s="100">
        <v>10</v>
      </c>
    </row>
    <row r="751" spans="15:18" x14ac:dyDescent="0.2">
      <c r="O751" s="103">
        <v>10</v>
      </c>
      <c r="P751" s="102">
        <v>2019</v>
      </c>
      <c r="Q751" s="101">
        <v>66.534665852988411</v>
      </c>
      <c r="R751" s="100">
        <v>10</v>
      </c>
    </row>
    <row r="752" spans="15:18" x14ac:dyDescent="0.2">
      <c r="O752" s="103">
        <v>18</v>
      </c>
      <c r="P752" s="102">
        <v>2019</v>
      </c>
      <c r="Q752" s="101">
        <v>81.956340928252359</v>
      </c>
      <c r="R752" s="100">
        <v>10</v>
      </c>
    </row>
    <row r="753" spans="15:18" x14ac:dyDescent="0.2">
      <c r="O753" s="103">
        <v>6</v>
      </c>
      <c r="P753" s="102">
        <v>2019</v>
      </c>
      <c r="Q753" s="101">
        <v>81.838918017075073</v>
      </c>
      <c r="R753" s="100">
        <v>10</v>
      </c>
    </row>
    <row r="754" spans="15:18" x14ac:dyDescent="0.2">
      <c r="O754" s="103">
        <v>16</v>
      </c>
      <c r="P754" s="102">
        <v>2019</v>
      </c>
      <c r="Q754" s="101">
        <v>83.244767656412947</v>
      </c>
      <c r="R754" s="100">
        <v>10</v>
      </c>
    </row>
    <row r="755" spans="15:18" x14ac:dyDescent="0.2">
      <c r="O755" s="103">
        <v>20</v>
      </c>
      <c r="P755" s="102">
        <v>2019</v>
      </c>
      <c r="Q755" s="101">
        <v>110.02684540667217</v>
      </c>
      <c r="R755" s="100">
        <v>10</v>
      </c>
    </row>
    <row r="756" spans="15:18" x14ac:dyDescent="0.2">
      <c r="O756" s="103">
        <v>5.0010000000000003</v>
      </c>
      <c r="P756" s="102">
        <v>2019</v>
      </c>
      <c r="Q756" s="101">
        <v>88.598067389480931</v>
      </c>
      <c r="R756" s="100">
        <v>10</v>
      </c>
    </row>
    <row r="757" spans="15:18" x14ac:dyDescent="0.2">
      <c r="O757" s="103">
        <v>12.625</v>
      </c>
      <c r="P757" s="102">
        <v>2019</v>
      </c>
      <c r="Q757" s="101">
        <v>60.678671723369099</v>
      </c>
      <c r="R757" s="100">
        <v>10</v>
      </c>
    </row>
    <row r="758" spans="15:18" x14ac:dyDescent="0.2">
      <c r="O758" s="103">
        <v>6.3</v>
      </c>
      <c r="P758" s="102">
        <v>2019</v>
      </c>
      <c r="Q758" s="101">
        <v>64.521360141065401</v>
      </c>
      <c r="R758" s="100">
        <v>10</v>
      </c>
    </row>
    <row r="759" spans="15:18" x14ac:dyDescent="0.2">
      <c r="O759" s="103">
        <v>47.3</v>
      </c>
      <c r="P759" s="102">
        <v>2019</v>
      </c>
      <c r="Q759" s="101">
        <v>53.746162322730136</v>
      </c>
      <c r="R759" s="100">
        <v>10</v>
      </c>
    </row>
    <row r="760" spans="15:18" x14ac:dyDescent="0.2">
      <c r="O760" s="103">
        <v>10</v>
      </c>
      <c r="P760" s="102">
        <v>2019</v>
      </c>
      <c r="Q760" s="101">
        <v>73.362761120752239</v>
      </c>
      <c r="R760" s="100">
        <v>10</v>
      </c>
    </row>
    <row r="761" spans="15:18" x14ac:dyDescent="0.2">
      <c r="O761" s="103">
        <v>5.6</v>
      </c>
      <c r="P761" s="102">
        <v>2019</v>
      </c>
      <c r="Q761" s="101">
        <v>74.977667926697308</v>
      </c>
      <c r="R761" s="100">
        <v>10</v>
      </c>
    </row>
    <row r="762" spans="15:18" x14ac:dyDescent="0.2">
      <c r="O762" s="103">
        <v>9.9</v>
      </c>
      <c r="P762" s="102">
        <v>2019</v>
      </c>
      <c r="Q762" s="101">
        <v>66.964411197423175</v>
      </c>
      <c r="R762" s="100">
        <v>10</v>
      </c>
    </row>
    <row r="763" spans="15:18" x14ac:dyDescent="0.2">
      <c r="O763" s="103">
        <v>13.5</v>
      </c>
      <c r="P763" s="102">
        <v>2019</v>
      </c>
      <c r="Q763" s="101">
        <v>60.455387050322756</v>
      </c>
      <c r="R763" s="100">
        <v>10</v>
      </c>
    </row>
    <row r="764" spans="15:18" x14ac:dyDescent="0.2">
      <c r="O764" s="103">
        <v>13.875</v>
      </c>
      <c r="P764" s="102">
        <v>2019</v>
      </c>
      <c r="Q764" s="101">
        <v>72.394845960030651</v>
      </c>
      <c r="R764" s="100">
        <v>10</v>
      </c>
    </row>
    <row r="765" spans="15:18" x14ac:dyDescent="0.2">
      <c r="O765" s="103">
        <v>10</v>
      </c>
      <c r="P765" s="102">
        <v>2019</v>
      </c>
      <c r="Q765" s="101">
        <v>73.364255682646402</v>
      </c>
      <c r="R765" s="100">
        <v>10</v>
      </c>
    </row>
    <row r="766" spans="15:18" x14ac:dyDescent="0.2">
      <c r="O766" s="103">
        <v>24</v>
      </c>
      <c r="P766" s="102">
        <v>2019</v>
      </c>
      <c r="Q766" s="101">
        <v>65.503765888393247</v>
      </c>
      <c r="R766" s="100">
        <v>10</v>
      </c>
    </row>
    <row r="767" spans="15:18" x14ac:dyDescent="0.2">
      <c r="O767" s="103">
        <v>20</v>
      </c>
      <c r="P767" s="102">
        <v>2019</v>
      </c>
      <c r="Q767" s="101">
        <v>71.447891515552385</v>
      </c>
      <c r="R767" s="100">
        <v>10</v>
      </c>
    </row>
    <row r="768" spans="15:18" x14ac:dyDescent="0.2">
      <c r="O768" s="103">
        <v>10</v>
      </c>
      <c r="P768" s="102">
        <v>2019</v>
      </c>
      <c r="Q768" s="101">
        <v>44.443404186989262</v>
      </c>
      <c r="R768" s="100">
        <v>10</v>
      </c>
    </row>
    <row r="769" spans="15:18" x14ac:dyDescent="0.2">
      <c r="O769" s="103">
        <v>8.1999999999999993</v>
      </c>
      <c r="P769" s="102">
        <v>2019</v>
      </c>
      <c r="Q769" s="101">
        <v>89.73231647333084</v>
      </c>
      <c r="R769" s="100">
        <v>10</v>
      </c>
    </row>
    <row r="770" spans="15:18" x14ac:dyDescent="0.2">
      <c r="O770" s="103">
        <v>74.900000000000006</v>
      </c>
      <c r="P770" s="102">
        <v>2019</v>
      </c>
      <c r="Q770" s="101">
        <v>60.145699362053001</v>
      </c>
      <c r="R770" s="100">
        <v>10</v>
      </c>
    </row>
    <row r="771" spans="15:18" x14ac:dyDescent="0.2">
      <c r="O771" s="103">
        <v>10</v>
      </c>
      <c r="P771" s="102">
        <v>2019</v>
      </c>
      <c r="Q771" s="101">
        <v>70.127152983807505</v>
      </c>
      <c r="R771" s="100">
        <v>10</v>
      </c>
    </row>
    <row r="772" spans="15:18" x14ac:dyDescent="0.2">
      <c r="O772" s="103">
        <v>72.5</v>
      </c>
      <c r="P772" s="102">
        <v>2019</v>
      </c>
      <c r="Q772" s="101">
        <v>58.727089195276903</v>
      </c>
      <c r="R772" s="100">
        <v>10</v>
      </c>
    </row>
    <row r="773" spans="15:18" x14ac:dyDescent="0.2">
      <c r="O773" s="103">
        <v>74.900000000000006</v>
      </c>
      <c r="P773" s="102">
        <v>2019</v>
      </c>
      <c r="Q773" s="101">
        <v>50.624278494569275</v>
      </c>
      <c r="R773" s="100">
        <v>10</v>
      </c>
    </row>
    <row r="774" spans="15:18" x14ac:dyDescent="0.2">
      <c r="O774" s="103">
        <v>10</v>
      </c>
      <c r="P774" s="102">
        <v>2019</v>
      </c>
      <c r="Q774" s="101">
        <v>58.765653797588136</v>
      </c>
      <c r="R774" s="100">
        <v>10</v>
      </c>
    </row>
    <row r="775" spans="15:18" x14ac:dyDescent="0.2">
      <c r="O775" s="103">
        <v>5.0010000000000003</v>
      </c>
      <c r="P775" s="102">
        <v>2019</v>
      </c>
      <c r="Q775" s="101">
        <v>56.161283813002129</v>
      </c>
      <c r="R775" s="100">
        <v>10</v>
      </c>
    </row>
    <row r="776" spans="15:18" x14ac:dyDescent="0.2">
      <c r="O776" s="103">
        <v>5.0010000000000003</v>
      </c>
      <c r="P776" s="102">
        <v>2019</v>
      </c>
      <c r="Q776" s="101">
        <v>42.036608890536563</v>
      </c>
      <c r="R776" s="100">
        <v>10</v>
      </c>
    </row>
    <row r="777" spans="15:18" x14ac:dyDescent="0.2">
      <c r="O777" s="103">
        <v>7.5</v>
      </c>
      <c r="P777" s="102">
        <v>2019</v>
      </c>
      <c r="Q777" s="101">
        <v>56.628281428470103</v>
      </c>
      <c r="R777" s="100">
        <v>10</v>
      </c>
    </row>
    <row r="778" spans="15:18" x14ac:dyDescent="0.2">
      <c r="O778" s="103">
        <v>100.7</v>
      </c>
      <c r="P778" s="102">
        <v>2019</v>
      </c>
      <c r="Q778" s="101">
        <v>62.963346450456136</v>
      </c>
      <c r="R778" s="100">
        <v>10</v>
      </c>
    </row>
    <row r="779" spans="15:18" x14ac:dyDescent="0.2">
      <c r="O779" s="103">
        <v>10</v>
      </c>
      <c r="P779" s="102">
        <v>2019</v>
      </c>
      <c r="Q779" s="101">
        <v>58.860919418841704</v>
      </c>
      <c r="R779" s="100">
        <v>10</v>
      </c>
    </row>
    <row r="780" spans="15:18" x14ac:dyDescent="0.2">
      <c r="O780" s="103">
        <v>250</v>
      </c>
      <c r="P780" s="102">
        <v>2019</v>
      </c>
      <c r="Q780" s="101">
        <v>57.881824229802149</v>
      </c>
      <c r="R780" s="100">
        <v>10</v>
      </c>
    </row>
    <row r="781" spans="15:18" x14ac:dyDescent="0.2">
      <c r="O781" s="103">
        <v>100</v>
      </c>
      <c r="P781" s="102">
        <v>2019</v>
      </c>
      <c r="Q781" s="101">
        <v>36.329544807924307</v>
      </c>
      <c r="R781" s="100">
        <v>10</v>
      </c>
    </row>
    <row r="782" spans="15:18" x14ac:dyDescent="0.2">
      <c r="O782" s="103">
        <v>57.6</v>
      </c>
      <c r="P782" s="102">
        <v>2019</v>
      </c>
      <c r="Q782" s="101">
        <v>60.923853895031868</v>
      </c>
      <c r="R782" s="100">
        <v>10</v>
      </c>
    </row>
    <row r="783" spans="15:18" x14ac:dyDescent="0.2">
      <c r="O783" s="103">
        <v>142.4</v>
      </c>
      <c r="P783" s="102">
        <v>2019</v>
      </c>
      <c r="Q783" s="101">
        <v>69.396156428556949</v>
      </c>
      <c r="R783" s="100">
        <v>10</v>
      </c>
    </row>
    <row r="784" spans="15:18" x14ac:dyDescent="0.2">
      <c r="O784" s="103">
        <v>19.899999999999999</v>
      </c>
      <c r="P784" s="102">
        <v>2019</v>
      </c>
      <c r="Q784" s="101">
        <v>67.684593355398292</v>
      </c>
      <c r="R784" s="100">
        <v>10</v>
      </c>
    </row>
    <row r="785" spans="15:18" x14ac:dyDescent="0.2">
      <c r="O785" s="103">
        <v>5.0010000000000003</v>
      </c>
      <c r="P785" s="102">
        <v>2019</v>
      </c>
      <c r="Q785" s="101">
        <v>96.426359358109806</v>
      </c>
      <c r="R785" s="100">
        <v>10</v>
      </c>
    </row>
    <row r="786" spans="15:18" x14ac:dyDescent="0.2">
      <c r="O786" s="103">
        <v>5.0010000000000003</v>
      </c>
      <c r="P786" s="102">
        <v>2019</v>
      </c>
      <c r="Q786" s="101">
        <v>92.330239197813981</v>
      </c>
      <c r="R786" s="100">
        <v>10</v>
      </c>
    </row>
    <row r="787" spans="15:18" x14ac:dyDescent="0.2">
      <c r="O787" s="103">
        <v>100</v>
      </c>
      <c r="P787" s="102">
        <v>2020</v>
      </c>
      <c r="Q787" s="101">
        <v>40.102213112146877</v>
      </c>
      <c r="R787" s="100">
        <v>11</v>
      </c>
    </row>
    <row r="788" spans="15:18" x14ac:dyDescent="0.2">
      <c r="O788" s="103">
        <v>100</v>
      </c>
      <c r="P788" s="102">
        <v>2020</v>
      </c>
      <c r="Q788" s="101">
        <v>38.863919521648342</v>
      </c>
      <c r="R788" s="100">
        <v>11</v>
      </c>
    </row>
    <row r="789" spans="15:18" x14ac:dyDescent="0.2">
      <c r="O789" s="103">
        <v>32.5</v>
      </c>
      <c r="P789" s="102">
        <v>2020</v>
      </c>
      <c r="Q789" s="101">
        <v>40.135969238933029</v>
      </c>
      <c r="R789" s="100">
        <v>11</v>
      </c>
    </row>
    <row r="790" spans="15:18" x14ac:dyDescent="0.2">
      <c r="O790" s="103">
        <v>158</v>
      </c>
      <c r="P790" s="102">
        <v>2020</v>
      </c>
      <c r="Q790" s="101">
        <v>45.352808471340701</v>
      </c>
      <c r="R790" s="100">
        <v>11</v>
      </c>
    </row>
    <row r="791" spans="15:18" x14ac:dyDescent="0.2">
      <c r="O791" s="103">
        <v>128</v>
      </c>
      <c r="P791" s="102">
        <v>2020</v>
      </c>
      <c r="Q791" s="101">
        <v>51.319198034937266</v>
      </c>
      <c r="R791" s="100">
        <v>11</v>
      </c>
    </row>
    <row r="792" spans="15:18" x14ac:dyDescent="0.2">
      <c r="O792" s="103">
        <v>50</v>
      </c>
      <c r="P792" s="102">
        <v>2020</v>
      </c>
      <c r="Q792" s="101">
        <v>73.652173625440355</v>
      </c>
      <c r="R792" s="100">
        <v>11</v>
      </c>
    </row>
    <row r="793" spans="15:18" x14ac:dyDescent="0.2">
      <c r="O793" s="103">
        <v>30</v>
      </c>
      <c r="P793" s="102">
        <v>2020</v>
      </c>
      <c r="Q793" s="101">
        <v>48.932245813529221</v>
      </c>
      <c r="R793" s="100">
        <v>11</v>
      </c>
    </row>
    <row r="794" spans="15:18" x14ac:dyDescent="0.2">
      <c r="O794" s="103">
        <v>70</v>
      </c>
      <c r="P794" s="102">
        <v>2020</v>
      </c>
      <c r="Q794" s="101">
        <v>61.201463397073098</v>
      </c>
      <c r="R794" s="100">
        <v>11</v>
      </c>
    </row>
    <row r="795" spans="15:18" x14ac:dyDescent="0.2">
      <c r="O795" s="103">
        <v>80</v>
      </c>
      <c r="P795" s="102">
        <v>2020</v>
      </c>
      <c r="Q795" s="101">
        <v>47.156034885102407</v>
      </c>
      <c r="R795" s="100">
        <v>11</v>
      </c>
    </row>
    <row r="796" spans="15:18" x14ac:dyDescent="0.2">
      <c r="O796" s="103">
        <v>192</v>
      </c>
      <c r="P796" s="102">
        <v>2020</v>
      </c>
      <c r="Q796" s="101">
        <v>32.445137530967266</v>
      </c>
      <c r="R796" s="100">
        <v>11</v>
      </c>
    </row>
    <row r="797" spans="15:18" x14ac:dyDescent="0.2">
      <c r="O797" s="103">
        <v>40</v>
      </c>
      <c r="P797" s="102">
        <v>2020</v>
      </c>
      <c r="Q797" s="101">
        <v>61.422311463604522</v>
      </c>
      <c r="R797" s="100">
        <v>11</v>
      </c>
    </row>
    <row r="798" spans="15:18" x14ac:dyDescent="0.2">
      <c r="O798" s="103">
        <v>20</v>
      </c>
      <c r="P798" s="102">
        <v>2020</v>
      </c>
      <c r="Q798" s="101">
        <v>63.205195069109557</v>
      </c>
      <c r="R798" s="100">
        <v>11</v>
      </c>
    </row>
    <row r="799" spans="15:18" x14ac:dyDescent="0.2">
      <c r="O799" s="103">
        <v>50</v>
      </c>
      <c r="P799" s="102">
        <v>2020</v>
      </c>
      <c r="Q799" s="101">
        <v>62.219506442834358</v>
      </c>
      <c r="R799" s="100">
        <v>11</v>
      </c>
    </row>
    <row r="800" spans="15:18" x14ac:dyDescent="0.2">
      <c r="O800" s="103">
        <v>50</v>
      </c>
      <c r="P800" s="102">
        <v>2020</v>
      </c>
      <c r="Q800" s="101">
        <v>71.176222856971805</v>
      </c>
      <c r="R800" s="100">
        <v>11</v>
      </c>
    </row>
    <row r="801" spans="15:18" x14ac:dyDescent="0.2">
      <c r="O801" s="103">
        <v>125</v>
      </c>
      <c r="P801" s="102">
        <v>2020</v>
      </c>
      <c r="Q801" s="101">
        <v>47.283000261609736</v>
      </c>
      <c r="R801" s="100">
        <v>11</v>
      </c>
    </row>
    <row r="802" spans="15:18" x14ac:dyDescent="0.2">
      <c r="O802" s="103">
        <v>100</v>
      </c>
      <c r="P802" s="102">
        <v>2020</v>
      </c>
      <c r="Q802" s="101">
        <v>33.454469655194615</v>
      </c>
      <c r="R802" s="100">
        <v>11</v>
      </c>
    </row>
    <row r="803" spans="15:18" x14ac:dyDescent="0.2">
      <c r="O803" s="103">
        <v>153.5</v>
      </c>
      <c r="P803" s="102">
        <v>2020</v>
      </c>
      <c r="Q803" s="101">
        <v>47.408167735158408</v>
      </c>
      <c r="R803" s="100">
        <v>11</v>
      </c>
    </row>
    <row r="804" spans="15:18" x14ac:dyDescent="0.2">
      <c r="O804" s="103">
        <v>150</v>
      </c>
      <c r="P804" s="102">
        <v>2020</v>
      </c>
      <c r="Q804" s="101">
        <v>48.616388915738149</v>
      </c>
      <c r="R804" s="100">
        <v>11</v>
      </c>
    </row>
    <row r="805" spans="15:18" x14ac:dyDescent="0.2">
      <c r="O805" s="103">
        <v>137.4</v>
      </c>
      <c r="P805" s="102">
        <v>2020</v>
      </c>
      <c r="Q805" s="101">
        <v>39.503961415742609</v>
      </c>
      <c r="R805" s="100">
        <v>11</v>
      </c>
    </row>
    <row r="806" spans="15:18" x14ac:dyDescent="0.2">
      <c r="O806" s="103">
        <v>137.4</v>
      </c>
      <c r="P806" s="102">
        <v>2020</v>
      </c>
      <c r="Q806" s="101">
        <v>31.72785607500947</v>
      </c>
      <c r="R806" s="100">
        <v>11</v>
      </c>
    </row>
    <row r="807" spans="15:18" x14ac:dyDescent="0.2">
      <c r="O807" s="103">
        <v>8.4</v>
      </c>
      <c r="P807" s="102">
        <v>2020</v>
      </c>
      <c r="Q807" s="101">
        <v>50.029737223665542</v>
      </c>
      <c r="R807" s="100">
        <v>11</v>
      </c>
    </row>
    <row r="808" spans="15:18" x14ac:dyDescent="0.2">
      <c r="O808" s="103">
        <v>75</v>
      </c>
      <c r="P808" s="102">
        <v>2020</v>
      </c>
      <c r="Q808" s="101">
        <v>38.579687229184579</v>
      </c>
      <c r="R808" s="100">
        <v>11</v>
      </c>
    </row>
    <row r="809" spans="15:18" x14ac:dyDescent="0.2">
      <c r="O809" s="103">
        <v>13.695</v>
      </c>
      <c r="P809" s="102">
        <v>2020</v>
      </c>
      <c r="Q809" s="101">
        <v>53.165296653362468</v>
      </c>
      <c r="R809" s="100">
        <v>11</v>
      </c>
    </row>
    <row r="810" spans="15:18" x14ac:dyDescent="0.2">
      <c r="O810" s="103">
        <v>60</v>
      </c>
      <c r="P810" s="102">
        <v>2020</v>
      </c>
      <c r="Q810" s="101">
        <v>47.746584188341522</v>
      </c>
      <c r="R810" s="100">
        <v>11</v>
      </c>
    </row>
    <row r="811" spans="15:18" x14ac:dyDescent="0.2">
      <c r="O811" s="103">
        <v>6</v>
      </c>
      <c r="P811" s="102">
        <v>2020</v>
      </c>
      <c r="Q811" s="101">
        <v>47.1029750320915</v>
      </c>
      <c r="R811" s="100">
        <v>11</v>
      </c>
    </row>
    <row r="812" spans="15:18" x14ac:dyDescent="0.2">
      <c r="O812" s="103">
        <v>19.600000000000001</v>
      </c>
      <c r="P812" s="102">
        <v>2020</v>
      </c>
      <c r="Q812" s="101">
        <v>81.273059425410736</v>
      </c>
      <c r="R812" s="100">
        <v>11</v>
      </c>
    </row>
    <row r="813" spans="15:18" x14ac:dyDescent="0.2">
      <c r="O813" s="103">
        <v>74.900000000000006</v>
      </c>
      <c r="P813" s="102">
        <v>2020</v>
      </c>
      <c r="Q813" s="101">
        <v>48.120168343852043</v>
      </c>
      <c r="R813" s="100">
        <v>11</v>
      </c>
    </row>
    <row r="814" spans="15:18" x14ac:dyDescent="0.2">
      <c r="O814" s="103">
        <v>74.5</v>
      </c>
      <c r="P814" s="102">
        <v>2020</v>
      </c>
      <c r="Q814" s="101">
        <v>52.147492763049215</v>
      </c>
      <c r="R814" s="100">
        <v>11</v>
      </c>
    </row>
    <row r="815" spans="15:18" x14ac:dyDescent="0.2">
      <c r="O815" s="103">
        <v>74.5</v>
      </c>
      <c r="P815" s="102">
        <v>2020</v>
      </c>
      <c r="Q815" s="101">
        <v>41.060904967127072</v>
      </c>
      <c r="R815" s="100">
        <v>11</v>
      </c>
    </row>
    <row r="816" spans="15:18" x14ac:dyDescent="0.2">
      <c r="O816" s="103">
        <v>74.5</v>
      </c>
      <c r="P816" s="102">
        <v>2020</v>
      </c>
      <c r="Q816" s="101">
        <v>42.129815160703231</v>
      </c>
      <c r="R816" s="100">
        <v>11</v>
      </c>
    </row>
    <row r="817" spans="15:18" x14ac:dyDescent="0.2">
      <c r="O817" s="103">
        <v>74.5</v>
      </c>
      <c r="P817" s="102">
        <v>2020</v>
      </c>
      <c r="Q817" s="101">
        <v>42.434778955129609</v>
      </c>
      <c r="R817" s="100">
        <v>11</v>
      </c>
    </row>
    <row r="818" spans="15:18" x14ac:dyDescent="0.2">
      <c r="O818" s="103">
        <v>74.5</v>
      </c>
      <c r="P818" s="102">
        <v>2020</v>
      </c>
      <c r="Q818" s="101">
        <v>43.33674522010066</v>
      </c>
      <c r="R818" s="100">
        <v>11</v>
      </c>
    </row>
    <row r="819" spans="15:18" x14ac:dyDescent="0.2">
      <c r="O819" s="103">
        <v>74.5</v>
      </c>
      <c r="P819" s="102">
        <v>2020</v>
      </c>
      <c r="Q819" s="101">
        <v>40.584350705083168</v>
      </c>
      <c r="R819" s="100">
        <v>11</v>
      </c>
    </row>
    <row r="820" spans="15:18" x14ac:dyDescent="0.2">
      <c r="O820" s="103">
        <v>74.5</v>
      </c>
      <c r="P820" s="102">
        <v>2020</v>
      </c>
      <c r="Q820" s="101">
        <v>56.514238647076965</v>
      </c>
      <c r="R820" s="100">
        <v>11</v>
      </c>
    </row>
    <row r="821" spans="15:18" x14ac:dyDescent="0.2">
      <c r="O821" s="103">
        <v>74.5</v>
      </c>
      <c r="P821" s="102">
        <v>2020</v>
      </c>
      <c r="Q821" s="101">
        <v>41.181047219102076</v>
      </c>
      <c r="R821" s="100">
        <v>11</v>
      </c>
    </row>
    <row r="822" spans="15:18" x14ac:dyDescent="0.2">
      <c r="O822" s="103">
        <v>74.5</v>
      </c>
      <c r="P822" s="102">
        <v>2020</v>
      </c>
      <c r="Q822" s="101">
        <v>48.980692516682417</v>
      </c>
      <c r="R822" s="100">
        <v>11</v>
      </c>
    </row>
    <row r="823" spans="15:18" x14ac:dyDescent="0.2">
      <c r="O823" s="103">
        <v>74.5</v>
      </c>
      <c r="P823" s="102">
        <v>2020</v>
      </c>
      <c r="Q823" s="101">
        <v>45.265732741263392</v>
      </c>
      <c r="R823" s="100">
        <v>11</v>
      </c>
    </row>
    <row r="824" spans="15:18" x14ac:dyDescent="0.2">
      <c r="O824" s="103">
        <v>74.5</v>
      </c>
      <c r="P824" s="102">
        <v>2020</v>
      </c>
      <c r="Q824" s="101">
        <v>46.642548098561406</v>
      </c>
      <c r="R824" s="100">
        <v>11</v>
      </c>
    </row>
    <row r="825" spans="15:18" x14ac:dyDescent="0.2">
      <c r="O825" s="103">
        <v>74.5</v>
      </c>
      <c r="P825" s="102">
        <v>2020</v>
      </c>
      <c r="Q825" s="101">
        <v>42.294436601267492</v>
      </c>
      <c r="R825" s="100">
        <v>11</v>
      </c>
    </row>
    <row r="826" spans="15:18" x14ac:dyDescent="0.2">
      <c r="O826" s="103">
        <v>74.5</v>
      </c>
      <c r="P826" s="102">
        <v>2020</v>
      </c>
      <c r="Q826" s="101">
        <v>44.607886563562531</v>
      </c>
      <c r="R826" s="100">
        <v>11</v>
      </c>
    </row>
    <row r="827" spans="15:18" x14ac:dyDescent="0.2">
      <c r="O827" s="103">
        <v>74.5</v>
      </c>
      <c r="P827" s="102">
        <v>2020</v>
      </c>
      <c r="Q827" s="101">
        <v>40.379059290621299</v>
      </c>
      <c r="R827" s="100">
        <v>11</v>
      </c>
    </row>
    <row r="828" spans="15:18" x14ac:dyDescent="0.2">
      <c r="O828" s="103">
        <v>74.5</v>
      </c>
      <c r="P828" s="102">
        <v>2020</v>
      </c>
      <c r="Q828" s="101">
        <v>45.066822481019003</v>
      </c>
      <c r="R828" s="100">
        <v>11</v>
      </c>
    </row>
    <row r="829" spans="15:18" x14ac:dyDescent="0.2">
      <c r="O829" s="103">
        <v>74.5</v>
      </c>
      <c r="P829" s="102">
        <v>2020</v>
      </c>
      <c r="Q829" s="101">
        <v>38.639738137288894</v>
      </c>
      <c r="R829" s="100">
        <v>11</v>
      </c>
    </row>
    <row r="830" spans="15:18" x14ac:dyDescent="0.2">
      <c r="O830" s="103">
        <v>74.5</v>
      </c>
      <c r="P830" s="102">
        <v>2020</v>
      </c>
      <c r="Q830" s="101">
        <v>47.387739863945662</v>
      </c>
      <c r="R830" s="100">
        <v>11</v>
      </c>
    </row>
    <row r="831" spans="15:18" x14ac:dyDescent="0.2">
      <c r="O831" s="103">
        <v>74.5</v>
      </c>
      <c r="P831" s="102">
        <v>2020</v>
      </c>
      <c r="Q831" s="101">
        <v>38.421505490304924</v>
      </c>
      <c r="R831" s="100">
        <v>11</v>
      </c>
    </row>
    <row r="832" spans="15:18" x14ac:dyDescent="0.2">
      <c r="O832" s="103">
        <v>74.5</v>
      </c>
      <c r="P832" s="102">
        <v>2020</v>
      </c>
      <c r="Q832" s="101">
        <v>70.236822274177896</v>
      </c>
      <c r="R832" s="100">
        <v>11</v>
      </c>
    </row>
    <row r="833" spans="15:18" x14ac:dyDescent="0.2">
      <c r="O833" s="103">
        <v>74.5</v>
      </c>
      <c r="P833" s="102">
        <v>2020</v>
      </c>
      <c r="Q833" s="101">
        <v>39.513252528872414</v>
      </c>
      <c r="R833" s="100">
        <v>11</v>
      </c>
    </row>
    <row r="834" spans="15:18" x14ac:dyDescent="0.2">
      <c r="O834" s="103">
        <v>74.5</v>
      </c>
      <c r="P834" s="102">
        <v>2020</v>
      </c>
      <c r="Q834" s="101">
        <v>65.457965179493712</v>
      </c>
      <c r="R834" s="100">
        <v>11</v>
      </c>
    </row>
    <row r="835" spans="15:18" x14ac:dyDescent="0.2">
      <c r="O835" s="103">
        <v>171.4</v>
      </c>
      <c r="P835" s="102">
        <v>2020</v>
      </c>
      <c r="Q835" s="101">
        <v>43.563691588392892</v>
      </c>
      <c r="R835" s="100">
        <v>11</v>
      </c>
    </row>
    <row r="836" spans="15:18" x14ac:dyDescent="0.2">
      <c r="O836" s="103">
        <v>49.5</v>
      </c>
      <c r="P836" s="102">
        <v>2020</v>
      </c>
      <c r="Q836" s="101">
        <v>56.347986444517595</v>
      </c>
      <c r="R836" s="100">
        <v>11</v>
      </c>
    </row>
    <row r="837" spans="15:18" x14ac:dyDescent="0.2">
      <c r="O837" s="103">
        <v>25</v>
      </c>
      <c r="P837" s="102">
        <v>2020</v>
      </c>
      <c r="Q837" s="101">
        <v>50.987408247118601</v>
      </c>
      <c r="R837" s="100">
        <v>11</v>
      </c>
    </row>
    <row r="838" spans="15:18" x14ac:dyDescent="0.2">
      <c r="O838" s="103">
        <v>86</v>
      </c>
      <c r="P838" s="102">
        <v>2020</v>
      </c>
      <c r="Q838" s="101">
        <v>44.524776136215884</v>
      </c>
      <c r="R838" s="100">
        <v>11</v>
      </c>
    </row>
    <row r="839" spans="15:18" x14ac:dyDescent="0.2">
      <c r="O839" s="103">
        <v>74</v>
      </c>
      <c r="P839" s="102">
        <v>2020</v>
      </c>
      <c r="Q839" s="101">
        <v>46.959740775658965</v>
      </c>
      <c r="R839" s="100">
        <v>11</v>
      </c>
    </row>
    <row r="840" spans="15:18" x14ac:dyDescent="0.2">
      <c r="O840" s="103">
        <v>57.5</v>
      </c>
      <c r="P840" s="102">
        <v>2020</v>
      </c>
      <c r="Q840" s="101">
        <v>42.658284829345085</v>
      </c>
      <c r="R840" s="100">
        <v>11</v>
      </c>
    </row>
    <row r="841" spans="15:18" x14ac:dyDescent="0.2">
      <c r="O841" s="103">
        <v>204</v>
      </c>
      <c r="P841" s="102">
        <v>2020</v>
      </c>
      <c r="Q841" s="101">
        <v>46.001690836425851</v>
      </c>
      <c r="R841" s="100">
        <v>11</v>
      </c>
    </row>
    <row r="842" spans="15:18" x14ac:dyDescent="0.2">
      <c r="O842" s="103">
        <v>9.8000000000000007</v>
      </c>
      <c r="P842" s="102">
        <v>2020</v>
      </c>
      <c r="Q842" s="101">
        <v>55.445515179400047</v>
      </c>
      <c r="R842" s="100">
        <v>11</v>
      </c>
    </row>
    <row r="843" spans="15:18" x14ac:dyDescent="0.2">
      <c r="O843" s="103">
        <v>7.05</v>
      </c>
      <c r="P843" s="102">
        <v>2020</v>
      </c>
      <c r="Q843" s="101">
        <v>52.329014110498328</v>
      </c>
      <c r="R843" s="100">
        <v>11</v>
      </c>
    </row>
    <row r="844" spans="15:18" x14ac:dyDescent="0.2">
      <c r="O844" s="103">
        <v>7.1</v>
      </c>
      <c r="P844" s="102">
        <v>2020</v>
      </c>
      <c r="Q844" s="101">
        <v>56.241794706823349</v>
      </c>
      <c r="R844" s="100">
        <v>11</v>
      </c>
    </row>
    <row r="845" spans="15:18" x14ac:dyDescent="0.2">
      <c r="O845" s="103">
        <v>20</v>
      </c>
      <c r="P845" s="102">
        <v>2020</v>
      </c>
      <c r="Q845" s="101">
        <v>49.308513607009111</v>
      </c>
      <c r="R845" s="100">
        <v>11</v>
      </c>
    </row>
    <row r="846" spans="15:18" x14ac:dyDescent="0.2">
      <c r="O846" s="103">
        <v>50</v>
      </c>
      <c r="P846" s="102">
        <v>2020</v>
      </c>
      <c r="Q846" s="101">
        <v>54.683320110573163</v>
      </c>
      <c r="R846" s="100">
        <v>11</v>
      </c>
    </row>
    <row r="847" spans="15:18" x14ac:dyDescent="0.2">
      <c r="O847" s="103">
        <v>20</v>
      </c>
      <c r="P847" s="102">
        <v>2020</v>
      </c>
      <c r="Q847" s="101">
        <v>68.782574604372613</v>
      </c>
      <c r="R847" s="100">
        <v>11</v>
      </c>
    </row>
    <row r="848" spans="15:18" x14ac:dyDescent="0.2">
      <c r="O848" s="103">
        <v>5.0010000000000003</v>
      </c>
      <c r="P848" s="102">
        <v>2020</v>
      </c>
      <c r="Q848" s="101">
        <v>89.177481669048547</v>
      </c>
      <c r="R848" s="100">
        <v>11</v>
      </c>
    </row>
    <row r="849" spans="15:18" x14ac:dyDescent="0.2">
      <c r="O849" s="103">
        <v>5.0010000000000003</v>
      </c>
      <c r="P849" s="102">
        <v>2020</v>
      </c>
      <c r="Q849" s="101">
        <v>111.11950263578019</v>
      </c>
      <c r="R849" s="100">
        <v>11</v>
      </c>
    </row>
    <row r="850" spans="15:18" x14ac:dyDescent="0.2">
      <c r="O850" s="103">
        <v>6</v>
      </c>
      <c r="P850" s="102">
        <v>2020</v>
      </c>
      <c r="Q850" s="101">
        <v>70.582373709532717</v>
      </c>
      <c r="R850" s="100">
        <v>11</v>
      </c>
    </row>
    <row r="851" spans="15:18" x14ac:dyDescent="0.2">
      <c r="O851" s="103">
        <v>10</v>
      </c>
      <c r="P851" s="102">
        <v>2020</v>
      </c>
      <c r="Q851" s="101">
        <v>80.298625153557481</v>
      </c>
      <c r="R851" s="100">
        <v>11</v>
      </c>
    </row>
    <row r="852" spans="15:18" x14ac:dyDescent="0.2">
      <c r="O852" s="103">
        <v>49.4</v>
      </c>
      <c r="P852" s="102">
        <v>2020</v>
      </c>
      <c r="Q852" s="101">
        <v>76.670613544315728</v>
      </c>
      <c r="R852" s="100">
        <v>11</v>
      </c>
    </row>
    <row r="853" spans="15:18" x14ac:dyDescent="0.2">
      <c r="O853" s="103">
        <v>50</v>
      </c>
      <c r="P853" s="102">
        <v>2020</v>
      </c>
      <c r="Q853" s="101">
        <v>53.402677918182782</v>
      </c>
      <c r="R853" s="100">
        <v>11</v>
      </c>
    </row>
    <row r="854" spans="15:18" x14ac:dyDescent="0.2">
      <c r="O854" s="103">
        <v>20</v>
      </c>
      <c r="P854" s="102">
        <v>2020</v>
      </c>
      <c r="Q854" s="101">
        <v>79.607682291841869</v>
      </c>
      <c r="R854" s="100">
        <v>11</v>
      </c>
    </row>
    <row r="855" spans="15:18" x14ac:dyDescent="0.2">
      <c r="O855" s="103">
        <v>15</v>
      </c>
      <c r="P855" s="102">
        <v>2020</v>
      </c>
      <c r="Q855" s="101">
        <v>71.197249217667277</v>
      </c>
      <c r="R855" s="100">
        <v>11</v>
      </c>
    </row>
    <row r="856" spans="15:18" x14ac:dyDescent="0.2">
      <c r="O856" s="103">
        <v>20</v>
      </c>
      <c r="P856" s="102">
        <v>2020</v>
      </c>
      <c r="Q856" s="101">
        <v>74.453158127495129</v>
      </c>
      <c r="R856" s="100">
        <v>11</v>
      </c>
    </row>
    <row r="857" spans="15:18" x14ac:dyDescent="0.2">
      <c r="O857" s="103">
        <v>16</v>
      </c>
      <c r="P857" s="102">
        <v>2020</v>
      </c>
      <c r="Q857" s="101">
        <v>54.436310900878553</v>
      </c>
      <c r="R857" s="100">
        <v>11</v>
      </c>
    </row>
    <row r="858" spans="15:18" x14ac:dyDescent="0.2">
      <c r="O858" s="103">
        <v>74.900000000000006</v>
      </c>
      <c r="P858" s="102">
        <v>2020</v>
      </c>
      <c r="Q858" s="101">
        <v>65.05253467563945</v>
      </c>
      <c r="R858" s="100">
        <v>11</v>
      </c>
    </row>
    <row r="859" spans="15:18" x14ac:dyDescent="0.2">
      <c r="O859" s="103">
        <v>100</v>
      </c>
      <c r="P859" s="102">
        <v>2020</v>
      </c>
      <c r="Q859" s="101">
        <v>57.800833962568099</v>
      </c>
      <c r="R859" s="100">
        <v>11</v>
      </c>
    </row>
    <row r="860" spans="15:18" x14ac:dyDescent="0.2">
      <c r="O860" s="103">
        <v>25</v>
      </c>
      <c r="P860" s="102">
        <v>2020</v>
      </c>
      <c r="Q860" s="101">
        <v>58.033190277710808</v>
      </c>
      <c r="R860" s="100">
        <v>11</v>
      </c>
    </row>
    <row r="861" spans="15:18" x14ac:dyDescent="0.2">
      <c r="O861" s="103">
        <v>18</v>
      </c>
      <c r="P861" s="102">
        <v>2020</v>
      </c>
      <c r="Q861" s="101">
        <v>138.49219343883007</v>
      </c>
      <c r="R861" s="100">
        <v>11</v>
      </c>
    </row>
    <row r="862" spans="15:18" x14ac:dyDescent="0.2">
      <c r="O862" s="103">
        <v>9</v>
      </c>
      <c r="P862" s="102">
        <v>2020</v>
      </c>
      <c r="Q862" s="101">
        <v>89.487940507062902</v>
      </c>
      <c r="R862" s="100">
        <v>11</v>
      </c>
    </row>
    <row r="863" spans="15:18" x14ac:dyDescent="0.2">
      <c r="O863" s="103">
        <v>22</v>
      </c>
      <c r="P863" s="102">
        <v>2020</v>
      </c>
      <c r="Q863" s="101">
        <v>60.276041302682721</v>
      </c>
      <c r="R863" s="100">
        <v>11</v>
      </c>
    </row>
    <row r="864" spans="15:18" x14ac:dyDescent="0.2">
      <c r="O864" s="103">
        <v>16</v>
      </c>
      <c r="P864" s="102">
        <v>2020</v>
      </c>
      <c r="Q864" s="101">
        <v>97.15772467770941</v>
      </c>
      <c r="R864" s="100">
        <v>11</v>
      </c>
    </row>
    <row r="865" spans="15:18" x14ac:dyDescent="0.2">
      <c r="O865" s="103">
        <v>20</v>
      </c>
      <c r="P865" s="102">
        <v>2020</v>
      </c>
      <c r="Q865" s="101">
        <v>76.86621624706207</v>
      </c>
      <c r="R865" s="100">
        <v>11</v>
      </c>
    </row>
    <row r="866" spans="15:18" x14ac:dyDescent="0.2">
      <c r="O866" s="103">
        <v>8.8000000000000007</v>
      </c>
      <c r="P866" s="102">
        <v>2020</v>
      </c>
      <c r="Q866" s="101">
        <v>94.441947128963875</v>
      </c>
      <c r="R866" s="100">
        <v>11</v>
      </c>
    </row>
    <row r="867" spans="15:18" x14ac:dyDescent="0.2">
      <c r="O867" s="103">
        <v>9.6</v>
      </c>
      <c r="P867" s="102">
        <v>2020</v>
      </c>
      <c r="Q867" s="101">
        <v>130.23811783021404</v>
      </c>
      <c r="R867" s="100">
        <v>11</v>
      </c>
    </row>
    <row r="868" spans="15:18" x14ac:dyDescent="0.2">
      <c r="O868" s="103">
        <v>13</v>
      </c>
      <c r="P868" s="102">
        <v>2020</v>
      </c>
      <c r="Q868" s="101">
        <v>100.10288856177682</v>
      </c>
      <c r="R868" s="100">
        <v>11</v>
      </c>
    </row>
    <row r="869" spans="15:18" x14ac:dyDescent="0.2">
      <c r="O869" s="103">
        <v>8</v>
      </c>
      <c r="P869" s="102">
        <v>2020</v>
      </c>
      <c r="Q869" s="101">
        <v>103.42978153962773</v>
      </c>
      <c r="R869" s="100">
        <v>11</v>
      </c>
    </row>
    <row r="870" spans="15:18" x14ac:dyDescent="0.2">
      <c r="O870" s="103">
        <v>6.5</v>
      </c>
      <c r="P870" s="102">
        <v>2020</v>
      </c>
      <c r="Q870" s="101">
        <v>93.517362125047029</v>
      </c>
      <c r="R870" s="100">
        <v>11</v>
      </c>
    </row>
    <row r="871" spans="15:18" x14ac:dyDescent="0.2">
      <c r="O871" s="103">
        <v>55</v>
      </c>
      <c r="P871" s="102">
        <v>2020</v>
      </c>
      <c r="Q871" s="101">
        <v>33.220605279576787</v>
      </c>
      <c r="R871" s="100">
        <v>11</v>
      </c>
    </row>
    <row r="872" spans="15:18" x14ac:dyDescent="0.2">
      <c r="O872" s="103">
        <v>25</v>
      </c>
      <c r="P872" s="102">
        <v>2020</v>
      </c>
      <c r="Q872" s="101">
        <v>42.870336728814145</v>
      </c>
      <c r="R872" s="100">
        <v>11</v>
      </c>
    </row>
    <row r="873" spans="15:18" x14ac:dyDescent="0.2">
      <c r="O873" s="103">
        <v>25</v>
      </c>
      <c r="P873" s="102">
        <v>2020</v>
      </c>
      <c r="Q873" s="101">
        <v>43.678015032992775</v>
      </c>
      <c r="R873" s="100">
        <v>11</v>
      </c>
    </row>
    <row r="874" spans="15:18" x14ac:dyDescent="0.2">
      <c r="O874" s="103">
        <v>50</v>
      </c>
      <c r="P874" s="102">
        <v>2020</v>
      </c>
      <c r="Q874" s="101">
        <v>34.829906030903111</v>
      </c>
      <c r="R874" s="100">
        <v>11</v>
      </c>
    </row>
    <row r="875" spans="15:18" x14ac:dyDescent="0.2">
      <c r="O875" s="103">
        <v>54.6</v>
      </c>
      <c r="P875" s="102">
        <v>2020</v>
      </c>
      <c r="Q875" s="101">
        <v>68.547824117144486</v>
      </c>
      <c r="R875" s="100">
        <v>11</v>
      </c>
    </row>
    <row r="876" spans="15:18" x14ac:dyDescent="0.2">
      <c r="O876" s="103">
        <v>5.0010000000000003</v>
      </c>
      <c r="P876" s="102">
        <v>2020</v>
      </c>
      <c r="Q876" s="101">
        <v>73.831704213955348</v>
      </c>
      <c r="R876" s="100">
        <v>11</v>
      </c>
    </row>
    <row r="877" spans="15:18" x14ac:dyDescent="0.2">
      <c r="O877" s="103">
        <v>5.0010000000000003</v>
      </c>
      <c r="P877" s="102">
        <v>2020</v>
      </c>
      <c r="Q877" s="101">
        <v>103.68096572257129</v>
      </c>
      <c r="R877" s="100">
        <v>11</v>
      </c>
    </row>
    <row r="878" spans="15:18" x14ac:dyDescent="0.2">
      <c r="O878" s="103">
        <v>5.0010000000000003</v>
      </c>
      <c r="P878" s="102">
        <v>2020</v>
      </c>
      <c r="Q878" s="101">
        <v>101.95084364804082</v>
      </c>
      <c r="R878" s="100">
        <v>11</v>
      </c>
    </row>
    <row r="879" spans="15:18" x14ac:dyDescent="0.2">
      <c r="O879" s="103">
        <v>7</v>
      </c>
      <c r="P879" s="102">
        <v>2020</v>
      </c>
      <c r="Q879" s="101">
        <v>88.984871495477833</v>
      </c>
      <c r="R879" s="100">
        <v>11</v>
      </c>
    </row>
    <row r="880" spans="15:18" x14ac:dyDescent="0.2">
      <c r="O880" s="103">
        <v>5.0010000000000003</v>
      </c>
      <c r="P880" s="102">
        <v>2020</v>
      </c>
      <c r="Q880" s="101">
        <v>46.234323655623456</v>
      </c>
      <c r="R880" s="100">
        <v>11</v>
      </c>
    </row>
    <row r="881" spans="15:18" x14ac:dyDescent="0.2">
      <c r="O881" s="103">
        <v>5.0010000000000003</v>
      </c>
      <c r="P881" s="102">
        <v>2020</v>
      </c>
      <c r="Q881" s="101">
        <v>49.245947493150894</v>
      </c>
      <c r="R881" s="100">
        <v>11</v>
      </c>
    </row>
    <row r="882" spans="15:18" x14ac:dyDescent="0.2">
      <c r="O882" s="103">
        <v>10</v>
      </c>
      <c r="P882" s="102">
        <v>2020</v>
      </c>
      <c r="Q882" s="101">
        <v>72.076528352935952</v>
      </c>
      <c r="R882" s="100">
        <v>11</v>
      </c>
    </row>
    <row r="883" spans="15:18" x14ac:dyDescent="0.2">
      <c r="O883" s="103">
        <v>15</v>
      </c>
      <c r="P883" s="102">
        <v>2020</v>
      </c>
      <c r="Q883" s="101">
        <v>49.403625135421926</v>
      </c>
      <c r="R883" s="100">
        <v>11</v>
      </c>
    </row>
    <row r="884" spans="15:18" x14ac:dyDescent="0.2">
      <c r="O884" s="103">
        <v>10</v>
      </c>
      <c r="P884" s="102">
        <v>2020</v>
      </c>
      <c r="Q884" s="101">
        <v>118.06105738303577</v>
      </c>
      <c r="R884" s="100">
        <v>11</v>
      </c>
    </row>
    <row r="885" spans="15:18" x14ac:dyDescent="0.2">
      <c r="O885" s="103">
        <v>10</v>
      </c>
      <c r="P885" s="102">
        <v>2020</v>
      </c>
      <c r="Q885" s="101">
        <v>109.96718998578469</v>
      </c>
      <c r="R885" s="100">
        <v>11</v>
      </c>
    </row>
    <row r="886" spans="15:18" x14ac:dyDescent="0.2">
      <c r="O886" s="103">
        <v>10</v>
      </c>
      <c r="P886" s="102">
        <v>2020</v>
      </c>
      <c r="Q886" s="101">
        <v>92.250841120229467</v>
      </c>
      <c r="R886" s="100">
        <v>11</v>
      </c>
    </row>
    <row r="887" spans="15:18" x14ac:dyDescent="0.2">
      <c r="O887" s="103">
        <v>9.9</v>
      </c>
      <c r="P887" s="102">
        <v>2020</v>
      </c>
      <c r="Q887" s="101">
        <v>81.173769076906538</v>
      </c>
      <c r="R887" s="100">
        <v>11</v>
      </c>
    </row>
    <row r="888" spans="15:18" x14ac:dyDescent="0.2">
      <c r="O888" s="103">
        <v>10</v>
      </c>
      <c r="P888" s="102">
        <v>2020</v>
      </c>
      <c r="Q888" s="101">
        <v>80.438115350822599</v>
      </c>
      <c r="R888" s="100">
        <v>11</v>
      </c>
    </row>
    <row r="889" spans="15:18" x14ac:dyDescent="0.2">
      <c r="O889" s="103">
        <v>10</v>
      </c>
      <c r="P889" s="102">
        <v>2020</v>
      </c>
      <c r="Q889" s="101">
        <v>85.974303416945475</v>
      </c>
      <c r="R889" s="100">
        <v>11</v>
      </c>
    </row>
    <row r="890" spans="15:18" x14ac:dyDescent="0.2">
      <c r="O890" s="103">
        <v>10</v>
      </c>
      <c r="P890" s="102">
        <v>2020</v>
      </c>
      <c r="Q890" s="101">
        <v>75.240770822823904</v>
      </c>
      <c r="R890" s="100">
        <v>11</v>
      </c>
    </row>
    <row r="891" spans="15:18" x14ac:dyDescent="0.2">
      <c r="O891" s="103">
        <v>10</v>
      </c>
      <c r="P891" s="102">
        <v>2020</v>
      </c>
      <c r="Q891" s="101">
        <v>71.205032598270776</v>
      </c>
      <c r="R891" s="100">
        <v>11</v>
      </c>
    </row>
    <row r="892" spans="15:18" x14ac:dyDescent="0.2">
      <c r="O892" s="103">
        <v>10</v>
      </c>
      <c r="P892" s="102">
        <v>2020</v>
      </c>
      <c r="Q892" s="101">
        <v>73.748609930957826</v>
      </c>
      <c r="R892" s="100">
        <v>11</v>
      </c>
    </row>
    <row r="893" spans="15:18" x14ac:dyDescent="0.2">
      <c r="O893" s="103">
        <v>15</v>
      </c>
      <c r="P893" s="102">
        <v>2020</v>
      </c>
      <c r="Q893" s="101">
        <v>48.468294417276439</v>
      </c>
      <c r="R893" s="100">
        <v>11</v>
      </c>
    </row>
    <row r="894" spans="15:18" x14ac:dyDescent="0.2">
      <c r="O894" s="103">
        <v>10</v>
      </c>
      <c r="P894" s="102">
        <v>2020</v>
      </c>
      <c r="Q894" s="101">
        <v>88.894833706884484</v>
      </c>
      <c r="R894" s="100">
        <v>11</v>
      </c>
    </row>
    <row r="895" spans="15:18" x14ac:dyDescent="0.2">
      <c r="O895" s="103">
        <v>20</v>
      </c>
      <c r="P895" s="102">
        <v>2020</v>
      </c>
      <c r="Q895" s="101">
        <v>54.944913525891522</v>
      </c>
      <c r="R895" s="100">
        <v>11</v>
      </c>
    </row>
    <row r="896" spans="15:18" x14ac:dyDescent="0.2">
      <c r="O896" s="103">
        <v>20</v>
      </c>
      <c r="P896" s="102">
        <v>2020</v>
      </c>
      <c r="Q896" s="101">
        <v>64.264654666617247</v>
      </c>
      <c r="R896" s="100">
        <v>11</v>
      </c>
    </row>
    <row r="897" spans="15:18" x14ac:dyDescent="0.2">
      <c r="O897" s="103">
        <v>9.5</v>
      </c>
      <c r="P897" s="102">
        <v>2020</v>
      </c>
      <c r="Q897" s="101">
        <v>115.90676674695655</v>
      </c>
      <c r="R897" s="100">
        <v>11</v>
      </c>
    </row>
    <row r="898" spans="15:18" x14ac:dyDescent="0.2">
      <c r="O898" s="103">
        <v>7.2</v>
      </c>
      <c r="P898" s="102">
        <v>2020</v>
      </c>
      <c r="Q898" s="101">
        <v>53.747673871814584</v>
      </c>
      <c r="R898" s="100">
        <v>11</v>
      </c>
    </row>
    <row r="899" spans="15:18" x14ac:dyDescent="0.2">
      <c r="O899" s="103">
        <v>7.02</v>
      </c>
      <c r="P899" s="102">
        <v>2020</v>
      </c>
      <c r="Q899" s="101">
        <v>73.153472924224459</v>
      </c>
      <c r="R899" s="100">
        <v>11</v>
      </c>
    </row>
    <row r="900" spans="15:18" x14ac:dyDescent="0.2">
      <c r="O900" s="103">
        <v>75</v>
      </c>
      <c r="P900" s="102">
        <v>2020</v>
      </c>
      <c r="Q900" s="101">
        <v>52.257264546023876</v>
      </c>
      <c r="R900" s="100">
        <v>11</v>
      </c>
    </row>
    <row r="901" spans="15:18" x14ac:dyDescent="0.2">
      <c r="O901" s="103">
        <v>6</v>
      </c>
      <c r="P901" s="102">
        <v>2020</v>
      </c>
      <c r="Q901" s="101">
        <v>57.793904688506011</v>
      </c>
      <c r="R901" s="100">
        <v>11</v>
      </c>
    </row>
    <row r="902" spans="15:18" x14ac:dyDescent="0.2">
      <c r="O902" s="103">
        <v>75</v>
      </c>
      <c r="P902" s="102">
        <v>2020</v>
      </c>
      <c r="Q902" s="101">
        <v>52.226323018018363</v>
      </c>
      <c r="R902" s="100">
        <v>11</v>
      </c>
    </row>
    <row r="903" spans="15:18" x14ac:dyDescent="0.2">
      <c r="O903" s="103">
        <v>70</v>
      </c>
      <c r="P903" s="102">
        <v>2020</v>
      </c>
      <c r="Q903" s="101">
        <v>61.93035465880596</v>
      </c>
      <c r="R903" s="100">
        <v>11</v>
      </c>
    </row>
    <row r="904" spans="15:18" x14ac:dyDescent="0.2">
      <c r="O904" s="103">
        <v>72.099999999999994</v>
      </c>
      <c r="P904" s="102">
        <v>2020</v>
      </c>
      <c r="Q904" s="101">
        <v>57.236457213997149</v>
      </c>
      <c r="R904" s="100">
        <v>11</v>
      </c>
    </row>
    <row r="905" spans="15:18" x14ac:dyDescent="0.2">
      <c r="O905" s="103">
        <v>9.8000000000000007</v>
      </c>
      <c r="P905" s="102">
        <v>2020</v>
      </c>
      <c r="Q905" s="101">
        <v>43.667023396227371</v>
      </c>
      <c r="R905" s="100">
        <v>11</v>
      </c>
    </row>
    <row r="906" spans="15:18" x14ac:dyDescent="0.2">
      <c r="O906" s="103">
        <v>6.5</v>
      </c>
      <c r="P906" s="102">
        <v>2020</v>
      </c>
      <c r="Q906" s="101">
        <v>57.106664043298522</v>
      </c>
      <c r="R906" s="100">
        <v>11</v>
      </c>
    </row>
    <row r="907" spans="15:18" x14ac:dyDescent="0.2">
      <c r="O907" s="103">
        <v>12</v>
      </c>
      <c r="P907" s="102">
        <v>2020</v>
      </c>
      <c r="Q907" s="101">
        <v>59.845404735547113</v>
      </c>
      <c r="R907" s="100">
        <v>11</v>
      </c>
    </row>
    <row r="908" spans="15:18" x14ac:dyDescent="0.2">
      <c r="O908" s="103">
        <v>74.97</v>
      </c>
      <c r="P908" s="102">
        <v>2020</v>
      </c>
      <c r="Q908" s="101">
        <v>58.771338887034098</v>
      </c>
      <c r="R908" s="100">
        <v>11</v>
      </c>
    </row>
    <row r="909" spans="15:18" x14ac:dyDescent="0.2">
      <c r="O909" s="103">
        <v>10</v>
      </c>
      <c r="P909" s="102">
        <v>2020</v>
      </c>
      <c r="Q909" s="101">
        <v>52.840389674897779</v>
      </c>
      <c r="R909" s="100">
        <v>11</v>
      </c>
    </row>
    <row r="910" spans="15:18" x14ac:dyDescent="0.2">
      <c r="O910" s="103">
        <v>115</v>
      </c>
      <c r="P910" s="102">
        <v>2020</v>
      </c>
      <c r="Q910" s="101">
        <v>35.554329530585768</v>
      </c>
      <c r="R910" s="100">
        <v>11</v>
      </c>
    </row>
    <row r="911" spans="15:18" x14ac:dyDescent="0.2">
      <c r="O911" s="103">
        <v>10</v>
      </c>
      <c r="P911" s="102">
        <v>2020</v>
      </c>
      <c r="Q911" s="101">
        <v>47.93910861477552</v>
      </c>
      <c r="R911" s="100">
        <v>11</v>
      </c>
    </row>
    <row r="912" spans="15:18" x14ac:dyDescent="0.2">
      <c r="O912" s="103">
        <v>152.5</v>
      </c>
      <c r="P912" s="102">
        <v>2020</v>
      </c>
      <c r="Q912" s="101">
        <v>24.172304810144585</v>
      </c>
      <c r="R912" s="100">
        <v>11</v>
      </c>
    </row>
    <row r="913" spans="15:18" x14ac:dyDescent="0.2">
      <c r="O913" s="103">
        <v>225</v>
      </c>
      <c r="P913" s="102">
        <v>2020</v>
      </c>
      <c r="Q913" s="101">
        <v>36.31683762332738</v>
      </c>
      <c r="R913" s="100">
        <v>11</v>
      </c>
    </row>
    <row r="914" spans="15:18" x14ac:dyDescent="0.2">
      <c r="O914" s="103">
        <v>204.4</v>
      </c>
      <c r="P914" s="102">
        <v>2020</v>
      </c>
      <c r="Q914" s="101">
        <v>50.778277960054943</v>
      </c>
      <c r="R914" s="100">
        <v>11</v>
      </c>
    </row>
    <row r="915" spans="15:18" x14ac:dyDescent="0.2">
      <c r="O915" s="103">
        <v>198.5</v>
      </c>
      <c r="P915" s="102">
        <v>2020</v>
      </c>
      <c r="Q915" s="101">
        <v>42.936322818118668</v>
      </c>
      <c r="R915" s="100">
        <v>11</v>
      </c>
    </row>
    <row r="916" spans="15:18" x14ac:dyDescent="0.2">
      <c r="O916" s="103">
        <v>59.8</v>
      </c>
      <c r="P916" s="102">
        <v>2020</v>
      </c>
      <c r="Q916" s="101">
        <v>45.381120387305501</v>
      </c>
      <c r="R916" s="100">
        <v>11</v>
      </c>
    </row>
    <row r="917" spans="15:18" x14ac:dyDescent="0.2">
      <c r="O917" s="103">
        <v>240</v>
      </c>
      <c r="P917" s="102">
        <v>2020</v>
      </c>
      <c r="Q917" s="101">
        <v>43.713294396492195</v>
      </c>
      <c r="R917" s="100">
        <v>11</v>
      </c>
    </row>
    <row r="918" spans="15:18" x14ac:dyDescent="0.2">
      <c r="O918" s="103">
        <v>150</v>
      </c>
      <c r="P918" s="102">
        <v>2020</v>
      </c>
      <c r="Q918" s="101">
        <v>40.244098271225155</v>
      </c>
      <c r="R918" s="100">
        <v>11</v>
      </c>
    </row>
    <row r="919" spans="15:18" x14ac:dyDescent="0.2">
      <c r="O919" s="103">
        <v>30</v>
      </c>
      <c r="P919" s="102">
        <v>2020</v>
      </c>
      <c r="Q919" s="101">
        <v>47.60612091628235</v>
      </c>
      <c r="R919" s="100">
        <v>11</v>
      </c>
    </row>
    <row r="920" spans="15:18" x14ac:dyDescent="0.2">
      <c r="O920" s="103">
        <v>16.8</v>
      </c>
      <c r="P920" s="102">
        <v>2020</v>
      </c>
      <c r="Q920" s="101">
        <v>74.972984139833557</v>
      </c>
      <c r="R920" s="100">
        <v>11</v>
      </c>
    </row>
    <row r="921" spans="15:18" x14ac:dyDescent="0.2">
      <c r="O921" s="103">
        <v>300</v>
      </c>
      <c r="P921" s="102">
        <v>2020</v>
      </c>
      <c r="Q921" s="101">
        <v>41.061764995933032</v>
      </c>
      <c r="R921" s="100">
        <v>11</v>
      </c>
    </row>
    <row r="922" spans="15:18" x14ac:dyDescent="0.2">
      <c r="O922" s="103">
        <v>200</v>
      </c>
      <c r="P922" s="102">
        <v>2020</v>
      </c>
      <c r="Q922" s="101">
        <v>66.200054877856417</v>
      </c>
      <c r="R922" s="100">
        <v>11</v>
      </c>
    </row>
    <row r="923" spans="15:18" x14ac:dyDescent="0.2">
      <c r="O923" s="103">
        <v>59.8</v>
      </c>
      <c r="P923" s="102">
        <v>2020</v>
      </c>
      <c r="Q923" s="101">
        <v>34.763173706787683</v>
      </c>
      <c r="R923" s="100">
        <v>11</v>
      </c>
    </row>
    <row r="924" spans="15:18" x14ac:dyDescent="0.2">
      <c r="O924" s="103">
        <v>400</v>
      </c>
      <c r="P924" s="102">
        <v>2020</v>
      </c>
      <c r="Q924" s="101">
        <v>31.955748746912974</v>
      </c>
      <c r="R924" s="100">
        <v>11</v>
      </c>
    </row>
    <row r="925" spans="15:18" x14ac:dyDescent="0.2">
      <c r="O925" s="103">
        <v>120</v>
      </c>
      <c r="P925" s="102">
        <v>2020</v>
      </c>
      <c r="Q925" s="101">
        <v>49.495482255305745</v>
      </c>
      <c r="R925" s="100">
        <v>11</v>
      </c>
    </row>
    <row r="926" spans="15:18" x14ac:dyDescent="0.2">
      <c r="O926" s="103">
        <v>58</v>
      </c>
      <c r="P926" s="102">
        <v>2020</v>
      </c>
      <c r="Q926" s="101">
        <v>37.366219533631813</v>
      </c>
      <c r="R926" s="100">
        <v>11</v>
      </c>
    </row>
    <row r="927" spans="15:18" x14ac:dyDescent="0.2">
      <c r="O927" s="103">
        <v>122</v>
      </c>
      <c r="P927" s="102">
        <v>2020</v>
      </c>
      <c r="Q927" s="101">
        <v>44.469185242106036</v>
      </c>
      <c r="R927" s="100">
        <v>11</v>
      </c>
    </row>
    <row r="928" spans="15:18" x14ac:dyDescent="0.2">
      <c r="O928" s="103">
        <v>99</v>
      </c>
      <c r="P928" s="102">
        <v>2020</v>
      </c>
      <c r="Q928" s="101">
        <v>40.985221274735778</v>
      </c>
      <c r="R928" s="100">
        <v>11</v>
      </c>
    </row>
    <row r="929" spans="15:18" x14ac:dyDescent="0.2">
      <c r="O929" s="103">
        <v>32</v>
      </c>
      <c r="P929" s="102">
        <v>2020</v>
      </c>
      <c r="Q929" s="101">
        <v>74.759686814500782</v>
      </c>
      <c r="R929" s="100">
        <v>11</v>
      </c>
    </row>
    <row r="930" spans="15:18" x14ac:dyDescent="0.2">
      <c r="O930" s="103">
        <v>15.7</v>
      </c>
      <c r="P930" s="102">
        <v>2020</v>
      </c>
      <c r="Q930" s="101">
        <v>80.000858891263988</v>
      </c>
      <c r="R930" s="100">
        <v>11</v>
      </c>
    </row>
    <row r="931" spans="15:18" x14ac:dyDescent="0.2">
      <c r="O931" s="103">
        <v>19.7</v>
      </c>
      <c r="P931" s="102">
        <v>2020</v>
      </c>
      <c r="Q931" s="101">
        <v>72.762521498728944</v>
      </c>
      <c r="R931" s="100">
        <v>11</v>
      </c>
    </row>
    <row r="932" spans="15:18" x14ac:dyDescent="0.2">
      <c r="O932" s="103">
        <v>12</v>
      </c>
      <c r="P932" s="102">
        <v>2020</v>
      </c>
      <c r="Q932" s="101">
        <v>84.924485694783456</v>
      </c>
      <c r="R932" s="100">
        <v>11</v>
      </c>
    </row>
    <row r="933" spans="15:18" x14ac:dyDescent="0.2">
      <c r="O933" s="103">
        <v>14</v>
      </c>
      <c r="P933" s="102">
        <v>2020</v>
      </c>
      <c r="Q933" s="101">
        <v>58.814492685901314</v>
      </c>
      <c r="R933" s="100">
        <v>11</v>
      </c>
    </row>
    <row r="934" spans="15:18" x14ac:dyDescent="0.2">
      <c r="O934" s="103">
        <v>80</v>
      </c>
      <c r="P934" s="102">
        <v>2020</v>
      </c>
      <c r="Q934" s="101">
        <v>55.488794854389219</v>
      </c>
      <c r="R934" s="100">
        <v>11</v>
      </c>
    </row>
    <row r="935" spans="15:18" x14ac:dyDescent="0.2">
      <c r="O935" s="103">
        <v>80</v>
      </c>
      <c r="P935" s="102">
        <v>2020</v>
      </c>
      <c r="Q935" s="101">
        <v>60.949303490953305</v>
      </c>
      <c r="R935" s="100">
        <v>11</v>
      </c>
    </row>
    <row r="936" spans="15:18" x14ac:dyDescent="0.2">
      <c r="O936" s="103">
        <v>165</v>
      </c>
      <c r="P936" s="102">
        <v>2020</v>
      </c>
      <c r="Q936" s="101">
        <v>68.206980750465021</v>
      </c>
      <c r="R936" s="100">
        <v>11</v>
      </c>
    </row>
    <row r="937" spans="15:18" x14ac:dyDescent="0.2">
      <c r="O937" s="103">
        <v>25</v>
      </c>
      <c r="P937" s="102">
        <v>2020</v>
      </c>
      <c r="Q937" s="101">
        <v>91.570908900156837</v>
      </c>
      <c r="R937" s="100">
        <v>11</v>
      </c>
    </row>
    <row r="938" spans="15:18" x14ac:dyDescent="0.2">
      <c r="O938" s="103">
        <v>15</v>
      </c>
      <c r="P938" s="102">
        <v>2020</v>
      </c>
      <c r="Q938" s="101">
        <v>77.896814331669205</v>
      </c>
      <c r="R938" s="100">
        <v>11</v>
      </c>
    </row>
    <row r="939" spans="15:18" x14ac:dyDescent="0.2">
      <c r="O939" s="103">
        <v>75</v>
      </c>
      <c r="P939" s="102">
        <v>2020</v>
      </c>
      <c r="Q939" s="101">
        <v>62.272374175010924</v>
      </c>
      <c r="R939" s="100">
        <v>11</v>
      </c>
    </row>
    <row r="940" spans="15:18" x14ac:dyDescent="0.2">
      <c r="O940" s="103">
        <v>20</v>
      </c>
      <c r="P940" s="102">
        <v>2020</v>
      </c>
      <c r="Q940" s="101">
        <v>64.287239431831296</v>
      </c>
      <c r="R940" s="100">
        <v>11</v>
      </c>
    </row>
    <row r="941" spans="15:18" x14ac:dyDescent="0.2">
      <c r="O941" s="103">
        <v>97.9</v>
      </c>
      <c r="P941" s="102">
        <v>2020</v>
      </c>
      <c r="Q941" s="101">
        <v>62.490826347406703</v>
      </c>
      <c r="R941" s="100">
        <v>11</v>
      </c>
    </row>
    <row r="942" spans="15:18" x14ac:dyDescent="0.2">
      <c r="O942" s="103">
        <v>13.8</v>
      </c>
      <c r="P942" s="102">
        <v>2020</v>
      </c>
      <c r="Q942" s="101">
        <v>57.258707560018209</v>
      </c>
      <c r="R942" s="100">
        <v>11</v>
      </c>
    </row>
    <row r="943" spans="15:18" x14ac:dyDescent="0.2">
      <c r="O943" s="103">
        <v>9</v>
      </c>
      <c r="P943" s="102">
        <v>2020</v>
      </c>
      <c r="Q943" s="101">
        <v>57.225021614770128</v>
      </c>
      <c r="R943" s="100">
        <v>11</v>
      </c>
    </row>
    <row r="944" spans="15:18" x14ac:dyDescent="0.2">
      <c r="O944" s="103">
        <v>5.0010000000000003</v>
      </c>
      <c r="P944" s="102">
        <v>2020</v>
      </c>
      <c r="Q944" s="101">
        <v>60.544235814542795</v>
      </c>
      <c r="R944" s="100">
        <v>11</v>
      </c>
    </row>
    <row r="945" spans="15:18" x14ac:dyDescent="0.2">
      <c r="O945" s="103">
        <v>150</v>
      </c>
      <c r="P945" s="102">
        <v>2020</v>
      </c>
      <c r="Q945" s="101">
        <v>79.959936878853924</v>
      </c>
      <c r="R945" s="100">
        <v>11</v>
      </c>
    </row>
    <row r="946" spans="15:18" x14ac:dyDescent="0.2">
      <c r="O946" s="103">
        <v>9.9</v>
      </c>
      <c r="P946" s="102">
        <v>2021</v>
      </c>
      <c r="Q946" s="101">
        <v>127.24206907930241</v>
      </c>
      <c r="R946" s="100">
        <v>12</v>
      </c>
    </row>
    <row r="947" spans="15:18" x14ac:dyDescent="0.2">
      <c r="O947" s="103">
        <v>40</v>
      </c>
      <c r="P947" s="102">
        <v>2021</v>
      </c>
      <c r="Q947" s="101">
        <v>86.631194445086521</v>
      </c>
      <c r="R947" s="100">
        <v>12</v>
      </c>
    </row>
    <row r="948" spans="15:18" x14ac:dyDescent="0.2">
      <c r="O948" s="103">
        <v>9</v>
      </c>
      <c r="P948" s="102">
        <v>2021</v>
      </c>
      <c r="Q948" s="101">
        <v>88.220601715268103</v>
      </c>
      <c r="R948" s="100">
        <v>12</v>
      </c>
    </row>
    <row r="949" spans="15:18" x14ac:dyDescent="0.2">
      <c r="O949" s="103">
        <v>300</v>
      </c>
      <c r="P949" s="102">
        <v>2021</v>
      </c>
      <c r="Q949" s="101">
        <v>56.541176985256484</v>
      </c>
      <c r="R949" s="100">
        <v>12</v>
      </c>
    </row>
    <row r="950" spans="15:18" x14ac:dyDescent="0.2">
      <c r="O950" s="103">
        <v>10</v>
      </c>
      <c r="P950" s="102">
        <v>2021</v>
      </c>
      <c r="Q950" s="101">
        <v>134.74036131930103</v>
      </c>
      <c r="R950" s="100">
        <v>12</v>
      </c>
    </row>
    <row r="951" spans="15:18" x14ac:dyDescent="0.2">
      <c r="O951" s="103">
        <v>9</v>
      </c>
      <c r="P951" s="102">
        <v>2021</v>
      </c>
      <c r="Q951" s="101">
        <v>140.0154714216539</v>
      </c>
      <c r="R951" s="100">
        <v>12</v>
      </c>
    </row>
    <row r="952" spans="15:18" x14ac:dyDescent="0.2">
      <c r="O952" s="103">
        <v>7.3</v>
      </c>
      <c r="P952" s="102">
        <v>2021</v>
      </c>
      <c r="Q952" s="101">
        <v>80.170358855467228</v>
      </c>
      <c r="R952" s="100">
        <v>12</v>
      </c>
    </row>
    <row r="953" spans="15:18" x14ac:dyDescent="0.2">
      <c r="O953" s="103">
        <v>107</v>
      </c>
      <c r="P953" s="102">
        <v>2021</v>
      </c>
      <c r="Q953" s="101">
        <v>61.449842122342382</v>
      </c>
      <c r="R953" s="100">
        <v>12</v>
      </c>
    </row>
    <row r="954" spans="15:18" x14ac:dyDescent="0.2">
      <c r="O954" s="103">
        <v>80</v>
      </c>
      <c r="P954" s="102">
        <v>2021</v>
      </c>
      <c r="Q954" s="101">
        <v>57.09318247386274</v>
      </c>
      <c r="R954" s="100">
        <v>12</v>
      </c>
    </row>
    <row r="955" spans="15:18" x14ac:dyDescent="0.2">
      <c r="O955" s="103">
        <v>100</v>
      </c>
      <c r="P955" s="102">
        <v>2021</v>
      </c>
      <c r="Q955" s="101">
        <v>60.937280163741292</v>
      </c>
      <c r="R955" s="100">
        <v>12</v>
      </c>
    </row>
    <row r="956" spans="15:18" x14ac:dyDescent="0.2">
      <c r="O956" s="103">
        <v>20</v>
      </c>
      <c r="P956" s="102">
        <v>2021</v>
      </c>
      <c r="Q956" s="101">
        <v>58.899735361796353</v>
      </c>
      <c r="R956" s="100">
        <v>12</v>
      </c>
    </row>
    <row r="957" spans="15:18" x14ac:dyDescent="0.2">
      <c r="O957" s="103">
        <v>68</v>
      </c>
      <c r="P957" s="102">
        <v>2021</v>
      </c>
      <c r="Q957" s="101">
        <v>57.773070805737383</v>
      </c>
      <c r="R957" s="100">
        <v>12</v>
      </c>
    </row>
    <row r="958" spans="15:18" x14ac:dyDescent="0.2">
      <c r="O958" s="103">
        <v>80</v>
      </c>
      <c r="P958" s="102">
        <v>2021</v>
      </c>
      <c r="Q958" s="101">
        <v>58.37518002219683</v>
      </c>
      <c r="R958" s="100">
        <v>12</v>
      </c>
    </row>
    <row r="959" spans="15:18" x14ac:dyDescent="0.2">
      <c r="O959" s="103">
        <v>20</v>
      </c>
      <c r="P959" s="102">
        <v>2021</v>
      </c>
      <c r="Q959" s="101">
        <v>66.75244273986003</v>
      </c>
      <c r="R959" s="100">
        <v>12</v>
      </c>
    </row>
    <row r="960" spans="15:18" x14ac:dyDescent="0.2">
      <c r="O960" s="103">
        <v>49.4</v>
      </c>
      <c r="P960" s="102">
        <v>2021</v>
      </c>
      <c r="Q960" s="101">
        <v>74.653406069405449</v>
      </c>
      <c r="R960" s="100">
        <v>12</v>
      </c>
    </row>
    <row r="961" spans="15:18" x14ac:dyDescent="0.2">
      <c r="O961" s="103">
        <v>5.0999999999999996</v>
      </c>
      <c r="P961" s="102">
        <v>2021</v>
      </c>
      <c r="Q961" s="101">
        <v>54.048233167956575</v>
      </c>
      <c r="R961" s="100">
        <v>12</v>
      </c>
    </row>
    <row r="962" spans="15:18" x14ac:dyDescent="0.2">
      <c r="O962" s="103">
        <v>77</v>
      </c>
      <c r="P962" s="102">
        <v>2021</v>
      </c>
      <c r="Q962" s="101">
        <v>72.524251675500537</v>
      </c>
      <c r="R962" s="100">
        <v>12</v>
      </c>
    </row>
    <row r="963" spans="15:18" x14ac:dyDescent="0.2">
      <c r="O963" s="103">
        <v>20</v>
      </c>
      <c r="P963" s="102">
        <v>2021</v>
      </c>
      <c r="Q963" s="101">
        <v>60.119827645168193</v>
      </c>
      <c r="R963" s="100">
        <v>12</v>
      </c>
    </row>
    <row r="964" spans="15:18" x14ac:dyDescent="0.2">
      <c r="O964" s="103">
        <v>16.100000000000001</v>
      </c>
      <c r="P964" s="102">
        <v>2021</v>
      </c>
      <c r="Q964" s="101">
        <v>89.075615169690167</v>
      </c>
      <c r="R964" s="100">
        <v>12</v>
      </c>
    </row>
    <row r="965" spans="15:18" x14ac:dyDescent="0.2">
      <c r="O965" s="103">
        <v>16.7</v>
      </c>
      <c r="P965" s="102">
        <v>2021</v>
      </c>
      <c r="Q965" s="101">
        <v>40.999524624260609</v>
      </c>
      <c r="R965" s="100">
        <v>12</v>
      </c>
    </row>
    <row r="966" spans="15:18" x14ac:dyDescent="0.2">
      <c r="O966" s="103">
        <v>10</v>
      </c>
      <c r="P966" s="102">
        <v>2021</v>
      </c>
      <c r="Q966" s="101">
        <v>50.770368148910912</v>
      </c>
      <c r="R966" s="100">
        <v>12</v>
      </c>
    </row>
    <row r="967" spans="15:18" x14ac:dyDescent="0.2">
      <c r="O967" s="103">
        <v>50.4</v>
      </c>
      <c r="P967" s="102">
        <v>2021</v>
      </c>
      <c r="Q967" s="101">
        <v>55.902279061379268</v>
      </c>
      <c r="R967" s="100">
        <v>12</v>
      </c>
    </row>
    <row r="968" spans="15:18" x14ac:dyDescent="0.2">
      <c r="O968" s="103">
        <v>200</v>
      </c>
      <c r="P968" s="102">
        <v>2021</v>
      </c>
      <c r="Q968" s="101">
        <v>38.079159904755812</v>
      </c>
      <c r="R968" s="100">
        <v>12</v>
      </c>
    </row>
    <row r="969" spans="15:18" x14ac:dyDescent="0.2">
      <c r="O969" s="103">
        <v>20</v>
      </c>
      <c r="P969" s="102">
        <v>2021</v>
      </c>
      <c r="Q969" s="101">
        <v>52.362472230718147</v>
      </c>
      <c r="R969" s="100">
        <v>12</v>
      </c>
    </row>
    <row r="970" spans="15:18" x14ac:dyDescent="0.2">
      <c r="O970" s="103">
        <v>88.2</v>
      </c>
      <c r="P970" s="102">
        <v>2021</v>
      </c>
      <c r="Q970" s="101">
        <v>57.84259613487032</v>
      </c>
      <c r="R970" s="100">
        <v>12</v>
      </c>
    </row>
    <row r="971" spans="15:18" x14ac:dyDescent="0.2">
      <c r="O971" s="103">
        <v>60</v>
      </c>
      <c r="P971" s="102">
        <v>2021</v>
      </c>
      <c r="Q971" s="101">
        <v>53.817353220922968</v>
      </c>
      <c r="R971" s="100">
        <v>12</v>
      </c>
    </row>
    <row r="972" spans="15:18" x14ac:dyDescent="0.2">
      <c r="O972" s="103">
        <v>9.1999999999999993</v>
      </c>
      <c r="P972" s="102">
        <v>2021</v>
      </c>
      <c r="Q972" s="101">
        <v>64.41360524668562</v>
      </c>
      <c r="R972" s="100">
        <v>12</v>
      </c>
    </row>
    <row r="973" spans="15:18" x14ac:dyDescent="0.2">
      <c r="O973" s="103">
        <v>80</v>
      </c>
      <c r="P973" s="102">
        <v>2021</v>
      </c>
      <c r="Q973" s="101">
        <v>49.590342491760758</v>
      </c>
      <c r="R973" s="100">
        <v>12</v>
      </c>
    </row>
    <row r="974" spans="15:18" x14ac:dyDescent="0.2">
      <c r="O974" s="103">
        <v>80</v>
      </c>
      <c r="P974" s="102">
        <v>2021</v>
      </c>
      <c r="Q974" s="101">
        <v>52.59196500881928</v>
      </c>
      <c r="R974" s="100">
        <v>12</v>
      </c>
    </row>
    <row r="975" spans="15:18" x14ac:dyDescent="0.2">
      <c r="O975" s="103">
        <v>20</v>
      </c>
      <c r="P975" s="102">
        <v>2021</v>
      </c>
      <c r="Q975" s="101">
        <v>76.195427381750946</v>
      </c>
      <c r="R975" s="100">
        <v>12</v>
      </c>
    </row>
    <row r="976" spans="15:18" x14ac:dyDescent="0.2">
      <c r="O976" s="103">
        <v>19.899999999999999</v>
      </c>
      <c r="P976" s="102">
        <v>2021</v>
      </c>
      <c r="Q976" s="101">
        <v>64.097569092363045</v>
      </c>
      <c r="R976" s="100">
        <v>12</v>
      </c>
    </row>
    <row r="977" spans="15:18" x14ac:dyDescent="0.2">
      <c r="O977" s="103">
        <v>132</v>
      </c>
      <c r="P977" s="102">
        <v>2021</v>
      </c>
      <c r="Q977" s="101">
        <v>35.272310338445322</v>
      </c>
      <c r="R977" s="100">
        <v>12</v>
      </c>
    </row>
    <row r="978" spans="15:18" x14ac:dyDescent="0.2">
      <c r="O978" s="103">
        <v>10</v>
      </c>
      <c r="P978" s="102">
        <v>2021</v>
      </c>
      <c r="Q978" s="101">
        <v>60.029424048194358</v>
      </c>
      <c r="R978" s="100">
        <v>12</v>
      </c>
    </row>
    <row r="979" spans="15:18" x14ac:dyDescent="0.2">
      <c r="O979" s="103">
        <v>65</v>
      </c>
      <c r="P979" s="102">
        <v>2021</v>
      </c>
      <c r="Q979" s="101">
        <v>49.635717175527446</v>
      </c>
      <c r="R979" s="100">
        <v>12</v>
      </c>
    </row>
    <row r="980" spans="15:18" x14ac:dyDescent="0.2">
      <c r="O980" s="103">
        <v>22.6</v>
      </c>
      <c r="P980" s="102">
        <v>2021</v>
      </c>
      <c r="Q980" s="101">
        <v>66.265056900789602</v>
      </c>
      <c r="R980" s="100">
        <v>12</v>
      </c>
    </row>
    <row r="981" spans="15:18" x14ac:dyDescent="0.2">
      <c r="O981" s="103">
        <v>227</v>
      </c>
      <c r="P981" s="102">
        <v>2021</v>
      </c>
      <c r="Q981" s="101">
        <v>48.455748450633166</v>
      </c>
      <c r="R981" s="100">
        <v>12</v>
      </c>
    </row>
    <row r="982" spans="15:18" x14ac:dyDescent="0.2">
      <c r="O982" s="103">
        <v>7.2</v>
      </c>
      <c r="P982" s="102">
        <v>2021</v>
      </c>
      <c r="Q982" s="101">
        <v>65.136835396468371</v>
      </c>
      <c r="R982" s="100">
        <v>12</v>
      </c>
    </row>
    <row r="983" spans="15:18" x14ac:dyDescent="0.2">
      <c r="O983" s="103">
        <v>150</v>
      </c>
      <c r="P983" s="102">
        <v>2021</v>
      </c>
      <c r="Q983" s="101">
        <v>38.78472939896281</v>
      </c>
      <c r="R983" s="100">
        <v>12</v>
      </c>
    </row>
    <row r="984" spans="15:18" x14ac:dyDescent="0.2">
      <c r="O984" s="103">
        <v>15.7</v>
      </c>
      <c r="P984" s="102">
        <v>2021</v>
      </c>
      <c r="Q984" s="101">
        <v>51.060140807528889</v>
      </c>
      <c r="R984" s="100">
        <v>12</v>
      </c>
    </row>
    <row r="985" spans="15:18" x14ac:dyDescent="0.2">
      <c r="O985" s="103">
        <v>101</v>
      </c>
      <c r="P985" s="102">
        <v>2021</v>
      </c>
      <c r="Q985" s="101">
        <v>37.447908019964814</v>
      </c>
      <c r="R985" s="100">
        <v>12</v>
      </c>
    </row>
    <row r="986" spans="15:18" x14ac:dyDescent="0.2">
      <c r="O986" s="103">
        <v>180</v>
      </c>
      <c r="P986" s="102">
        <v>2021</v>
      </c>
      <c r="Q986" s="101">
        <v>45.73330062939857</v>
      </c>
      <c r="R986" s="100">
        <v>12</v>
      </c>
    </row>
    <row r="987" spans="15:18" x14ac:dyDescent="0.2">
      <c r="O987" s="103">
        <v>20</v>
      </c>
      <c r="P987" s="102">
        <v>2021</v>
      </c>
      <c r="Q987" s="101">
        <v>85.313234579050558</v>
      </c>
      <c r="R987" s="100">
        <v>12</v>
      </c>
    </row>
    <row r="988" spans="15:18" x14ac:dyDescent="0.2">
      <c r="O988" s="103">
        <v>260</v>
      </c>
      <c r="P988" s="102">
        <v>2021</v>
      </c>
      <c r="Q988" s="101">
        <v>37.125070394985713</v>
      </c>
      <c r="R988" s="100">
        <v>12</v>
      </c>
    </row>
    <row r="989" spans="15:18" x14ac:dyDescent="0.2">
      <c r="O989" s="103">
        <v>250</v>
      </c>
      <c r="P989" s="102">
        <v>2021</v>
      </c>
      <c r="Q989" s="101">
        <v>36.940976766609133</v>
      </c>
      <c r="R989" s="100">
        <v>12</v>
      </c>
    </row>
    <row r="990" spans="15:18" x14ac:dyDescent="0.2">
      <c r="O990" s="103">
        <v>50</v>
      </c>
      <c r="P990" s="102">
        <v>2021</v>
      </c>
      <c r="Q990" s="101">
        <v>53.246791592260081</v>
      </c>
      <c r="R990" s="100">
        <v>12</v>
      </c>
    </row>
    <row r="991" spans="15:18" x14ac:dyDescent="0.2">
      <c r="O991" s="103">
        <v>20</v>
      </c>
      <c r="P991" s="102">
        <v>2021</v>
      </c>
      <c r="Q991" s="101">
        <v>49.433502215249483</v>
      </c>
      <c r="R991" s="100">
        <v>12</v>
      </c>
    </row>
    <row r="992" spans="15:18" x14ac:dyDescent="0.2">
      <c r="O992" s="103">
        <v>19.899999999999999</v>
      </c>
      <c r="P992" s="102">
        <v>2021</v>
      </c>
      <c r="Q992" s="101">
        <v>42.106181780060403</v>
      </c>
      <c r="R992" s="100">
        <v>12</v>
      </c>
    </row>
    <row r="993" spans="15:18" x14ac:dyDescent="0.2">
      <c r="O993" s="103">
        <v>49.9</v>
      </c>
      <c r="P993" s="102">
        <v>2021</v>
      </c>
      <c r="Q993" s="101">
        <v>58.576543166088257</v>
      </c>
      <c r="R993" s="100">
        <v>12</v>
      </c>
    </row>
    <row r="994" spans="15:18" x14ac:dyDescent="0.2">
      <c r="O994" s="103">
        <v>80</v>
      </c>
      <c r="P994" s="102">
        <v>2021</v>
      </c>
      <c r="Q994" s="101">
        <v>49.600022197283614</v>
      </c>
      <c r="R994" s="100">
        <v>12</v>
      </c>
    </row>
    <row r="995" spans="15:18" x14ac:dyDescent="0.2">
      <c r="O995" s="103">
        <v>82.5</v>
      </c>
      <c r="P995" s="102">
        <v>2021</v>
      </c>
      <c r="Q995" s="101">
        <v>41.402190584470091</v>
      </c>
      <c r="R995" s="100">
        <v>12</v>
      </c>
    </row>
    <row r="996" spans="15:18" x14ac:dyDescent="0.2">
      <c r="O996" s="103">
        <v>22</v>
      </c>
      <c r="P996" s="102">
        <v>2021</v>
      </c>
      <c r="Q996" s="101">
        <v>40.815591733903041</v>
      </c>
      <c r="R996" s="100">
        <v>12</v>
      </c>
    </row>
    <row r="997" spans="15:18" x14ac:dyDescent="0.2">
      <c r="O997" s="103">
        <v>20</v>
      </c>
      <c r="P997" s="102">
        <v>2021</v>
      </c>
      <c r="Q997" s="101">
        <v>47.108923621093801</v>
      </c>
      <c r="R997" s="100">
        <v>12</v>
      </c>
    </row>
    <row r="998" spans="15:18" x14ac:dyDescent="0.2">
      <c r="O998" s="103">
        <v>70</v>
      </c>
      <c r="P998" s="102">
        <v>2021</v>
      </c>
      <c r="Q998" s="101">
        <v>56.158307841740701</v>
      </c>
      <c r="R998" s="100">
        <v>12</v>
      </c>
    </row>
    <row r="999" spans="15:18" x14ac:dyDescent="0.2">
      <c r="O999" s="103">
        <v>13</v>
      </c>
      <c r="P999" s="102">
        <v>2021</v>
      </c>
      <c r="Q999" s="101">
        <v>51.840517004129538</v>
      </c>
      <c r="R999" s="100">
        <v>12</v>
      </c>
    </row>
    <row r="1000" spans="15:18" x14ac:dyDescent="0.2">
      <c r="O1000" s="103">
        <v>200</v>
      </c>
      <c r="P1000" s="102">
        <v>2021</v>
      </c>
      <c r="Q1000" s="101">
        <v>46.844325947144846</v>
      </c>
      <c r="R1000" s="100">
        <v>12</v>
      </c>
    </row>
    <row r="1001" spans="15:18" x14ac:dyDescent="0.2">
      <c r="O1001" s="103">
        <v>180</v>
      </c>
      <c r="P1001" s="102">
        <v>2021</v>
      </c>
      <c r="Q1001" s="101">
        <v>35.137524425766991</v>
      </c>
      <c r="R1001" s="100">
        <v>12</v>
      </c>
    </row>
    <row r="1002" spans="15:18" x14ac:dyDescent="0.2">
      <c r="O1002" s="103">
        <v>70.099999999999994</v>
      </c>
      <c r="P1002" s="102">
        <v>2021</v>
      </c>
      <c r="Q1002" s="101">
        <v>41.824441730684597</v>
      </c>
      <c r="R1002" s="100">
        <v>12</v>
      </c>
    </row>
    <row r="1003" spans="15:18" x14ac:dyDescent="0.2">
      <c r="O1003" s="103">
        <v>100</v>
      </c>
      <c r="P1003" s="102">
        <v>2021</v>
      </c>
      <c r="Q1003" s="101">
        <v>49.77910816393441</v>
      </c>
      <c r="R1003" s="100">
        <v>12</v>
      </c>
    </row>
    <row r="1004" spans="15:18" x14ac:dyDescent="0.2">
      <c r="O1004" s="103">
        <v>128</v>
      </c>
      <c r="P1004" s="102">
        <v>2021</v>
      </c>
      <c r="Q1004" s="101">
        <v>47.327569609479191</v>
      </c>
      <c r="R1004" s="100">
        <v>12</v>
      </c>
    </row>
    <row r="1005" spans="15:18" x14ac:dyDescent="0.2">
      <c r="O1005" s="103">
        <v>130</v>
      </c>
      <c r="P1005" s="102">
        <v>2021</v>
      </c>
      <c r="Q1005" s="101">
        <v>36.690159721907676</v>
      </c>
      <c r="R1005" s="100">
        <v>12</v>
      </c>
    </row>
    <row r="1006" spans="15:18" x14ac:dyDescent="0.2">
      <c r="O1006" s="103">
        <v>250</v>
      </c>
      <c r="P1006" s="102">
        <v>2021</v>
      </c>
      <c r="Q1006" s="101">
        <v>41.134403105086257</v>
      </c>
      <c r="R1006" s="100">
        <v>12</v>
      </c>
    </row>
    <row r="1007" spans="15:18" x14ac:dyDescent="0.2">
      <c r="O1007" s="103">
        <v>50</v>
      </c>
      <c r="P1007" s="102">
        <v>2021</v>
      </c>
      <c r="Q1007" s="101">
        <v>41.84560530824379</v>
      </c>
      <c r="R1007" s="100">
        <v>12</v>
      </c>
    </row>
    <row r="1008" spans="15:18" x14ac:dyDescent="0.2">
      <c r="O1008" s="103">
        <v>9.9</v>
      </c>
      <c r="P1008" s="102">
        <v>2021</v>
      </c>
      <c r="Q1008" s="101">
        <v>35.305945913795824</v>
      </c>
      <c r="R1008" s="100">
        <v>12</v>
      </c>
    </row>
    <row r="1009" spans="15:18" x14ac:dyDescent="0.2">
      <c r="O1009" s="103">
        <v>74.900000000000006</v>
      </c>
      <c r="P1009" s="102">
        <v>2021</v>
      </c>
      <c r="Q1009" s="101">
        <v>42.629542926385582</v>
      </c>
      <c r="R1009" s="100">
        <v>12</v>
      </c>
    </row>
    <row r="1010" spans="15:18" x14ac:dyDescent="0.2">
      <c r="O1010" s="103">
        <v>150</v>
      </c>
      <c r="P1010" s="102">
        <v>2021</v>
      </c>
      <c r="Q1010" s="101">
        <v>68.029277390403152</v>
      </c>
      <c r="R1010" s="100">
        <v>12</v>
      </c>
    </row>
    <row r="1011" spans="15:18" x14ac:dyDescent="0.2">
      <c r="O1011" s="103">
        <v>100</v>
      </c>
      <c r="P1011" s="102">
        <v>2021</v>
      </c>
      <c r="Q1011" s="101">
        <v>32.765164838136265</v>
      </c>
      <c r="R1011" s="100">
        <v>12</v>
      </c>
    </row>
    <row r="1012" spans="15:18" x14ac:dyDescent="0.2">
      <c r="O1012" s="103">
        <v>100</v>
      </c>
      <c r="P1012" s="102">
        <v>2021</v>
      </c>
      <c r="Q1012" s="101">
        <v>30.388854346912709</v>
      </c>
      <c r="R1012" s="100">
        <v>12</v>
      </c>
    </row>
    <row r="1013" spans="15:18" x14ac:dyDescent="0.2">
      <c r="O1013" s="103">
        <v>144</v>
      </c>
      <c r="P1013" s="102">
        <v>2021</v>
      </c>
      <c r="Q1013" s="101">
        <v>40.128716775519436</v>
      </c>
      <c r="R1013" s="100">
        <v>12</v>
      </c>
    </row>
    <row r="1014" spans="15:18" x14ac:dyDescent="0.2">
      <c r="O1014" s="103">
        <v>202.64</v>
      </c>
      <c r="P1014" s="102">
        <v>2021</v>
      </c>
      <c r="Q1014" s="101">
        <v>52.079141940980961</v>
      </c>
      <c r="R1014" s="100">
        <v>12</v>
      </c>
    </row>
    <row r="1015" spans="15:18" x14ac:dyDescent="0.2">
      <c r="O1015" s="103">
        <v>69.3</v>
      </c>
      <c r="P1015" s="102">
        <v>2021</v>
      </c>
      <c r="Q1015" s="101">
        <v>48.802074082060798</v>
      </c>
      <c r="R1015" s="100">
        <v>12</v>
      </c>
    </row>
    <row r="1016" spans="15:18" x14ac:dyDescent="0.2">
      <c r="O1016" s="103">
        <v>8.6999999999999993</v>
      </c>
      <c r="P1016" s="102">
        <v>2021</v>
      </c>
      <c r="Q1016" s="101">
        <v>44.869384382057312</v>
      </c>
      <c r="R1016" s="100">
        <v>12</v>
      </c>
    </row>
    <row r="1017" spans="15:18" x14ac:dyDescent="0.2">
      <c r="O1017" s="103">
        <v>74.5</v>
      </c>
      <c r="P1017" s="102">
        <v>2021</v>
      </c>
      <c r="Q1017" s="101">
        <v>48.975480821913457</v>
      </c>
      <c r="R1017" s="100">
        <v>12</v>
      </c>
    </row>
    <row r="1018" spans="15:18" x14ac:dyDescent="0.2">
      <c r="O1018" s="103">
        <v>100</v>
      </c>
      <c r="P1018" s="102">
        <v>2021</v>
      </c>
      <c r="Q1018" s="101">
        <v>28.2582624892787</v>
      </c>
      <c r="R1018" s="100">
        <v>12</v>
      </c>
    </row>
    <row r="1019" spans="15:18" x14ac:dyDescent="0.2">
      <c r="O1019" s="103">
        <v>74.5</v>
      </c>
      <c r="P1019" s="102">
        <v>2021</v>
      </c>
      <c r="Q1019" s="101">
        <v>40.873219352056161</v>
      </c>
      <c r="R1019" s="100">
        <v>12</v>
      </c>
    </row>
    <row r="1020" spans="15:18" x14ac:dyDescent="0.2">
      <c r="O1020" s="103">
        <v>200</v>
      </c>
      <c r="P1020" s="102">
        <v>2021</v>
      </c>
      <c r="Q1020" s="101">
        <v>42.989121127271012</v>
      </c>
      <c r="R1020" s="100">
        <v>12</v>
      </c>
    </row>
    <row r="1021" spans="15:18" x14ac:dyDescent="0.2">
      <c r="O1021" s="103">
        <v>200</v>
      </c>
      <c r="P1021" s="102">
        <v>2021</v>
      </c>
      <c r="Q1021" s="101">
        <v>41.545244053958172</v>
      </c>
      <c r="R1021" s="100">
        <v>12</v>
      </c>
    </row>
    <row r="1022" spans="15:18" x14ac:dyDescent="0.2">
      <c r="O1022" s="103">
        <v>150</v>
      </c>
      <c r="P1022" s="102">
        <v>2021</v>
      </c>
      <c r="Q1022" s="101">
        <v>41.746850566749529</v>
      </c>
      <c r="R1022" s="100">
        <v>12</v>
      </c>
    </row>
    <row r="1023" spans="15:18" x14ac:dyDescent="0.2">
      <c r="O1023" s="103">
        <v>13.5</v>
      </c>
      <c r="P1023" s="102">
        <v>2021</v>
      </c>
      <c r="Q1023" s="101">
        <v>48.447709046174595</v>
      </c>
      <c r="R1023" s="100">
        <v>12</v>
      </c>
    </row>
    <row r="1024" spans="15:18" x14ac:dyDescent="0.2">
      <c r="O1024" s="103">
        <v>250</v>
      </c>
      <c r="P1024" s="102">
        <v>2021</v>
      </c>
      <c r="Q1024" s="101">
        <v>32.034820051949794</v>
      </c>
      <c r="R1024" s="100">
        <v>12</v>
      </c>
    </row>
    <row r="1025" spans="15:18" x14ac:dyDescent="0.2">
      <c r="O1025" s="103">
        <v>110</v>
      </c>
      <c r="P1025" s="102">
        <v>2021</v>
      </c>
      <c r="Q1025" s="101">
        <v>42.849418366172515</v>
      </c>
      <c r="R1025" s="100">
        <v>12</v>
      </c>
    </row>
    <row r="1026" spans="15:18" x14ac:dyDescent="0.2">
      <c r="O1026" s="103">
        <v>9</v>
      </c>
      <c r="P1026" s="102">
        <v>2021</v>
      </c>
      <c r="Q1026" s="101">
        <v>42.892925324668759</v>
      </c>
      <c r="R1026" s="100">
        <v>12</v>
      </c>
    </row>
    <row r="1027" spans="15:18" x14ac:dyDescent="0.2">
      <c r="O1027" s="103">
        <v>99</v>
      </c>
      <c r="P1027" s="102">
        <v>2021</v>
      </c>
      <c r="Q1027" s="101">
        <v>36.563723799189532</v>
      </c>
      <c r="R1027" s="100">
        <v>12</v>
      </c>
    </row>
    <row r="1028" spans="15:18" x14ac:dyDescent="0.2">
      <c r="O1028" s="103">
        <v>255</v>
      </c>
      <c r="P1028" s="102">
        <v>2021</v>
      </c>
      <c r="Q1028" s="101">
        <v>37.170065353015588</v>
      </c>
      <c r="R1028" s="100">
        <v>12</v>
      </c>
    </row>
    <row r="1029" spans="15:18" x14ac:dyDescent="0.2">
      <c r="O1029" s="103">
        <v>74.900000000000006</v>
      </c>
      <c r="P1029" s="102">
        <v>2021</v>
      </c>
      <c r="Q1029" s="101">
        <v>38.08441794107614</v>
      </c>
      <c r="R1029" s="100">
        <v>12</v>
      </c>
    </row>
    <row r="1030" spans="15:18" x14ac:dyDescent="0.2">
      <c r="O1030" s="103">
        <v>80</v>
      </c>
      <c r="P1030" s="102">
        <v>2021</v>
      </c>
      <c r="Q1030" s="101">
        <v>33.701512974360661</v>
      </c>
      <c r="R1030" s="100">
        <v>12</v>
      </c>
    </row>
    <row r="1031" spans="15:18" x14ac:dyDescent="0.2">
      <c r="O1031" s="103">
        <v>99</v>
      </c>
      <c r="P1031" s="102">
        <v>2021</v>
      </c>
      <c r="Q1031" s="101">
        <v>36.015794633272712</v>
      </c>
      <c r="R1031" s="100">
        <v>12</v>
      </c>
    </row>
    <row r="1032" spans="15:18" x14ac:dyDescent="0.2">
      <c r="O1032" s="103">
        <v>74.5</v>
      </c>
      <c r="P1032" s="102">
        <v>2021</v>
      </c>
      <c r="Q1032" s="101">
        <v>43.468478379163678</v>
      </c>
      <c r="R1032" s="100">
        <v>12</v>
      </c>
    </row>
    <row r="1033" spans="15:18" x14ac:dyDescent="0.2">
      <c r="O1033" s="103">
        <v>420</v>
      </c>
      <c r="P1033" s="102">
        <v>2021</v>
      </c>
      <c r="Q1033" s="101">
        <v>37.573487388558981</v>
      </c>
      <c r="R1033" s="100">
        <v>12</v>
      </c>
    </row>
    <row r="1034" spans="15:18" x14ac:dyDescent="0.2">
      <c r="O1034" s="103">
        <v>100</v>
      </c>
      <c r="P1034" s="102">
        <v>2021</v>
      </c>
      <c r="Q1034" s="101">
        <v>43.629865141459483</v>
      </c>
      <c r="R1034" s="100">
        <v>12</v>
      </c>
    </row>
    <row r="1035" spans="15:18" x14ac:dyDescent="0.2">
      <c r="O1035" s="103">
        <v>200</v>
      </c>
      <c r="P1035" s="102">
        <v>2021</v>
      </c>
      <c r="Q1035" s="101">
        <v>34.872324543376969</v>
      </c>
      <c r="R1035" s="100">
        <v>12</v>
      </c>
    </row>
    <row r="1036" spans="15:18" x14ac:dyDescent="0.2">
      <c r="O1036" s="103">
        <v>123.6</v>
      </c>
      <c r="P1036" s="102">
        <v>2021</v>
      </c>
      <c r="Q1036" s="101">
        <v>39.862988247250726</v>
      </c>
      <c r="R1036" s="100">
        <v>12</v>
      </c>
    </row>
    <row r="1037" spans="15:18" x14ac:dyDescent="0.2">
      <c r="O1037" s="103">
        <v>250</v>
      </c>
      <c r="P1037" s="102">
        <v>2021</v>
      </c>
      <c r="Q1037" s="101">
        <v>37.10782147664186</v>
      </c>
      <c r="R1037" s="100">
        <v>12</v>
      </c>
    </row>
    <row r="1038" spans="15:18" x14ac:dyDescent="0.2">
      <c r="O1038" s="103">
        <v>80</v>
      </c>
      <c r="P1038" s="102">
        <v>2021</v>
      </c>
      <c r="Q1038" s="101">
        <v>36.378372264039207</v>
      </c>
      <c r="R1038" s="100">
        <v>12</v>
      </c>
    </row>
    <row r="1039" spans="15:18" x14ac:dyDescent="0.2">
      <c r="O1039" s="103">
        <v>127</v>
      </c>
      <c r="P1039" s="102">
        <v>2021</v>
      </c>
      <c r="Q1039" s="101">
        <v>33.415792033130352</v>
      </c>
      <c r="R1039" s="100">
        <v>12</v>
      </c>
    </row>
    <row r="1040" spans="15:18" x14ac:dyDescent="0.2">
      <c r="O1040" s="103">
        <v>27.4</v>
      </c>
      <c r="P1040" s="102">
        <v>2021</v>
      </c>
      <c r="Q1040" s="101">
        <v>34.059805602803117</v>
      </c>
      <c r="R1040" s="100">
        <v>12</v>
      </c>
    </row>
    <row r="1041" spans="15:18" x14ac:dyDescent="0.2">
      <c r="O1041" s="103">
        <v>60</v>
      </c>
      <c r="P1041" s="102">
        <v>2021</v>
      </c>
      <c r="Q1041" s="101">
        <v>46.919489076332823</v>
      </c>
      <c r="R1041" s="100">
        <v>12</v>
      </c>
    </row>
    <row r="1042" spans="15:18" x14ac:dyDescent="0.2">
      <c r="O1042" s="103">
        <v>137.80000000000001</v>
      </c>
      <c r="P1042" s="102">
        <v>2021</v>
      </c>
      <c r="Q1042" s="101">
        <v>30.021683351897373</v>
      </c>
      <c r="R1042" s="100">
        <v>12</v>
      </c>
    </row>
    <row r="1043" spans="15:18" x14ac:dyDescent="0.2">
      <c r="O1043" s="103">
        <v>16</v>
      </c>
      <c r="P1043" s="102">
        <v>2021</v>
      </c>
      <c r="Q1043" s="101">
        <v>56.087199354882728</v>
      </c>
      <c r="R1043" s="100">
        <v>12</v>
      </c>
    </row>
    <row r="1044" spans="15:18" x14ac:dyDescent="0.2">
      <c r="O1044" s="103">
        <v>134.69999999999999</v>
      </c>
      <c r="P1044" s="102">
        <v>2021</v>
      </c>
      <c r="Q1044" s="101">
        <v>33.689371597912697</v>
      </c>
      <c r="R1044" s="100">
        <v>12</v>
      </c>
    </row>
    <row r="1045" spans="15:18" x14ac:dyDescent="0.2">
      <c r="O1045" s="103">
        <v>160</v>
      </c>
      <c r="P1045" s="102">
        <v>2021</v>
      </c>
      <c r="Q1045" s="101">
        <v>57.908349952953408</v>
      </c>
      <c r="R1045" s="100">
        <v>12</v>
      </c>
    </row>
    <row r="1046" spans="15:18" x14ac:dyDescent="0.2">
      <c r="O1046" s="103">
        <v>74.5</v>
      </c>
      <c r="P1046" s="102">
        <v>2021</v>
      </c>
      <c r="Q1046" s="101">
        <v>37.935374401877539</v>
      </c>
      <c r="R1046" s="100">
        <v>12</v>
      </c>
    </row>
    <row r="1047" spans="15:18" x14ac:dyDescent="0.2">
      <c r="O1047" s="103">
        <v>240</v>
      </c>
      <c r="P1047" s="102">
        <v>2021</v>
      </c>
      <c r="Q1047" s="101">
        <v>30.537318160765768</v>
      </c>
      <c r="R1047" s="100">
        <v>12</v>
      </c>
    </row>
    <row r="1048" spans="15:18" x14ac:dyDescent="0.2">
      <c r="O1048" s="103">
        <v>250</v>
      </c>
      <c r="P1048" s="102">
        <v>2021</v>
      </c>
      <c r="Q1048" s="101">
        <v>35.768082475269793</v>
      </c>
      <c r="R1048" s="100">
        <v>12</v>
      </c>
    </row>
    <row r="1049" spans="15:18" x14ac:dyDescent="0.2">
      <c r="O1049" s="103">
        <v>7.8</v>
      </c>
      <c r="P1049" s="102">
        <v>2021</v>
      </c>
      <c r="Q1049" s="101">
        <v>38.392322689032788</v>
      </c>
      <c r="R1049" s="100">
        <v>12</v>
      </c>
    </row>
    <row r="1050" spans="15:18" x14ac:dyDescent="0.2">
      <c r="O1050" s="103">
        <v>80</v>
      </c>
      <c r="P1050" s="102">
        <v>2021</v>
      </c>
      <c r="Q1050" s="101">
        <v>28.728777108414036</v>
      </c>
      <c r="R1050" s="100">
        <v>12</v>
      </c>
    </row>
    <row r="1051" spans="15:18" x14ac:dyDescent="0.2">
      <c r="O1051" s="103">
        <v>74.5</v>
      </c>
      <c r="P1051" s="102">
        <v>2021</v>
      </c>
      <c r="Q1051" s="101">
        <v>35.120576647178083</v>
      </c>
      <c r="R1051" s="100">
        <v>12</v>
      </c>
    </row>
    <row r="1052" spans="15:18" x14ac:dyDescent="0.2">
      <c r="O1052" s="103">
        <v>100</v>
      </c>
      <c r="P1052" s="102">
        <v>2021</v>
      </c>
      <c r="Q1052" s="101">
        <v>33.435500301812155</v>
      </c>
      <c r="R1052" s="100">
        <v>12</v>
      </c>
    </row>
    <row r="1053" spans="15:18" x14ac:dyDescent="0.2">
      <c r="O1053" s="103">
        <v>74.5</v>
      </c>
      <c r="P1053" s="102">
        <v>2021</v>
      </c>
      <c r="Q1053" s="101">
        <v>34.983475814345177</v>
      </c>
      <c r="R1053" s="100">
        <v>12</v>
      </c>
    </row>
    <row r="1054" spans="15:18" x14ac:dyDescent="0.2">
      <c r="O1054" s="103">
        <v>6.9</v>
      </c>
      <c r="P1054" s="102">
        <v>2021</v>
      </c>
      <c r="Q1054" s="101">
        <v>53.961248679823441</v>
      </c>
      <c r="R1054" s="100">
        <v>12</v>
      </c>
    </row>
    <row r="1055" spans="15:18" x14ac:dyDescent="0.2">
      <c r="O1055" s="103">
        <v>9.5</v>
      </c>
      <c r="P1055" s="102">
        <v>2021</v>
      </c>
      <c r="Q1055" s="101">
        <v>37.282896274944676</v>
      </c>
      <c r="R1055" s="100">
        <v>12</v>
      </c>
    </row>
    <row r="1056" spans="15:18" x14ac:dyDescent="0.2">
      <c r="O1056" s="103">
        <v>150</v>
      </c>
      <c r="P1056" s="102">
        <v>2021</v>
      </c>
      <c r="Q1056" s="101">
        <v>29.759362465125641</v>
      </c>
      <c r="R1056" s="100">
        <v>12</v>
      </c>
    </row>
    <row r="1057" spans="15:18" x14ac:dyDescent="0.2">
      <c r="O1057" s="103">
        <v>213</v>
      </c>
      <c r="P1057" s="102">
        <v>2021</v>
      </c>
      <c r="Q1057" s="101">
        <v>31.558046836705003</v>
      </c>
      <c r="R1057" s="100">
        <v>12</v>
      </c>
    </row>
    <row r="1058" spans="15:18" x14ac:dyDescent="0.2">
      <c r="O1058" s="103">
        <v>20</v>
      </c>
      <c r="P1058" s="102">
        <v>2021</v>
      </c>
      <c r="Q1058" s="101">
        <v>43.979988401563631</v>
      </c>
      <c r="R1058" s="100">
        <v>12</v>
      </c>
    </row>
    <row r="1059" spans="15:18" x14ac:dyDescent="0.2">
      <c r="O1059" s="103">
        <v>74.5</v>
      </c>
      <c r="P1059" s="102">
        <v>2021</v>
      </c>
      <c r="Q1059" s="101">
        <v>34.484501558358396</v>
      </c>
      <c r="R1059" s="100">
        <v>12</v>
      </c>
    </row>
    <row r="1060" spans="15:18" x14ac:dyDescent="0.2">
      <c r="O1060" s="103">
        <v>74.5</v>
      </c>
      <c r="P1060" s="102">
        <v>2021</v>
      </c>
      <c r="Q1060" s="101">
        <v>31.952091198758943</v>
      </c>
      <c r="R1060" s="100">
        <v>12</v>
      </c>
    </row>
    <row r="1061" spans="15:18" x14ac:dyDescent="0.2">
      <c r="O1061" s="103">
        <v>74.5</v>
      </c>
      <c r="P1061" s="102">
        <v>2021</v>
      </c>
      <c r="Q1061" s="101">
        <v>31.089844111851445</v>
      </c>
      <c r="R1061" s="100">
        <v>12</v>
      </c>
    </row>
    <row r="1062" spans="15:18" x14ac:dyDescent="0.2">
      <c r="O1062" s="103">
        <v>74.5</v>
      </c>
      <c r="P1062" s="102">
        <v>2021</v>
      </c>
      <c r="Q1062" s="101">
        <v>33.248035778285768</v>
      </c>
      <c r="R1062" s="100">
        <v>12</v>
      </c>
    </row>
    <row r="1063" spans="15:18" x14ac:dyDescent="0.2">
      <c r="O1063" s="103">
        <v>74.5</v>
      </c>
      <c r="P1063" s="102">
        <v>2021</v>
      </c>
      <c r="Q1063" s="101">
        <v>34.087322352602733</v>
      </c>
      <c r="R1063" s="100">
        <v>12</v>
      </c>
    </row>
    <row r="1064" spans="15:18" x14ac:dyDescent="0.2">
      <c r="O1064" s="103">
        <v>74.5</v>
      </c>
      <c r="P1064" s="102">
        <v>2021</v>
      </c>
      <c r="Q1064" s="101">
        <v>36.856857436058732</v>
      </c>
      <c r="R1064" s="100">
        <v>12</v>
      </c>
    </row>
    <row r="1065" spans="15:18" x14ac:dyDescent="0.2">
      <c r="O1065" s="103">
        <v>100</v>
      </c>
      <c r="P1065" s="102">
        <v>2021</v>
      </c>
      <c r="Q1065" s="101">
        <v>21.329767806499156</v>
      </c>
      <c r="R1065" s="100">
        <v>12</v>
      </c>
    </row>
    <row r="1066" spans="15:18" x14ac:dyDescent="0.2">
      <c r="O1066" s="103">
        <v>20</v>
      </c>
      <c r="P1066" s="102">
        <v>2021</v>
      </c>
      <c r="Q1066" s="101">
        <v>26.736676314659075</v>
      </c>
      <c r="R1066" s="100">
        <v>12</v>
      </c>
    </row>
    <row r="1067" spans="15:18" x14ac:dyDescent="0.2">
      <c r="O1067" s="103">
        <v>46.2</v>
      </c>
      <c r="P1067" s="102">
        <v>2021</v>
      </c>
      <c r="Q1067" s="101">
        <v>26.021457850943158</v>
      </c>
      <c r="R1067" s="100">
        <v>12</v>
      </c>
    </row>
    <row r="1068" spans="15:18" x14ac:dyDescent="0.2">
      <c r="O1068" s="103">
        <v>71.400000000000006</v>
      </c>
      <c r="P1068" s="102">
        <v>2021</v>
      </c>
      <c r="Q1068" s="101">
        <v>24.502520767585992</v>
      </c>
      <c r="R1068" s="100">
        <v>12</v>
      </c>
    </row>
    <row r="1069" spans="15:18" x14ac:dyDescent="0.2">
      <c r="O1069" s="103">
        <v>250</v>
      </c>
      <c r="P1069" s="102">
        <v>2022</v>
      </c>
      <c r="Q1069" s="101">
        <v>26.333106627106485</v>
      </c>
      <c r="R1069" s="100">
        <v>13</v>
      </c>
    </row>
    <row r="1070" spans="15:18" x14ac:dyDescent="0.2">
      <c r="O1070" s="103">
        <v>51</v>
      </c>
      <c r="P1070" s="102">
        <v>2022</v>
      </c>
      <c r="Q1070" s="101">
        <v>31.453312901645386</v>
      </c>
      <c r="R1070" s="100">
        <v>13</v>
      </c>
    </row>
    <row r="1071" spans="15:18" x14ac:dyDescent="0.2">
      <c r="O1071" s="103">
        <v>203</v>
      </c>
      <c r="P1071" s="102">
        <v>2022</v>
      </c>
      <c r="Q1071" s="101">
        <v>28.478581768814426</v>
      </c>
      <c r="R1071" s="100">
        <v>13</v>
      </c>
    </row>
    <row r="1072" spans="15:18" x14ac:dyDescent="0.2">
      <c r="O1072" s="103">
        <v>200</v>
      </c>
      <c r="P1072" s="102">
        <v>2022</v>
      </c>
      <c r="Q1072" s="101">
        <v>29.038378578436067</v>
      </c>
      <c r="R1072" s="100">
        <v>13</v>
      </c>
    </row>
    <row r="1073" spans="15:18" x14ac:dyDescent="0.2">
      <c r="O1073" s="103">
        <v>250</v>
      </c>
      <c r="P1073" s="102">
        <v>2022</v>
      </c>
      <c r="Q1073" s="101">
        <v>29.5449597218531</v>
      </c>
      <c r="R1073" s="100">
        <v>13</v>
      </c>
    </row>
    <row r="1074" spans="15:18" x14ac:dyDescent="0.2">
      <c r="O1074" s="103">
        <v>57.6</v>
      </c>
      <c r="P1074" s="102">
        <v>2022</v>
      </c>
      <c r="Q1074" s="101">
        <v>34.725731294570039</v>
      </c>
      <c r="R1074" s="100">
        <v>13</v>
      </c>
    </row>
    <row r="1075" spans="15:18" x14ac:dyDescent="0.2">
      <c r="O1075" s="103">
        <v>165</v>
      </c>
      <c r="P1075" s="102">
        <v>2022</v>
      </c>
      <c r="Q1075" s="101">
        <v>31.920753547842814</v>
      </c>
      <c r="R1075" s="100">
        <v>13</v>
      </c>
    </row>
    <row r="1076" spans="15:18" x14ac:dyDescent="0.2">
      <c r="O1076" s="103">
        <v>20</v>
      </c>
      <c r="P1076" s="102">
        <v>2022</v>
      </c>
      <c r="Q1076" s="101">
        <v>33.732453655917134</v>
      </c>
      <c r="R1076" s="100">
        <v>13</v>
      </c>
    </row>
    <row r="1077" spans="15:18" x14ac:dyDescent="0.2">
      <c r="O1077" s="103">
        <v>7.8</v>
      </c>
      <c r="P1077" s="102">
        <v>2022</v>
      </c>
      <c r="Q1077" s="101">
        <v>27.977021962333602</v>
      </c>
      <c r="R1077" s="100">
        <v>13</v>
      </c>
    </row>
    <row r="1078" spans="15:18" x14ac:dyDescent="0.2">
      <c r="O1078" s="103">
        <v>6.8</v>
      </c>
      <c r="P1078" s="102">
        <v>2022</v>
      </c>
      <c r="Q1078" s="101">
        <v>34.715489600795458</v>
      </c>
      <c r="R1078" s="100">
        <v>13</v>
      </c>
    </row>
    <row r="1079" spans="15:18" x14ac:dyDescent="0.2">
      <c r="O1079" s="103">
        <v>79</v>
      </c>
      <c r="P1079" s="102">
        <v>2022</v>
      </c>
      <c r="Q1079" s="101">
        <v>39.574491635544312</v>
      </c>
      <c r="R1079" s="100">
        <v>13</v>
      </c>
    </row>
    <row r="1080" spans="15:18" x14ac:dyDescent="0.2">
      <c r="O1080" s="103">
        <v>74.5</v>
      </c>
      <c r="P1080" s="102">
        <v>2022</v>
      </c>
      <c r="Q1080" s="101">
        <v>35.378792115127467</v>
      </c>
      <c r="R1080" s="100">
        <v>13</v>
      </c>
    </row>
    <row r="1081" spans="15:18" x14ac:dyDescent="0.2">
      <c r="O1081" s="103">
        <v>100</v>
      </c>
      <c r="P1081" s="102">
        <v>2022</v>
      </c>
      <c r="Q1081" s="101">
        <v>34.902776544959096</v>
      </c>
      <c r="R1081" s="100">
        <v>13</v>
      </c>
    </row>
    <row r="1082" spans="15:18" x14ac:dyDescent="0.2">
      <c r="O1082" s="103">
        <v>20</v>
      </c>
      <c r="P1082" s="102">
        <v>2022</v>
      </c>
      <c r="Q1082" s="101">
        <v>42.070102681320051</v>
      </c>
      <c r="R1082" s="100">
        <v>13</v>
      </c>
    </row>
    <row r="1083" spans="15:18" x14ac:dyDescent="0.2">
      <c r="O1083" s="103">
        <v>20</v>
      </c>
      <c r="P1083" s="102">
        <v>2022</v>
      </c>
      <c r="Q1083" s="101">
        <v>41.97811854918092</v>
      </c>
      <c r="R1083" s="100">
        <v>13</v>
      </c>
    </row>
    <row r="1084" spans="15:18" x14ac:dyDescent="0.2">
      <c r="O1084" s="103">
        <v>74.5</v>
      </c>
      <c r="P1084" s="102">
        <v>2022</v>
      </c>
      <c r="Q1084" s="101">
        <v>35.934367854509482</v>
      </c>
      <c r="R1084" s="100">
        <v>13</v>
      </c>
    </row>
    <row r="1085" spans="15:18" x14ac:dyDescent="0.2">
      <c r="O1085" s="103">
        <v>74.5</v>
      </c>
      <c r="P1085" s="102">
        <v>2022</v>
      </c>
      <c r="Q1085" s="101">
        <v>35.384252211945572</v>
      </c>
      <c r="R1085" s="100">
        <v>13</v>
      </c>
    </row>
    <row r="1086" spans="15:18" x14ac:dyDescent="0.2">
      <c r="O1086" s="103">
        <v>100</v>
      </c>
      <c r="P1086" s="102">
        <v>2022</v>
      </c>
      <c r="Q1086" s="101">
        <v>30.051930053106975</v>
      </c>
      <c r="R1086" s="100">
        <v>13</v>
      </c>
    </row>
    <row r="1087" spans="15:18" x14ac:dyDescent="0.2">
      <c r="O1087" s="103">
        <v>74.5</v>
      </c>
      <c r="P1087" s="102">
        <v>2022</v>
      </c>
      <c r="Q1087" s="101">
        <v>36.573888209038586</v>
      </c>
      <c r="R1087" s="100">
        <v>13</v>
      </c>
    </row>
    <row r="1088" spans="15:18" x14ac:dyDescent="0.2">
      <c r="O1088" s="103">
        <v>74.5</v>
      </c>
      <c r="P1088" s="102">
        <v>2022</v>
      </c>
      <c r="Q1088" s="101">
        <v>36.763681996784221</v>
      </c>
      <c r="R1088" s="100">
        <v>13</v>
      </c>
    </row>
    <row r="1089" spans="15:18" x14ac:dyDescent="0.2">
      <c r="O1089" s="103">
        <v>74.5</v>
      </c>
      <c r="P1089" s="102">
        <v>2022</v>
      </c>
      <c r="Q1089" s="101">
        <v>36.85473623866659</v>
      </c>
      <c r="R1089" s="100">
        <v>13</v>
      </c>
    </row>
    <row r="1090" spans="15:18" x14ac:dyDescent="0.2">
      <c r="O1090" s="103">
        <v>200</v>
      </c>
      <c r="P1090" s="102">
        <v>2022</v>
      </c>
      <c r="Q1090" s="101">
        <v>32.163123462753987</v>
      </c>
      <c r="R1090" s="100">
        <v>13</v>
      </c>
    </row>
    <row r="1091" spans="15:18" x14ac:dyDescent="0.2">
      <c r="O1091" s="103">
        <v>250</v>
      </c>
      <c r="P1091" s="102">
        <v>2022</v>
      </c>
      <c r="Q1091" s="101">
        <v>35.33413982480878</v>
      </c>
      <c r="R1091" s="100">
        <v>13</v>
      </c>
    </row>
    <row r="1092" spans="15:18" x14ac:dyDescent="0.2">
      <c r="O1092" s="103">
        <v>250</v>
      </c>
      <c r="P1092" s="102">
        <v>2022</v>
      </c>
      <c r="Q1092" s="101">
        <v>35.33413982480878</v>
      </c>
      <c r="R1092" s="100">
        <v>13</v>
      </c>
    </row>
    <row r="1093" spans="15:18" x14ac:dyDescent="0.2">
      <c r="O1093" s="103">
        <v>20</v>
      </c>
      <c r="P1093" s="102">
        <v>2022</v>
      </c>
      <c r="Q1093" s="101">
        <v>42.929329889901538</v>
      </c>
      <c r="R1093" s="100">
        <v>13</v>
      </c>
    </row>
    <row r="1094" spans="15:18" x14ac:dyDescent="0.2">
      <c r="O1094" s="103">
        <v>61.2</v>
      </c>
      <c r="P1094" s="102">
        <v>2022</v>
      </c>
      <c r="Q1094" s="101">
        <v>38.389848834567886</v>
      </c>
      <c r="R1094" s="100">
        <v>13</v>
      </c>
    </row>
    <row r="1095" spans="15:18" x14ac:dyDescent="0.2">
      <c r="O1095" s="103">
        <v>110.9</v>
      </c>
      <c r="P1095" s="102">
        <v>2022</v>
      </c>
      <c r="Q1095" s="101">
        <v>35.943089835219808</v>
      </c>
      <c r="R1095" s="100">
        <v>13</v>
      </c>
    </row>
    <row r="1096" spans="15:18" x14ac:dyDescent="0.2">
      <c r="O1096" s="103">
        <v>74.5</v>
      </c>
      <c r="P1096" s="102">
        <v>2022</v>
      </c>
      <c r="Q1096" s="101">
        <v>39.402780699053665</v>
      </c>
      <c r="R1096" s="100">
        <v>13</v>
      </c>
    </row>
    <row r="1097" spans="15:18" x14ac:dyDescent="0.2">
      <c r="O1097" s="103">
        <v>6.7</v>
      </c>
      <c r="P1097" s="102">
        <v>2022</v>
      </c>
      <c r="Q1097" s="101">
        <v>43.913042215894812</v>
      </c>
      <c r="R1097" s="100">
        <v>13</v>
      </c>
    </row>
    <row r="1098" spans="15:18" x14ac:dyDescent="0.2">
      <c r="O1098" s="103">
        <v>20</v>
      </c>
      <c r="P1098" s="102">
        <v>2022</v>
      </c>
      <c r="Q1098" s="101">
        <v>33.419383144704057</v>
      </c>
      <c r="R1098" s="100">
        <v>13</v>
      </c>
    </row>
    <row r="1099" spans="15:18" x14ac:dyDescent="0.2">
      <c r="O1099" s="103">
        <v>8.1999999999999993</v>
      </c>
      <c r="P1099" s="102">
        <v>2022</v>
      </c>
      <c r="Q1099" s="101">
        <v>41.117290234291183</v>
      </c>
      <c r="R1099" s="100">
        <v>13</v>
      </c>
    </row>
    <row r="1100" spans="15:18" x14ac:dyDescent="0.2">
      <c r="O1100" s="103">
        <v>74.5</v>
      </c>
      <c r="P1100" s="102">
        <v>2022</v>
      </c>
      <c r="Q1100" s="101">
        <v>40.430339508817504</v>
      </c>
      <c r="R1100" s="100">
        <v>13</v>
      </c>
    </row>
    <row r="1101" spans="15:18" x14ac:dyDescent="0.2">
      <c r="O1101" s="103">
        <v>57</v>
      </c>
      <c r="P1101" s="102">
        <v>2022</v>
      </c>
      <c r="Q1101" s="101">
        <v>44.218195483385074</v>
      </c>
      <c r="R1101" s="100">
        <v>13</v>
      </c>
    </row>
    <row r="1102" spans="15:18" x14ac:dyDescent="0.2">
      <c r="O1102" s="103">
        <v>79.599999999999994</v>
      </c>
      <c r="P1102" s="102">
        <v>2022</v>
      </c>
      <c r="Q1102" s="101">
        <v>47.7899572525316</v>
      </c>
      <c r="R1102" s="100">
        <v>13</v>
      </c>
    </row>
    <row r="1103" spans="15:18" x14ac:dyDescent="0.2">
      <c r="O1103" s="103">
        <v>7</v>
      </c>
      <c r="P1103" s="102">
        <v>2022</v>
      </c>
      <c r="Q1103" s="101">
        <v>53.720536231467406</v>
      </c>
      <c r="R1103" s="100">
        <v>13</v>
      </c>
    </row>
    <row r="1104" spans="15:18" x14ac:dyDescent="0.2">
      <c r="O1104" s="103">
        <v>45.8</v>
      </c>
      <c r="P1104" s="102">
        <v>2022</v>
      </c>
      <c r="Q1104" s="101">
        <v>42.051699932265457</v>
      </c>
      <c r="R1104" s="100">
        <v>13</v>
      </c>
    </row>
    <row r="1105" spans="15:18" x14ac:dyDescent="0.2">
      <c r="O1105" s="103">
        <v>149</v>
      </c>
      <c r="P1105" s="102">
        <v>2022</v>
      </c>
      <c r="Q1105" s="101">
        <v>49.248131445431177</v>
      </c>
      <c r="R1105" s="100">
        <v>13</v>
      </c>
    </row>
    <row r="1106" spans="15:18" x14ac:dyDescent="0.2">
      <c r="O1106" s="103">
        <v>55</v>
      </c>
      <c r="P1106" s="102">
        <v>2022</v>
      </c>
      <c r="Q1106" s="101">
        <v>43.206727603655132</v>
      </c>
      <c r="R1106" s="100">
        <v>13</v>
      </c>
    </row>
    <row r="1107" spans="15:18" x14ac:dyDescent="0.2">
      <c r="O1107" s="103">
        <v>54.6</v>
      </c>
      <c r="P1107" s="102">
        <v>2022</v>
      </c>
      <c r="Q1107" s="101">
        <v>43.482139290432414</v>
      </c>
      <c r="R1107" s="100">
        <v>13</v>
      </c>
    </row>
    <row r="1108" spans="15:18" x14ac:dyDescent="0.2">
      <c r="O1108" s="103">
        <v>7.5</v>
      </c>
      <c r="P1108" s="102">
        <v>2022</v>
      </c>
      <c r="Q1108" s="101">
        <v>49.384589085231553</v>
      </c>
      <c r="R1108" s="100">
        <v>13</v>
      </c>
    </row>
    <row r="1109" spans="15:18" x14ac:dyDescent="0.2">
      <c r="O1109" s="103">
        <v>6.8</v>
      </c>
      <c r="P1109" s="102">
        <v>2022</v>
      </c>
      <c r="Q1109" s="101">
        <v>49.807928240775368</v>
      </c>
      <c r="R1109" s="100">
        <v>13</v>
      </c>
    </row>
    <row r="1110" spans="15:18" x14ac:dyDescent="0.2">
      <c r="O1110" s="103">
        <v>74.900000000000006</v>
      </c>
      <c r="P1110" s="102">
        <v>2022</v>
      </c>
      <c r="Q1110" s="101">
        <v>47.288522743490518</v>
      </c>
      <c r="R1110" s="100">
        <v>13</v>
      </c>
    </row>
    <row r="1111" spans="15:18" x14ac:dyDescent="0.2">
      <c r="O1111" s="103">
        <v>24</v>
      </c>
      <c r="P1111" s="102">
        <v>2022</v>
      </c>
      <c r="Q1111" s="101">
        <v>53.076118333404828</v>
      </c>
      <c r="R1111" s="100">
        <v>13</v>
      </c>
    </row>
    <row r="1112" spans="15:18" x14ac:dyDescent="0.2">
      <c r="O1112" s="103">
        <v>120</v>
      </c>
      <c r="P1112" s="102">
        <v>2022</v>
      </c>
      <c r="Q1112" s="101">
        <v>53.642984256237327</v>
      </c>
      <c r="R1112" s="100">
        <v>13</v>
      </c>
    </row>
    <row r="1113" spans="15:18" x14ac:dyDescent="0.2">
      <c r="O1113" s="103">
        <v>100</v>
      </c>
      <c r="P1113" s="102">
        <v>2022</v>
      </c>
      <c r="Q1113" s="101">
        <v>53.975882893319742</v>
      </c>
      <c r="R1113" s="100">
        <v>13</v>
      </c>
    </row>
    <row r="1114" spans="15:18" x14ac:dyDescent="0.2">
      <c r="O1114" s="103">
        <v>150</v>
      </c>
      <c r="P1114" s="102">
        <v>2022</v>
      </c>
      <c r="Q1114" s="101">
        <v>55.757239757725458</v>
      </c>
      <c r="R1114" s="100">
        <v>13</v>
      </c>
    </row>
    <row r="1115" spans="15:18" x14ac:dyDescent="0.2">
      <c r="O1115" s="103">
        <v>20</v>
      </c>
      <c r="P1115" s="102">
        <v>2022</v>
      </c>
      <c r="Q1115" s="101">
        <v>56.287947139639286</v>
      </c>
      <c r="R1115" s="100">
        <v>13</v>
      </c>
    </row>
    <row r="1116" spans="15:18" x14ac:dyDescent="0.2">
      <c r="O1116" s="103">
        <v>150</v>
      </c>
      <c r="P1116" s="102">
        <v>2022</v>
      </c>
      <c r="Q1116" s="101">
        <v>56.663446421113441</v>
      </c>
      <c r="R1116" s="100">
        <v>13</v>
      </c>
    </row>
    <row r="1117" spans="15:18" x14ac:dyDescent="0.2">
      <c r="O1117" s="103">
        <v>50</v>
      </c>
      <c r="P1117" s="102">
        <v>2022</v>
      </c>
      <c r="Q1117" s="101">
        <v>56.425045653415808</v>
      </c>
      <c r="R1117" s="100">
        <v>13</v>
      </c>
    </row>
    <row r="1118" spans="15:18" x14ac:dyDescent="0.2">
      <c r="O1118" s="103">
        <v>250</v>
      </c>
      <c r="P1118" s="102">
        <v>2022</v>
      </c>
      <c r="Q1118" s="101">
        <v>45.41465407919641</v>
      </c>
      <c r="R1118" s="100">
        <v>13</v>
      </c>
    </row>
    <row r="1119" spans="15:18" x14ac:dyDescent="0.2">
      <c r="O1119" s="103">
        <v>50</v>
      </c>
      <c r="P1119" s="102">
        <v>2022</v>
      </c>
      <c r="Q1119" s="101">
        <v>57.795644857645158</v>
      </c>
      <c r="R1119" s="100">
        <v>13</v>
      </c>
    </row>
    <row r="1120" spans="15:18" x14ac:dyDescent="0.2">
      <c r="O1120" s="103">
        <v>7</v>
      </c>
      <c r="P1120" s="102">
        <v>2022</v>
      </c>
      <c r="Q1120" s="101">
        <v>59.614095652178761</v>
      </c>
      <c r="R1120" s="100">
        <v>13</v>
      </c>
    </row>
    <row r="1121" spans="15:18" x14ac:dyDescent="0.2">
      <c r="O1121" s="103">
        <v>5.0010000000000003</v>
      </c>
      <c r="P1121" s="102">
        <v>2022</v>
      </c>
      <c r="Q1121" s="101">
        <v>64.353237937480046</v>
      </c>
      <c r="R1121" s="100">
        <v>13</v>
      </c>
    </row>
    <row r="1122" spans="15:18" x14ac:dyDescent="0.2">
      <c r="O1122" s="103">
        <v>5.7</v>
      </c>
      <c r="P1122" s="102">
        <v>2022</v>
      </c>
      <c r="Q1122" s="101">
        <v>60.896330903341848</v>
      </c>
      <c r="R1122" s="100">
        <v>13</v>
      </c>
    </row>
    <row r="1123" spans="15:18" x14ac:dyDescent="0.2">
      <c r="O1123" s="103">
        <v>59.6</v>
      </c>
      <c r="P1123" s="102">
        <v>2022</v>
      </c>
      <c r="Q1123" s="101">
        <v>63.571283954797941</v>
      </c>
      <c r="R1123" s="100">
        <v>13</v>
      </c>
    </row>
    <row r="1124" spans="15:18" x14ac:dyDescent="0.2">
      <c r="O1124" s="103">
        <v>10</v>
      </c>
      <c r="P1124" s="102">
        <v>2022</v>
      </c>
      <c r="Q1124" s="101">
        <v>69.061586063443855</v>
      </c>
      <c r="R1124" s="100">
        <v>13</v>
      </c>
    </row>
    <row r="1125" spans="15:18" x14ac:dyDescent="0.2">
      <c r="O1125" s="103">
        <v>10.8</v>
      </c>
      <c r="P1125" s="102">
        <v>2022</v>
      </c>
      <c r="Q1125" s="101">
        <v>59.48538846329911</v>
      </c>
      <c r="R1125" s="100">
        <v>13</v>
      </c>
    </row>
    <row r="1126" spans="15:18" x14ac:dyDescent="0.2">
      <c r="O1126" s="103">
        <v>6.5</v>
      </c>
      <c r="P1126" s="102">
        <v>2022</v>
      </c>
      <c r="Q1126" s="101">
        <v>73.795717609460837</v>
      </c>
      <c r="R1126" s="100">
        <v>13</v>
      </c>
    </row>
    <row r="1127" spans="15:18" x14ac:dyDescent="0.2">
      <c r="O1127" s="99">
        <v>12.5</v>
      </c>
      <c r="P1127" s="98">
        <v>2022</v>
      </c>
      <c r="Q1127" s="97">
        <v>53.345255127278236</v>
      </c>
      <c r="R1127" s="96">
        <v>13</v>
      </c>
    </row>
  </sheetData>
  <pageMargins left="0.75" right="0.75" top="1" bottom="1" header="0.5" footer="0.5"/>
  <pageSetup orientation="portrait"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81BFC-4076-4344-AE3B-0580DF2028F0}">
  <sheetPr codeName="Sheet61">
    <tabColor theme="7" tint="0.39997558519241921"/>
  </sheetPr>
  <dimension ref="A1:AH43"/>
  <sheetViews>
    <sheetView zoomScale="80" zoomScaleNormal="80" workbookViewId="0"/>
  </sheetViews>
  <sheetFormatPr defaultColWidth="8.7109375" defaultRowHeight="12.75" x14ac:dyDescent="0.2"/>
  <cols>
    <col min="1" max="1" width="11.42578125" style="48" customWidth="1"/>
    <col min="2" max="2" width="10.140625" style="48" bestFit="1" customWidth="1"/>
    <col min="3" max="3" width="7.5703125" style="48" bestFit="1" customWidth="1"/>
    <col min="4" max="4" width="12.85546875" style="48" bestFit="1" customWidth="1"/>
    <col min="5" max="5" width="13.140625" style="48" bestFit="1" customWidth="1"/>
    <col min="6" max="9" width="13.140625" style="48" customWidth="1"/>
    <col min="10" max="10" width="7" style="48" customWidth="1"/>
    <col min="11" max="11" width="12.85546875" style="48" bestFit="1" customWidth="1"/>
    <col min="12" max="12" width="13.140625" style="48" bestFit="1" customWidth="1"/>
    <col min="13" max="13" width="13.28515625" style="48" bestFit="1" customWidth="1"/>
    <col min="14" max="19" width="8.7109375" style="48"/>
    <col min="20" max="23" width="8.7109375" style="48" customWidth="1"/>
    <col min="24" max="16384" width="8.7109375" style="48"/>
  </cols>
  <sheetData>
    <row r="1" spans="1:1" ht="15" x14ac:dyDescent="0.25">
      <c r="A1" s="127" t="s">
        <v>455</v>
      </c>
    </row>
    <row r="22" spans="1:34" x14ac:dyDescent="0.2">
      <c r="A22" s="126" t="s">
        <v>439</v>
      </c>
      <c r="I22" s="125" t="s">
        <v>439</v>
      </c>
      <c r="L22" s="125"/>
      <c r="N22" s="125"/>
      <c r="P22" s="125"/>
      <c r="R22" s="125" t="s">
        <v>439</v>
      </c>
      <c r="AA22" s="125"/>
      <c r="AB22" s="124"/>
      <c r="AC22" s="125"/>
      <c r="AD22" s="124"/>
      <c r="AE22" s="124"/>
      <c r="AF22" s="124"/>
      <c r="AG22" s="124"/>
      <c r="AH22" s="124"/>
    </row>
    <row r="25" spans="1:34" x14ac:dyDescent="0.2">
      <c r="A25" s="138"/>
      <c r="B25" s="137"/>
      <c r="C25" s="137"/>
      <c r="D25" s="119" t="s">
        <v>454</v>
      </c>
      <c r="E25" s="119" t="s">
        <v>454</v>
      </c>
      <c r="F25" s="119" t="s">
        <v>454</v>
      </c>
      <c r="G25" s="119" t="s">
        <v>453</v>
      </c>
      <c r="H25" s="119" t="s">
        <v>453</v>
      </c>
      <c r="I25" s="119" t="s">
        <v>453</v>
      </c>
      <c r="J25" s="119"/>
      <c r="K25" s="137"/>
      <c r="L25" s="137"/>
      <c r="M25" s="136"/>
    </row>
    <row r="26" spans="1:34" x14ac:dyDescent="0.2">
      <c r="A26" s="103" t="s">
        <v>40</v>
      </c>
      <c r="B26" s="102" t="s">
        <v>40</v>
      </c>
      <c r="C26" s="102"/>
      <c r="D26" s="102" t="s">
        <v>452</v>
      </c>
      <c r="E26" s="102" t="s">
        <v>451</v>
      </c>
      <c r="F26" s="102" t="s">
        <v>450</v>
      </c>
      <c r="G26" s="102" t="s">
        <v>452</v>
      </c>
      <c r="H26" s="102" t="s">
        <v>451</v>
      </c>
      <c r="I26" s="102" t="s">
        <v>450</v>
      </c>
      <c r="J26" s="102"/>
      <c r="K26" s="102" t="s">
        <v>452</v>
      </c>
      <c r="L26" s="102" t="s">
        <v>451</v>
      </c>
      <c r="M26" s="100" t="s">
        <v>450</v>
      </c>
    </row>
    <row r="27" spans="1:34" x14ac:dyDescent="0.2">
      <c r="A27" s="103" t="s">
        <v>449</v>
      </c>
      <c r="B27" s="102" t="s">
        <v>449</v>
      </c>
      <c r="C27" s="102"/>
      <c r="D27" s="102" t="s">
        <v>40</v>
      </c>
      <c r="E27" s="102" t="s">
        <v>40</v>
      </c>
      <c r="F27" s="102" t="s">
        <v>40</v>
      </c>
      <c r="G27" s="102" t="s">
        <v>40</v>
      </c>
      <c r="H27" s="102" t="s">
        <v>40</v>
      </c>
      <c r="I27" s="102" t="s">
        <v>40</v>
      </c>
      <c r="J27" s="102"/>
      <c r="K27" s="102" t="s">
        <v>448</v>
      </c>
      <c r="L27" s="102" t="s">
        <v>448</v>
      </c>
      <c r="M27" s="100" t="s">
        <v>448</v>
      </c>
    </row>
    <row r="28" spans="1:34" x14ac:dyDescent="0.2">
      <c r="A28" s="103" t="s">
        <v>447</v>
      </c>
      <c r="B28" s="102" t="s">
        <v>446</v>
      </c>
      <c r="C28" s="102" t="s">
        <v>435</v>
      </c>
      <c r="D28" s="102" t="s">
        <v>445</v>
      </c>
      <c r="E28" s="102" t="s">
        <v>445</v>
      </c>
      <c r="F28" s="102" t="s">
        <v>445</v>
      </c>
      <c r="G28" s="102" t="s">
        <v>445</v>
      </c>
      <c r="H28" s="102" t="s">
        <v>445</v>
      </c>
      <c r="I28" s="102" t="s">
        <v>445</v>
      </c>
      <c r="J28" s="102"/>
      <c r="K28" s="102" t="s">
        <v>445</v>
      </c>
      <c r="L28" s="102" t="s">
        <v>445</v>
      </c>
      <c r="M28" s="100" t="s">
        <v>445</v>
      </c>
    </row>
    <row r="29" spans="1:34" x14ac:dyDescent="0.2">
      <c r="A29" s="99" t="s">
        <v>444</v>
      </c>
      <c r="B29" s="98" t="s">
        <v>443</v>
      </c>
      <c r="C29" s="98" t="s">
        <v>434</v>
      </c>
      <c r="D29" s="98" t="s">
        <v>442</v>
      </c>
      <c r="E29" s="98" t="s">
        <v>442</v>
      </c>
      <c r="F29" s="98" t="s">
        <v>442</v>
      </c>
      <c r="G29" s="98" t="s">
        <v>442</v>
      </c>
      <c r="H29" s="98" t="s">
        <v>442</v>
      </c>
      <c r="I29" s="98" t="s">
        <v>442</v>
      </c>
      <c r="J29" s="98"/>
      <c r="K29" s="98" t="s">
        <v>442</v>
      </c>
      <c r="L29" s="98" t="s">
        <v>442</v>
      </c>
      <c r="M29" s="96" t="s">
        <v>442</v>
      </c>
    </row>
    <row r="30" spans="1:34" x14ac:dyDescent="0.2">
      <c r="A30" s="135">
        <v>175.07</v>
      </c>
      <c r="B30" s="134">
        <v>10</v>
      </c>
      <c r="C30" s="102">
        <v>2010</v>
      </c>
      <c r="D30" s="133">
        <v>319.88689794915638</v>
      </c>
      <c r="E30" s="133">
        <v>254.7717783991688</v>
      </c>
      <c r="F30" s="133">
        <v>243.28343398120433</v>
      </c>
      <c r="G30" s="133">
        <v>211.46092130261394</v>
      </c>
      <c r="H30" s="133">
        <v>169.29333049213628</v>
      </c>
      <c r="I30" s="133">
        <v>161.84262831496289</v>
      </c>
      <c r="J30" s="133"/>
      <c r="K30" s="133">
        <v>213.41393043670851</v>
      </c>
      <c r="L30" s="133">
        <v>184.71406038238223</v>
      </c>
      <c r="M30" s="132">
        <v>180.80023941412725</v>
      </c>
    </row>
    <row r="31" spans="1:34" x14ac:dyDescent="0.2">
      <c r="A31" s="135">
        <v>422.75</v>
      </c>
      <c r="B31" s="134">
        <v>28</v>
      </c>
      <c r="C31" s="102">
        <v>2011</v>
      </c>
      <c r="D31" s="133">
        <v>225.94113668451112</v>
      </c>
      <c r="E31" s="133">
        <v>233.2635281065194</v>
      </c>
      <c r="F31" s="133">
        <v>225.77540211411443</v>
      </c>
      <c r="G31" s="133">
        <v>151.62925563173718</v>
      </c>
      <c r="H31" s="133">
        <v>155.5877222412991</v>
      </c>
      <c r="I31" s="133">
        <v>150.60753032819525</v>
      </c>
      <c r="J31" s="133"/>
      <c r="K31" s="133">
        <v>189.04224521908935</v>
      </c>
      <c r="L31" s="133">
        <v>198.78453959186777</v>
      </c>
      <c r="M31" s="132">
        <v>191.30393858826443</v>
      </c>
    </row>
    <row r="32" spans="1:34" x14ac:dyDescent="0.2">
      <c r="A32" s="135">
        <v>893.88400000000001</v>
      </c>
      <c r="B32" s="134">
        <v>39</v>
      </c>
      <c r="C32" s="102">
        <v>2012</v>
      </c>
      <c r="D32" s="133">
        <v>194.27680445688065</v>
      </c>
      <c r="E32" s="133">
        <v>172.7456797911893</v>
      </c>
      <c r="F32" s="133">
        <v>164.43366773382471</v>
      </c>
      <c r="G32" s="133">
        <v>129.3688706097445</v>
      </c>
      <c r="H32" s="133">
        <v>116.55212111520439</v>
      </c>
      <c r="I32" s="133">
        <v>111.07482805022744</v>
      </c>
      <c r="J32" s="133"/>
      <c r="K32" s="133">
        <v>144.2231206444506</v>
      </c>
      <c r="L32" s="133">
        <v>151.03216775644077</v>
      </c>
      <c r="M32" s="132">
        <v>149.15506987612935</v>
      </c>
    </row>
    <row r="33" spans="1:13" x14ac:dyDescent="0.2">
      <c r="A33" s="135">
        <v>1343.789</v>
      </c>
      <c r="B33" s="134">
        <v>38</v>
      </c>
      <c r="C33" s="102">
        <v>2013</v>
      </c>
      <c r="D33" s="133">
        <v>153.81089775977915</v>
      </c>
      <c r="E33" s="133">
        <v>161.04270391292886</v>
      </c>
      <c r="F33" s="133">
        <v>151.71784466209979</v>
      </c>
      <c r="G33" s="133">
        <v>102.48298450712691</v>
      </c>
      <c r="H33" s="133">
        <v>108.09866225535767</v>
      </c>
      <c r="I33" s="133">
        <v>101.84733287128211</v>
      </c>
      <c r="J33" s="133"/>
      <c r="K33" s="133">
        <v>139.66242075636242</v>
      </c>
      <c r="L33" s="133">
        <v>137.80335838261453</v>
      </c>
      <c r="M33" s="132">
        <v>138.2845240246105</v>
      </c>
    </row>
    <row r="34" spans="1:13" x14ac:dyDescent="0.2">
      <c r="A34" s="135">
        <v>3165.7835000000005</v>
      </c>
      <c r="B34" s="134">
        <v>63</v>
      </c>
      <c r="C34" s="102">
        <v>2014</v>
      </c>
      <c r="D34" s="133">
        <v>132.21016376831994</v>
      </c>
      <c r="E34" s="133">
        <v>147.40045785497804</v>
      </c>
      <c r="F34" s="133">
        <v>145.26002114214927</v>
      </c>
      <c r="G34" s="133">
        <v>89.960314149696174</v>
      </c>
      <c r="H34" s="133">
        <v>99.079520709508046</v>
      </c>
      <c r="I34" s="133">
        <v>97.576511482957102</v>
      </c>
      <c r="J34" s="133"/>
      <c r="K34" s="133">
        <v>108.34380196700363</v>
      </c>
      <c r="L34" s="133">
        <v>140.16872317958794</v>
      </c>
      <c r="M34" s="132">
        <v>139.42253274593</v>
      </c>
    </row>
    <row r="35" spans="1:13" x14ac:dyDescent="0.2">
      <c r="A35" s="135">
        <v>2839.6820000000002</v>
      </c>
      <c r="B35" s="134">
        <v>85</v>
      </c>
      <c r="C35" s="102">
        <v>2015</v>
      </c>
      <c r="D35" s="133">
        <v>109.27545818150826</v>
      </c>
      <c r="E35" s="133">
        <v>111.78021483972056</v>
      </c>
      <c r="F35" s="133">
        <v>109.34406258792184</v>
      </c>
      <c r="G35" s="133">
        <v>75.446731253505163</v>
      </c>
      <c r="H35" s="133">
        <v>76.398406643036111</v>
      </c>
      <c r="I35" s="133">
        <v>74.586874837648637</v>
      </c>
      <c r="J35" s="133"/>
      <c r="K35" s="133">
        <v>88.024684149958574</v>
      </c>
      <c r="L35" s="133">
        <v>103.05443711502049</v>
      </c>
      <c r="M35" s="132">
        <v>103.51630658867613</v>
      </c>
    </row>
    <row r="36" spans="1:13" x14ac:dyDescent="0.2">
      <c r="A36" s="135">
        <v>7377.193999999994</v>
      </c>
      <c r="B36" s="134">
        <v>145</v>
      </c>
      <c r="C36" s="102">
        <v>2016</v>
      </c>
      <c r="D36" s="133">
        <v>86.689531542009846</v>
      </c>
      <c r="E36" s="133">
        <v>86.009370792434325</v>
      </c>
      <c r="F36" s="133">
        <v>82.484646983776912</v>
      </c>
      <c r="G36" s="133">
        <v>60.566102429266373</v>
      </c>
      <c r="H36" s="133">
        <v>59.637070853445735</v>
      </c>
      <c r="I36" s="133">
        <v>57.217295213721734</v>
      </c>
      <c r="J36" s="133"/>
      <c r="K36" s="133">
        <v>59.338836266836473</v>
      </c>
      <c r="L36" s="133">
        <v>63.869659601342008</v>
      </c>
      <c r="M36" s="132">
        <v>63.905874244234447</v>
      </c>
    </row>
    <row r="37" spans="1:13" x14ac:dyDescent="0.2">
      <c r="A37" s="135">
        <v>3995.8230000000008</v>
      </c>
      <c r="B37" s="134">
        <v>160</v>
      </c>
      <c r="C37" s="102">
        <v>2017</v>
      </c>
      <c r="D37" s="133">
        <v>83.804403182510356</v>
      </c>
      <c r="E37" s="133">
        <v>82.515740509985676</v>
      </c>
      <c r="F37" s="133">
        <v>80.418651057823823</v>
      </c>
      <c r="G37" s="133">
        <v>58.61969679169043</v>
      </c>
      <c r="H37" s="133">
        <v>57.570016796264333</v>
      </c>
      <c r="I37" s="133">
        <v>56.084627213855327</v>
      </c>
      <c r="J37" s="133"/>
      <c r="K37" s="133">
        <v>52.446745948111499</v>
      </c>
      <c r="L37" s="133">
        <v>52.554135887103847</v>
      </c>
      <c r="M37" s="132">
        <v>51.967378188958854</v>
      </c>
    </row>
    <row r="38" spans="1:13" x14ac:dyDescent="0.2">
      <c r="A38" s="135">
        <v>3929.4160000000006</v>
      </c>
      <c r="B38" s="134">
        <v>93</v>
      </c>
      <c r="C38" s="102">
        <v>2018</v>
      </c>
      <c r="D38" s="133">
        <v>67.862522692929744</v>
      </c>
      <c r="E38" s="133">
        <v>65.772088794954414</v>
      </c>
      <c r="F38" s="133">
        <v>65.142027344016086</v>
      </c>
      <c r="G38" s="133">
        <v>50.156673183963342</v>
      </c>
      <c r="H38" s="133">
        <v>48.364555458248972</v>
      </c>
      <c r="I38" s="133">
        <v>47.835330975814308</v>
      </c>
      <c r="J38" s="133"/>
      <c r="K38" s="133">
        <v>50.184139063486363</v>
      </c>
      <c r="L38" s="133">
        <v>49.499462648186622</v>
      </c>
      <c r="M38" s="132">
        <v>47.778352254963423</v>
      </c>
    </row>
    <row r="39" spans="1:13" x14ac:dyDescent="0.2">
      <c r="A39" s="135">
        <v>4400.8100000000013</v>
      </c>
      <c r="B39" s="134">
        <v>99</v>
      </c>
      <c r="C39" s="102">
        <v>2019</v>
      </c>
      <c r="D39" s="133">
        <v>59.715118207146652</v>
      </c>
      <c r="E39" s="133">
        <v>56.907919203698718</v>
      </c>
      <c r="F39" s="133">
        <v>55.642154005232797</v>
      </c>
      <c r="G39" s="133">
        <v>44.179148808909638</v>
      </c>
      <c r="H39" s="133">
        <v>41.887683169363797</v>
      </c>
      <c r="I39" s="133">
        <v>40.956032522248854</v>
      </c>
      <c r="J39" s="133"/>
      <c r="K39" s="133">
        <v>38.935671876334965</v>
      </c>
      <c r="L39" s="133">
        <v>39.084634025075438</v>
      </c>
      <c r="M39" s="132">
        <v>38.091212947421269</v>
      </c>
    </row>
    <row r="40" spans="1:13" x14ac:dyDescent="0.2">
      <c r="A40" s="135">
        <v>9480.9430000000048</v>
      </c>
      <c r="B40" s="134">
        <v>159</v>
      </c>
      <c r="C40" s="102">
        <v>2020</v>
      </c>
      <c r="D40" s="133">
        <v>54.944913525891522</v>
      </c>
      <c r="E40" s="133">
        <v>49.459164506710906</v>
      </c>
      <c r="F40" s="133">
        <v>47.845113058159967</v>
      </c>
      <c r="G40" s="133">
        <v>40.532731891317219</v>
      </c>
      <c r="H40" s="133">
        <v>36.500465422921401</v>
      </c>
      <c r="I40" s="133">
        <v>35.327288800741456</v>
      </c>
      <c r="J40" s="133"/>
      <c r="K40" s="133">
        <v>28.526009117115095</v>
      </c>
      <c r="L40" s="133">
        <v>30.490437098217651</v>
      </c>
      <c r="M40" s="132">
        <v>30.137826594710759</v>
      </c>
    </row>
    <row r="41" spans="1:13" x14ac:dyDescent="0.2">
      <c r="A41" s="135">
        <v>11203.239999999998</v>
      </c>
      <c r="B41" s="134">
        <v>123</v>
      </c>
      <c r="C41" s="102">
        <v>2021</v>
      </c>
      <c r="D41" s="133">
        <v>42.892925324668759</v>
      </c>
      <c r="E41" s="133">
        <v>42.338787810421387</v>
      </c>
      <c r="F41" s="133">
        <v>41.311348628667623</v>
      </c>
      <c r="G41" s="133">
        <v>32.044088102870887</v>
      </c>
      <c r="H41" s="133">
        <v>31.3574703403279</v>
      </c>
      <c r="I41" s="133">
        <v>30.584070897078615</v>
      </c>
      <c r="J41" s="133"/>
      <c r="K41" s="133">
        <v>24.470778272851501</v>
      </c>
      <c r="L41" s="133">
        <v>24.916367460106905</v>
      </c>
      <c r="M41" s="132">
        <v>24.409140381687173</v>
      </c>
    </row>
    <row r="42" spans="1:13" x14ac:dyDescent="0.2">
      <c r="A42" s="135">
        <v>4621.5010000000002</v>
      </c>
      <c r="B42" s="134">
        <v>59</v>
      </c>
      <c r="C42" s="102">
        <v>2022</v>
      </c>
      <c r="D42" s="133">
        <v>42.051699932265457</v>
      </c>
      <c r="E42" s="133">
        <v>39.390566436764765</v>
      </c>
      <c r="F42" s="133">
        <v>38.788120950915207</v>
      </c>
      <c r="G42" s="133">
        <v>31.600947479896114</v>
      </c>
      <c r="H42" s="133">
        <v>29.342271684241137</v>
      </c>
      <c r="I42" s="133">
        <v>28.922258362656692</v>
      </c>
      <c r="J42" s="133"/>
      <c r="K42" s="133">
        <v>22.094557358551398</v>
      </c>
      <c r="L42" s="133">
        <v>22.265237003089563</v>
      </c>
      <c r="M42" s="132">
        <v>21.657558570126536</v>
      </c>
    </row>
    <row r="43" spans="1:13" x14ac:dyDescent="0.2">
      <c r="A43" s="131" t="s">
        <v>441</v>
      </c>
      <c r="B43" s="130" t="s">
        <v>441</v>
      </c>
      <c r="C43" s="98">
        <v>2023</v>
      </c>
      <c r="D43" s="129"/>
      <c r="E43" s="129"/>
      <c r="F43" s="129"/>
      <c r="G43" s="129"/>
      <c r="H43" s="129"/>
      <c r="I43" s="129"/>
      <c r="J43" s="129"/>
      <c r="K43" s="129">
        <v>24.208814286635786</v>
      </c>
      <c r="L43" s="129">
        <v>22.665356066842012</v>
      </c>
      <c r="M43" s="128">
        <v>21.645372240411675</v>
      </c>
    </row>
  </sheetData>
  <pageMargins left="0.75" right="0.75" top="1" bottom="1" header="0.5" footer="0.5"/>
  <pageSetup orientation="portrait" r:id="rId1"/>
  <headerFooter alignWithMargins="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ABF50-36BE-494A-8C2A-E23112FBDA03}">
  <sheetPr codeName="Sheet62">
    <tabColor theme="7" tint="0.39997558519241921"/>
  </sheetPr>
  <dimension ref="A1:A3"/>
  <sheetViews>
    <sheetView workbookViewId="0"/>
  </sheetViews>
  <sheetFormatPr defaultRowHeight="15" x14ac:dyDescent="0.25"/>
  <sheetData>
    <row r="1" spans="1:1" x14ac:dyDescent="0.25">
      <c r="A1" s="1" t="s">
        <v>46</v>
      </c>
    </row>
    <row r="2" spans="1:1" x14ac:dyDescent="0.25">
      <c r="A2" s="67" t="s">
        <v>457</v>
      </c>
    </row>
    <row r="3" spans="1:1" x14ac:dyDescent="0.25">
      <c r="A3" s="67" t="s">
        <v>456</v>
      </c>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19740-EDDB-4E5B-B102-2D2660BC9BFD}">
  <sheetPr codeName="Sheet63">
    <tabColor theme="7" tint="0.39997558519241921"/>
  </sheetPr>
  <dimension ref="A1:X50"/>
  <sheetViews>
    <sheetView zoomScale="75" zoomScaleNormal="75" workbookViewId="0"/>
  </sheetViews>
  <sheetFormatPr defaultColWidth="8.7109375" defaultRowHeight="12.75" x14ac:dyDescent="0.2"/>
  <cols>
    <col min="1" max="4" width="8.7109375" style="67"/>
    <col min="5" max="5" width="18.140625" style="67" customWidth="1"/>
    <col min="6" max="19" width="9.140625" style="67" customWidth="1"/>
    <col min="20" max="16384" width="8.7109375" style="67"/>
  </cols>
  <sheetData>
    <row r="1" spans="1:24" x14ac:dyDescent="0.2">
      <c r="A1" s="161"/>
      <c r="B1" s="160"/>
      <c r="C1" s="160"/>
      <c r="D1" s="160"/>
      <c r="E1" s="160"/>
      <c r="F1" s="160"/>
      <c r="G1" s="160"/>
      <c r="H1" s="160"/>
      <c r="I1" s="160"/>
      <c r="J1" s="160"/>
      <c r="K1" s="160"/>
      <c r="L1" s="160"/>
      <c r="M1" s="160"/>
      <c r="N1" s="160"/>
      <c r="O1" s="160"/>
      <c r="P1" s="160"/>
      <c r="Q1" s="160"/>
      <c r="R1" s="160"/>
      <c r="S1" s="159"/>
    </row>
    <row r="2" spans="1:24" x14ac:dyDescent="0.2">
      <c r="A2" s="158"/>
      <c r="B2" s="157"/>
      <c r="C2" s="157"/>
      <c r="D2" s="157"/>
      <c r="E2" s="157"/>
      <c r="F2" s="157"/>
      <c r="G2" s="157"/>
      <c r="H2" s="157"/>
      <c r="I2" s="157"/>
      <c r="J2" s="157"/>
      <c r="K2" s="157"/>
      <c r="L2" s="157"/>
      <c r="M2" s="157"/>
      <c r="N2" s="157"/>
      <c r="O2" s="157"/>
      <c r="P2" s="157"/>
      <c r="Q2" s="157"/>
      <c r="R2" s="157"/>
      <c r="S2" s="156"/>
    </row>
    <row r="3" spans="1:24" x14ac:dyDescent="0.2">
      <c r="A3" s="158"/>
      <c r="B3" s="157"/>
      <c r="C3" s="157"/>
      <c r="D3" s="157"/>
      <c r="E3" s="157"/>
      <c r="F3" s="157"/>
      <c r="G3" s="157"/>
      <c r="H3" s="157"/>
      <c r="I3" s="157"/>
      <c r="J3" s="157"/>
      <c r="K3" s="157"/>
      <c r="L3" s="157"/>
      <c r="M3" s="157"/>
      <c r="N3" s="157"/>
      <c r="O3" s="157"/>
      <c r="P3" s="157"/>
      <c r="Q3" s="157"/>
      <c r="R3" s="157"/>
      <c r="S3" s="156"/>
    </row>
    <row r="4" spans="1:24" x14ac:dyDescent="0.2">
      <c r="A4" s="158"/>
      <c r="B4" s="157"/>
      <c r="C4" s="157"/>
      <c r="D4" s="157"/>
      <c r="E4" s="157"/>
      <c r="F4" s="157"/>
      <c r="G4" s="157"/>
      <c r="H4" s="157"/>
      <c r="I4" s="157"/>
      <c r="J4" s="157"/>
      <c r="K4" s="157"/>
      <c r="L4" s="157"/>
      <c r="M4" s="157"/>
      <c r="N4" s="157"/>
      <c r="O4" s="157"/>
      <c r="P4" s="157"/>
      <c r="Q4" s="157"/>
      <c r="R4" s="157"/>
      <c r="S4" s="156"/>
    </row>
    <row r="5" spans="1:24" x14ac:dyDescent="0.2">
      <c r="A5" s="158"/>
      <c r="B5" s="157"/>
      <c r="C5" s="157"/>
      <c r="D5" s="157"/>
      <c r="E5" s="157"/>
      <c r="F5" s="157"/>
      <c r="G5" s="157"/>
      <c r="H5" s="157"/>
      <c r="I5" s="157"/>
      <c r="J5" s="157"/>
      <c r="K5" s="157"/>
      <c r="L5" s="157"/>
      <c r="M5" s="157"/>
      <c r="N5" s="157"/>
      <c r="O5" s="157"/>
      <c r="P5" s="157"/>
      <c r="Q5" s="157"/>
      <c r="R5" s="157"/>
      <c r="S5" s="156"/>
    </row>
    <row r="6" spans="1:24" x14ac:dyDescent="0.2">
      <c r="A6" s="158"/>
      <c r="B6" s="157"/>
      <c r="C6" s="157"/>
      <c r="D6" s="157"/>
      <c r="E6" s="157"/>
      <c r="F6" s="157"/>
      <c r="G6" s="157"/>
      <c r="H6" s="157"/>
      <c r="I6" s="157"/>
      <c r="J6" s="157"/>
      <c r="K6" s="157"/>
      <c r="L6" s="157"/>
      <c r="M6" s="157"/>
      <c r="N6" s="157"/>
      <c r="O6" s="157"/>
      <c r="P6" s="157"/>
      <c r="Q6" s="157"/>
      <c r="R6" s="157"/>
      <c r="S6" s="156"/>
    </row>
    <row r="7" spans="1:24" x14ac:dyDescent="0.2">
      <c r="A7" s="158"/>
      <c r="B7" s="157"/>
      <c r="C7" s="157"/>
      <c r="D7" s="157"/>
      <c r="E7" s="157"/>
      <c r="F7" s="157"/>
      <c r="G7" s="157"/>
      <c r="H7" s="157"/>
      <c r="I7" s="157"/>
      <c r="J7" s="157"/>
      <c r="K7" s="157"/>
      <c r="L7" s="157"/>
      <c r="M7" s="157"/>
      <c r="N7" s="157"/>
      <c r="O7" s="157"/>
      <c r="P7" s="157"/>
      <c r="Q7" s="157"/>
      <c r="R7" s="157"/>
      <c r="S7" s="156"/>
    </row>
    <row r="8" spans="1:24" x14ac:dyDescent="0.2">
      <c r="A8" s="158"/>
      <c r="B8" s="157"/>
      <c r="C8" s="157"/>
      <c r="D8" s="157"/>
      <c r="E8" s="157"/>
      <c r="F8" s="157"/>
      <c r="G8" s="157"/>
      <c r="H8" s="157"/>
      <c r="I8" s="157"/>
      <c r="J8" s="157"/>
      <c r="K8" s="157"/>
      <c r="L8" s="157"/>
      <c r="M8" s="157"/>
      <c r="N8" s="157"/>
      <c r="O8" s="157"/>
      <c r="P8" s="157"/>
      <c r="Q8" s="157"/>
      <c r="R8" s="157"/>
      <c r="S8" s="156"/>
    </row>
    <row r="9" spans="1:24" x14ac:dyDescent="0.2">
      <c r="A9" s="158"/>
      <c r="B9" s="157"/>
      <c r="C9" s="157"/>
      <c r="D9" s="157"/>
      <c r="E9" s="157"/>
      <c r="F9" s="157"/>
      <c r="G9" s="157"/>
      <c r="H9" s="157"/>
      <c r="I9" s="157"/>
      <c r="J9" s="157"/>
      <c r="K9" s="157"/>
      <c r="L9" s="157"/>
      <c r="M9" s="157"/>
      <c r="N9" s="157"/>
      <c r="O9" s="157"/>
      <c r="P9" s="157"/>
      <c r="Q9" s="157"/>
      <c r="R9" s="157"/>
      <c r="S9" s="156"/>
    </row>
    <row r="10" spans="1:24" x14ac:dyDescent="0.2">
      <c r="A10" s="158"/>
      <c r="B10" s="157"/>
      <c r="C10" s="157"/>
      <c r="D10" s="157"/>
      <c r="E10" s="157"/>
      <c r="F10" s="157"/>
      <c r="G10" s="157"/>
      <c r="H10" s="157"/>
      <c r="I10" s="157"/>
      <c r="J10" s="157"/>
      <c r="K10" s="157"/>
      <c r="L10" s="157"/>
      <c r="M10" s="157"/>
      <c r="N10" s="157"/>
      <c r="O10" s="157"/>
      <c r="P10" s="157"/>
      <c r="Q10" s="157"/>
      <c r="R10" s="157"/>
      <c r="S10" s="156"/>
    </row>
    <row r="11" spans="1:24" x14ac:dyDescent="0.2">
      <c r="A11" s="144"/>
      <c r="S11" s="142"/>
    </row>
    <row r="12" spans="1:24" ht="50.25" x14ac:dyDescent="0.7">
      <c r="A12" s="144"/>
      <c r="F12" s="155" t="s">
        <v>476</v>
      </c>
      <c r="S12" s="142"/>
      <c r="X12" s="67" t="s">
        <v>457</v>
      </c>
    </row>
    <row r="13" spans="1:24" ht="42" x14ac:dyDescent="0.55000000000000004">
      <c r="A13" s="144"/>
      <c r="F13" s="154" t="s">
        <v>475</v>
      </c>
      <c r="S13" s="142"/>
      <c r="W13" s="153"/>
      <c r="X13" s="67" t="s">
        <v>456</v>
      </c>
    </row>
    <row r="14" spans="1:24" x14ac:dyDescent="0.2">
      <c r="A14" s="144"/>
      <c r="S14" s="142"/>
    </row>
    <row r="15" spans="1:24" x14ac:dyDescent="0.2">
      <c r="A15" s="144"/>
      <c r="S15" s="142"/>
    </row>
    <row r="16" spans="1:24" x14ac:dyDescent="0.2">
      <c r="A16" s="144"/>
      <c r="S16" s="142"/>
    </row>
    <row r="17" spans="1:19" ht="27.75" x14ac:dyDescent="0.2">
      <c r="A17" s="144"/>
      <c r="F17" s="88" t="s">
        <v>474</v>
      </c>
      <c r="S17" s="142"/>
    </row>
    <row r="18" spans="1:19" ht="23.25" x14ac:dyDescent="0.2">
      <c r="A18" s="144"/>
      <c r="F18" s="88" t="s">
        <v>473</v>
      </c>
      <c r="S18" s="142"/>
    </row>
    <row r="19" spans="1:19" ht="17.850000000000001" customHeight="1" x14ac:dyDescent="0.2">
      <c r="A19" s="144"/>
      <c r="F19" s="86"/>
      <c r="S19" s="142"/>
    </row>
    <row r="20" spans="1:19" ht="23.25" x14ac:dyDescent="0.2">
      <c r="A20" s="144"/>
      <c r="F20" s="86" t="s">
        <v>420</v>
      </c>
      <c r="S20" s="142"/>
    </row>
    <row r="21" spans="1:19" ht="18" x14ac:dyDescent="0.2">
      <c r="A21" s="144"/>
      <c r="F21" s="85" t="s">
        <v>419</v>
      </c>
      <c r="S21" s="142"/>
    </row>
    <row r="22" spans="1:19" x14ac:dyDescent="0.2">
      <c r="A22" s="144"/>
      <c r="S22" s="142"/>
    </row>
    <row r="23" spans="1:19" ht="24" customHeight="1" x14ac:dyDescent="0.2">
      <c r="A23" s="144"/>
      <c r="F23" s="152" t="s">
        <v>472</v>
      </c>
      <c r="S23" s="142"/>
    </row>
    <row r="24" spans="1:19" ht="18" customHeight="1" x14ac:dyDescent="0.2">
      <c r="A24" s="144"/>
      <c r="S24" s="142"/>
    </row>
    <row r="25" spans="1:19" ht="15.6" customHeight="1" x14ac:dyDescent="0.2">
      <c r="A25" s="144"/>
      <c r="S25" s="142"/>
    </row>
    <row r="26" spans="1:19" ht="15.6" customHeight="1" x14ac:dyDescent="0.3">
      <c r="A26" s="144"/>
      <c r="F26" s="151" t="s">
        <v>471</v>
      </c>
      <c r="G26" s="82"/>
      <c r="H26" s="82"/>
      <c r="I26" s="82"/>
      <c r="J26" s="82"/>
      <c r="K26" s="82"/>
      <c r="L26" s="82"/>
      <c r="M26" s="82"/>
      <c r="N26" s="82"/>
      <c r="O26" s="82"/>
      <c r="P26" s="79"/>
      <c r="Q26" s="79"/>
      <c r="S26" s="142"/>
    </row>
    <row r="27" spans="1:19" ht="15.6" customHeight="1" x14ac:dyDescent="0.25">
      <c r="A27" s="144"/>
      <c r="G27" s="82"/>
      <c r="H27" s="82"/>
      <c r="I27" s="82"/>
      <c r="J27" s="82"/>
      <c r="K27" s="82"/>
      <c r="L27" s="82"/>
      <c r="M27" s="82"/>
      <c r="N27" s="82"/>
      <c r="O27" s="82"/>
      <c r="P27" s="79"/>
      <c r="Q27" s="79"/>
      <c r="S27" s="142"/>
    </row>
    <row r="28" spans="1:19" ht="18" x14ac:dyDescent="0.25">
      <c r="A28" s="144"/>
      <c r="F28" s="150" t="s">
        <v>470</v>
      </c>
      <c r="S28" s="142"/>
    </row>
    <row r="29" spans="1:19" x14ac:dyDescent="0.2">
      <c r="A29" s="149" t="s">
        <v>469</v>
      </c>
      <c r="S29" s="142"/>
    </row>
    <row r="30" spans="1:19" x14ac:dyDescent="0.2">
      <c r="A30" s="149"/>
      <c r="S30" s="142"/>
    </row>
    <row r="31" spans="1:19" x14ac:dyDescent="0.2">
      <c r="A31" s="144"/>
      <c r="S31" s="142"/>
    </row>
    <row r="32" spans="1:19" s="79" customFormat="1" ht="17.100000000000001" customHeight="1" x14ac:dyDescent="0.2">
      <c r="A32" s="671" t="s">
        <v>414</v>
      </c>
      <c r="B32" s="672"/>
      <c r="C32" s="672"/>
      <c r="D32" s="672"/>
      <c r="E32" s="672"/>
      <c r="F32" s="672"/>
      <c r="G32" s="672"/>
      <c r="H32" s="672"/>
      <c r="I32" s="672"/>
      <c r="J32" s="672"/>
      <c r="K32" s="672"/>
      <c r="L32" s="672"/>
      <c r="M32" s="672"/>
      <c r="N32" s="672"/>
      <c r="O32" s="672"/>
      <c r="P32" s="672"/>
      <c r="Q32" s="672"/>
      <c r="R32" s="672"/>
      <c r="S32" s="673"/>
    </row>
    <row r="33" spans="1:19" s="79" customFormat="1" ht="30.6" customHeight="1" x14ac:dyDescent="0.2">
      <c r="A33" s="674" t="s">
        <v>468</v>
      </c>
      <c r="B33" s="675"/>
      <c r="C33" s="675"/>
      <c r="D33" s="675"/>
      <c r="E33" s="675"/>
      <c r="F33" s="675"/>
      <c r="G33" s="675"/>
      <c r="H33" s="675"/>
      <c r="I33" s="675"/>
      <c r="J33" s="675"/>
      <c r="K33" s="675"/>
      <c r="L33" s="675"/>
      <c r="M33" s="675"/>
      <c r="N33" s="675"/>
      <c r="O33" s="675"/>
      <c r="P33" s="675"/>
      <c r="Q33" s="675"/>
      <c r="R33" s="675"/>
      <c r="S33" s="676"/>
    </row>
    <row r="34" spans="1:19" x14ac:dyDescent="0.2">
      <c r="A34" s="148"/>
      <c r="S34" s="142"/>
    </row>
    <row r="35" spans="1:19" ht="15.75" x14ac:dyDescent="0.2">
      <c r="A35" s="147" t="s">
        <v>412</v>
      </c>
      <c r="S35" s="142"/>
    </row>
    <row r="36" spans="1:19" ht="14.25" x14ac:dyDescent="0.2">
      <c r="A36" s="145" t="s">
        <v>467</v>
      </c>
      <c r="S36" s="142"/>
    </row>
    <row r="37" spans="1:19" ht="14.25" x14ac:dyDescent="0.2">
      <c r="A37" s="146" t="s">
        <v>466</v>
      </c>
      <c r="S37" s="142"/>
    </row>
    <row r="38" spans="1:19" ht="14.25" x14ac:dyDescent="0.2">
      <c r="A38" s="146" t="s">
        <v>465</v>
      </c>
      <c r="S38" s="142"/>
    </row>
    <row r="39" spans="1:19" ht="14.25" x14ac:dyDescent="0.2">
      <c r="A39" s="146" t="s">
        <v>464</v>
      </c>
      <c r="S39" s="142"/>
    </row>
    <row r="40" spans="1:19" ht="14.25" x14ac:dyDescent="0.2">
      <c r="A40" s="146" t="s">
        <v>463</v>
      </c>
      <c r="S40" s="142"/>
    </row>
    <row r="41" spans="1:19" ht="14.25" x14ac:dyDescent="0.2">
      <c r="A41" s="146" t="s">
        <v>462</v>
      </c>
      <c r="S41" s="142"/>
    </row>
    <row r="42" spans="1:19" ht="14.25" x14ac:dyDescent="0.2">
      <c r="A42" s="146" t="s">
        <v>461</v>
      </c>
      <c r="S42" s="142"/>
    </row>
    <row r="43" spans="1:19" ht="14.25" x14ac:dyDescent="0.2">
      <c r="A43" s="146" t="s">
        <v>460</v>
      </c>
      <c r="S43" s="142"/>
    </row>
    <row r="44" spans="1:19" ht="14.25" x14ac:dyDescent="0.2">
      <c r="A44" s="145"/>
      <c r="S44" s="142"/>
    </row>
    <row r="45" spans="1:19" ht="15.75" x14ac:dyDescent="0.25">
      <c r="A45" s="143" t="s">
        <v>404</v>
      </c>
      <c r="S45" s="142"/>
    </row>
    <row r="46" spans="1:19" ht="30.6" customHeight="1" x14ac:dyDescent="0.2">
      <c r="A46" s="677" t="s">
        <v>459</v>
      </c>
      <c r="B46" s="678"/>
      <c r="C46" s="678"/>
      <c r="D46" s="678"/>
      <c r="E46" s="678"/>
      <c r="F46" s="678"/>
      <c r="G46" s="678"/>
      <c r="H46" s="678"/>
      <c r="I46" s="678"/>
      <c r="J46" s="678"/>
      <c r="K46" s="678"/>
      <c r="L46" s="678"/>
      <c r="M46" s="678"/>
      <c r="N46" s="678"/>
      <c r="O46" s="678"/>
      <c r="P46" s="678"/>
      <c r="Q46" s="678"/>
      <c r="R46" s="678"/>
      <c r="S46" s="679"/>
    </row>
    <row r="47" spans="1:19" x14ac:dyDescent="0.2">
      <c r="A47" s="144"/>
      <c r="S47" s="142"/>
    </row>
    <row r="48" spans="1:19" ht="15.75" x14ac:dyDescent="0.25">
      <c r="A48" s="143" t="s">
        <v>402</v>
      </c>
      <c r="S48" s="142"/>
    </row>
    <row r="49" spans="1:19" ht="69.599999999999994" customHeight="1" x14ac:dyDescent="0.2">
      <c r="A49" s="680" t="s">
        <v>458</v>
      </c>
      <c r="B49" s="681"/>
      <c r="C49" s="681"/>
      <c r="D49" s="681"/>
      <c r="E49" s="681"/>
      <c r="F49" s="681"/>
      <c r="G49" s="681"/>
      <c r="H49" s="681"/>
      <c r="I49" s="681"/>
      <c r="J49" s="681"/>
      <c r="K49" s="681"/>
      <c r="L49" s="681"/>
      <c r="M49" s="681"/>
      <c r="N49" s="681"/>
      <c r="O49" s="681"/>
      <c r="P49" s="681"/>
      <c r="Q49" s="681"/>
      <c r="R49" s="681"/>
      <c r="S49" s="682"/>
    </row>
    <row r="50" spans="1:19" ht="13.5" thickBot="1" x14ac:dyDescent="0.25">
      <c r="A50" s="141"/>
      <c r="B50" s="140"/>
      <c r="C50" s="140"/>
      <c r="D50" s="140"/>
      <c r="E50" s="140"/>
      <c r="F50" s="140"/>
      <c r="G50" s="140"/>
      <c r="H50" s="140"/>
      <c r="I50" s="140"/>
      <c r="J50" s="140"/>
      <c r="K50" s="140"/>
      <c r="L50" s="140"/>
      <c r="M50" s="140"/>
      <c r="N50" s="140"/>
      <c r="O50" s="140"/>
      <c r="P50" s="140"/>
      <c r="Q50" s="140"/>
      <c r="R50" s="140"/>
      <c r="S50" s="139"/>
    </row>
  </sheetData>
  <mergeCells count="4">
    <mergeCell ref="A32:S32"/>
    <mergeCell ref="A33:S33"/>
    <mergeCell ref="A46:S46"/>
    <mergeCell ref="A49:S49"/>
  </mergeCells>
  <pageMargins left="0.7" right="0.7" top="0.75" bottom="0.75" header="0.3" footer="0.3"/>
  <pageSetup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BD3FE-5FB1-4502-8DF7-012ED3BAA577}">
  <sheetPr codeName="Sheet64">
    <tabColor theme="7" tint="0.39997558519241921"/>
  </sheetPr>
  <dimension ref="A1:AA979"/>
  <sheetViews>
    <sheetView zoomScale="80" zoomScaleNormal="80" workbookViewId="0"/>
  </sheetViews>
  <sheetFormatPr defaultColWidth="8.5703125" defaultRowHeight="12.75" x14ac:dyDescent="0.2"/>
  <cols>
    <col min="1" max="1" width="11.42578125" style="48" customWidth="1"/>
    <col min="2" max="2" width="11.28515625" style="48" customWidth="1"/>
    <col min="3" max="3" width="8.5703125" style="48"/>
    <col min="4" max="4" width="11.28515625" style="48" customWidth="1"/>
    <col min="5" max="5" width="11.5703125" style="48" customWidth="1"/>
    <col min="6" max="12" width="8.5703125" style="48"/>
    <col min="13" max="13" width="8" style="48" bestFit="1" customWidth="1"/>
    <col min="14" max="16" width="8.85546875" style="48" customWidth="1"/>
    <col min="17" max="16384" width="8.5703125" style="48"/>
  </cols>
  <sheetData>
    <row r="1" spans="1:1" ht="15" x14ac:dyDescent="0.25">
      <c r="A1" s="127" t="s">
        <v>486</v>
      </c>
    </row>
    <row r="22" spans="1:27" x14ac:dyDescent="0.2">
      <c r="A22" s="166" t="s">
        <v>485</v>
      </c>
      <c r="K22" s="125" t="s">
        <v>439</v>
      </c>
      <c r="V22" s="125" t="s">
        <v>439</v>
      </c>
    </row>
    <row r="23" spans="1:27" x14ac:dyDescent="0.2">
      <c r="A23" s="126" t="s">
        <v>439</v>
      </c>
      <c r="K23" s="125"/>
      <c r="U23" s="124"/>
      <c r="V23" s="125"/>
      <c r="W23" s="124"/>
      <c r="X23" s="124"/>
      <c r="Y23" s="124"/>
      <c r="Z23" s="124"/>
      <c r="AA23" s="124"/>
    </row>
    <row r="25" spans="1:27" x14ac:dyDescent="0.2">
      <c r="A25" s="123" t="s">
        <v>484</v>
      </c>
      <c r="B25" s="165">
        <v>119.98590000000003</v>
      </c>
      <c r="C25" s="165">
        <v>27.865070000000003</v>
      </c>
      <c r="D25" s="165">
        <v>26.944384999999997</v>
      </c>
      <c r="E25" s="165">
        <v>26.768149999999999</v>
      </c>
      <c r="F25" s="165">
        <v>19.841459999999998</v>
      </c>
      <c r="G25" s="165">
        <v>9.8378900000000016</v>
      </c>
      <c r="H25" s="165">
        <v>1.41475</v>
      </c>
      <c r="I25" s="165">
        <v>4.7034600000000006</v>
      </c>
      <c r="J25" s="165">
        <v>2.105235</v>
      </c>
      <c r="K25" s="164">
        <v>0.50549999999999995</v>
      </c>
      <c r="M25" s="120"/>
      <c r="N25" s="119"/>
      <c r="O25" s="119" t="s">
        <v>483</v>
      </c>
      <c r="P25" s="118" t="s">
        <v>434</v>
      </c>
    </row>
    <row r="26" spans="1:27" x14ac:dyDescent="0.2">
      <c r="A26" s="117" t="s">
        <v>482</v>
      </c>
      <c r="B26" s="98">
        <v>952</v>
      </c>
      <c r="C26" s="98">
        <v>156</v>
      </c>
      <c r="D26" s="98">
        <v>181</v>
      </c>
      <c r="E26" s="98">
        <v>233</v>
      </c>
      <c r="F26" s="98">
        <v>189</v>
      </c>
      <c r="G26" s="98">
        <v>84</v>
      </c>
      <c r="H26" s="98">
        <v>30</v>
      </c>
      <c r="I26" s="98">
        <v>52</v>
      </c>
      <c r="J26" s="98">
        <v>24</v>
      </c>
      <c r="K26" s="96">
        <v>3</v>
      </c>
      <c r="M26" s="103" t="s">
        <v>435</v>
      </c>
      <c r="N26" s="102" t="s">
        <v>434</v>
      </c>
      <c r="O26" s="102" t="s">
        <v>40</v>
      </c>
      <c r="P26" s="100" t="s">
        <v>28</v>
      </c>
    </row>
    <row r="27" spans="1:27" x14ac:dyDescent="0.2">
      <c r="A27" s="116"/>
      <c r="B27" s="115" t="s">
        <v>481</v>
      </c>
      <c r="C27" s="115" t="s">
        <v>432</v>
      </c>
      <c r="D27" s="115" t="s">
        <v>431</v>
      </c>
      <c r="E27" s="115" t="s">
        <v>56</v>
      </c>
      <c r="F27" s="115" t="s">
        <v>430</v>
      </c>
      <c r="G27" s="115" t="s">
        <v>55</v>
      </c>
      <c r="H27" s="115" t="s">
        <v>429</v>
      </c>
      <c r="I27" s="115" t="s">
        <v>428</v>
      </c>
      <c r="J27" s="115" t="s">
        <v>57</v>
      </c>
      <c r="K27" s="115" t="s">
        <v>427</v>
      </c>
      <c r="M27" s="99" t="s">
        <v>116</v>
      </c>
      <c r="N27" s="98" t="s">
        <v>28</v>
      </c>
      <c r="O27" s="98" t="s">
        <v>425</v>
      </c>
      <c r="P27" s="96" t="s">
        <v>424</v>
      </c>
    </row>
    <row r="28" spans="1:27" x14ac:dyDescent="0.2">
      <c r="A28" s="163" t="s">
        <v>480</v>
      </c>
      <c r="B28" s="162">
        <v>114.08964046143466</v>
      </c>
      <c r="C28" s="162">
        <v>115.28677340596496</v>
      </c>
      <c r="D28" s="162" t="e">
        <v>#N/A</v>
      </c>
      <c r="E28" s="162">
        <v>117.72747253352097</v>
      </c>
      <c r="F28" s="162">
        <v>98.916700739775976</v>
      </c>
      <c r="G28" s="162" t="e">
        <v>#N/A</v>
      </c>
      <c r="H28" s="162" t="e">
        <v>#N/A</v>
      </c>
      <c r="I28" s="162">
        <v>114.0752757210203</v>
      </c>
      <c r="J28" s="162" t="e">
        <v>#N/A</v>
      </c>
      <c r="K28" s="162" t="e">
        <v>#N/A</v>
      </c>
      <c r="M28" s="103">
        <v>107.25</v>
      </c>
      <c r="N28" s="102">
        <v>1998</v>
      </c>
      <c r="O28" s="101">
        <v>107.75548827086861</v>
      </c>
      <c r="P28" s="100">
        <v>1</v>
      </c>
    </row>
    <row r="29" spans="1:27" x14ac:dyDescent="0.2">
      <c r="A29" s="114" t="s">
        <v>479</v>
      </c>
      <c r="B29" s="113">
        <v>96.197472316754158</v>
      </c>
      <c r="C29" s="113">
        <v>95.056301158781565</v>
      </c>
      <c r="D29" s="113">
        <v>79.316507477558872</v>
      </c>
      <c r="E29" s="113">
        <v>104.91843329431953</v>
      </c>
      <c r="F29" s="113">
        <v>100.01304548461982</v>
      </c>
      <c r="G29" s="113">
        <v>161.29484105715713</v>
      </c>
      <c r="H29" s="113" t="e">
        <v>#N/A</v>
      </c>
      <c r="I29" s="113">
        <v>93.47797388118677</v>
      </c>
      <c r="J29" s="113">
        <v>132.61586353141155</v>
      </c>
      <c r="K29" s="113" t="e">
        <v>#N/A</v>
      </c>
      <c r="M29" s="103">
        <v>25.08</v>
      </c>
      <c r="N29" s="102">
        <v>1998</v>
      </c>
      <c r="O29" s="101">
        <v>93.804768740544304</v>
      </c>
      <c r="P29" s="100">
        <v>1</v>
      </c>
    </row>
    <row r="30" spans="1:27" x14ac:dyDescent="0.2">
      <c r="A30" s="114" t="s">
        <v>478</v>
      </c>
      <c r="B30" s="113">
        <v>89.811857590445342</v>
      </c>
      <c r="C30" s="113">
        <v>80.921886631250274</v>
      </c>
      <c r="D30" s="113">
        <v>77.282095571621156</v>
      </c>
      <c r="E30" s="113">
        <v>81.819226590203201</v>
      </c>
      <c r="F30" s="113">
        <v>88.002383729000371</v>
      </c>
      <c r="G30" s="113">
        <v>109.81075387332544</v>
      </c>
      <c r="H30" s="113" t="e">
        <v>#N/A</v>
      </c>
      <c r="I30" s="113">
        <v>106.59174116186547</v>
      </c>
      <c r="J30" s="113" t="e">
        <v>#N/A</v>
      </c>
      <c r="K30" s="113" t="e">
        <v>#N/A</v>
      </c>
      <c r="M30" s="103">
        <v>108.75</v>
      </c>
      <c r="N30" s="102">
        <v>1999</v>
      </c>
      <c r="O30" s="101">
        <v>138.40500877053609</v>
      </c>
      <c r="P30" s="100">
        <v>1</v>
      </c>
    </row>
    <row r="31" spans="1:27" x14ac:dyDescent="0.2">
      <c r="A31" s="114" t="s">
        <v>477</v>
      </c>
      <c r="B31" s="113">
        <v>76.199571207436819</v>
      </c>
      <c r="C31" s="113">
        <v>71.40832297522573</v>
      </c>
      <c r="D31" s="113">
        <v>70.598067631306321</v>
      </c>
      <c r="E31" s="113">
        <v>75.990837523469168</v>
      </c>
      <c r="F31" s="113">
        <v>82.824895069504578</v>
      </c>
      <c r="G31" s="113">
        <v>89.410471686536923</v>
      </c>
      <c r="H31" s="113" t="e">
        <v>#N/A</v>
      </c>
      <c r="I31" s="113">
        <v>89.19687683745353</v>
      </c>
      <c r="J31" s="113" t="e">
        <v>#N/A</v>
      </c>
      <c r="K31" s="113">
        <v>136.52789975456645</v>
      </c>
      <c r="M31" s="103">
        <v>103.5</v>
      </c>
      <c r="N31" s="102">
        <v>1999</v>
      </c>
      <c r="O31" s="101">
        <v>100.83168251750725</v>
      </c>
      <c r="P31" s="100">
        <v>1</v>
      </c>
    </row>
    <row r="32" spans="1:27" x14ac:dyDescent="0.2">
      <c r="A32" s="114">
        <v>2006</v>
      </c>
      <c r="B32" s="113">
        <v>88.991149108703212</v>
      </c>
      <c r="C32" s="113">
        <v>88.343583879370698</v>
      </c>
      <c r="D32" s="113">
        <v>88.811503181148879</v>
      </c>
      <c r="E32" s="113">
        <v>75.424898201679994</v>
      </c>
      <c r="F32" s="113">
        <v>102.10940575042673</v>
      </c>
      <c r="G32" s="113">
        <v>97.755994397152989</v>
      </c>
      <c r="H32" s="113">
        <v>103.32370746219617</v>
      </c>
      <c r="I32" s="113">
        <v>82.274636751547575</v>
      </c>
      <c r="J32" s="113">
        <v>86.420883429928395</v>
      </c>
      <c r="K32" s="113" t="e">
        <v>#N/A</v>
      </c>
      <c r="M32" s="103">
        <v>79.5</v>
      </c>
      <c r="N32" s="102">
        <v>1999</v>
      </c>
      <c r="O32" s="101">
        <v>123.83920070355836</v>
      </c>
      <c r="P32" s="100">
        <v>1</v>
      </c>
    </row>
    <row r="33" spans="1:16" x14ac:dyDescent="0.2">
      <c r="A33" s="114">
        <v>2007</v>
      </c>
      <c r="B33" s="113">
        <v>88.800824495775828</v>
      </c>
      <c r="C33" s="113">
        <v>90.598010531728079</v>
      </c>
      <c r="D33" s="113">
        <v>79.877019946517166</v>
      </c>
      <c r="E33" s="113">
        <v>78.930613557287629</v>
      </c>
      <c r="F33" s="113">
        <v>95.438221728696021</v>
      </c>
      <c r="G33" s="113">
        <v>93.18510761554414</v>
      </c>
      <c r="H33" s="113" t="e">
        <v>#N/A</v>
      </c>
      <c r="I33" s="113" t="e">
        <v>#N/A</v>
      </c>
      <c r="J33" s="113">
        <v>117.55114475234296</v>
      </c>
      <c r="K33" s="113" t="e">
        <v>#N/A</v>
      </c>
      <c r="M33" s="103">
        <v>74.900000000000006</v>
      </c>
      <c r="N33" s="102">
        <v>1999</v>
      </c>
      <c r="O33" s="101">
        <v>100.48760325185079</v>
      </c>
      <c r="P33" s="100">
        <v>1</v>
      </c>
    </row>
    <row r="34" spans="1:16" x14ac:dyDescent="0.2">
      <c r="A34" s="114">
        <v>2008</v>
      </c>
      <c r="B34" s="113">
        <v>97.802850672996684</v>
      </c>
      <c r="C34" s="113">
        <v>98.445436754661628</v>
      </c>
      <c r="D34" s="113">
        <v>88.917821635579969</v>
      </c>
      <c r="E34" s="113">
        <v>94.601134426731434</v>
      </c>
      <c r="F34" s="113">
        <v>92.249890050208208</v>
      </c>
      <c r="G34" s="113">
        <v>103.67639424650883</v>
      </c>
      <c r="H34" s="113" t="e">
        <v>#N/A</v>
      </c>
      <c r="I34" s="113">
        <v>75.947308933395789</v>
      </c>
      <c r="J34" s="113">
        <v>164.5560795118466</v>
      </c>
      <c r="K34" s="113" t="e">
        <v>#N/A</v>
      </c>
      <c r="M34" s="103">
        <v>60</v>
      </c>
      <c r="N34" s="102">
        <v>1999</v>
      </c>
      <c r="O34" s="101">
        <v>92.647202603558682</v>
      </c>
      <c r="P34" s="100">
        <v>1</v>
      </c>
    </row>
    <row r="35" spans="1:16" x14ac:dyDescent="0.2">
      <c r="A35" s="114">
        <v>2009</v>
      </c>
      <c r="B35" s="113">
        <v>105.09877306287333</v>
      </c>
      <c r="C35" s="113">
        <v>97.511971210208813</v>
      </c>
      <c r="D35" s="113">
        <v>87.055688457375098</v>
      </c>
      <c r="E35" s="113">
        <v>96.507039589755351</v>
      </c>
      <c r="F35" s="113">
        <v>114.78299094185456</v>
      </c>
      <c r="G35" s="113">
        <v>108.9389924871348</v>
      </c>
      <c r="H35" s="113">
        <v>128.46356402117814</v>
      </c>
      <c r="I35" s="113">
        <v>113.05189590040276</v>
      </c>
      <c r="J35" s="113">
        <v>155.64430064596084</v>
      </c>
      <c r="K35" s="113" t="e">
        <v>#N/A</v>
      </c>
      <c r="M35" s="103">
        <v>43.4</v>
      </c>
      <c r="N35" s="102">
        <v>1999</v>
      </c>
      <c r="O35" s="101">
        <v>111.85433609606227</v>
      </c>
      <c r="P35" s="100">
        <v>1</v>
      </c>
    </row>
    <row r="36" spans="1:16" x14ac:dyDescent="0.2">
      <c r="A36" s="114">
        <v>2010</v>
      </c>
      <c r="B36" s="113">
        <v>101.76854591433974</v>
      </c>
      <c r="C36" s="113">
        <v>101.08653172245479</v>
      </c>
      <c r="D36" s="113">
        <v>87.399724207206518</v>
      </c>
      <c r="E36" s="113">
        <v>93.974273299916447</v>
      </c>
      <c r="F36" s="113">
        <v>108.37620518813328</v>
      </c>
      <c r="G36" s="113">
        <v>105.47418269656089</v>
      </c>
      <c r="H36" s="113">
        <v>131.52678549864089</v>
      </c>
      <c r="I36" s="113">
        <v>123.43621462951133</v>
      </c>
      <c r="J36" s="113" t="e">
        <v>#N/A</v>
      </c>
      <c r="K36" s="113" t="e">
        <v>#N/A</v>
      </c>
      <c r="M36" s="103">
        <v>41.4</v>
      </c>
      <c r="N36" s="102">
        <v>1999</v>
      </c>
      <c r="O36" s="101">
        <v>85.244857973487782</v>
      </c>
      <c r="P36" s="100">
        <v>1</v>
      </c>
    </row>
    <row r="37" spans="1:16" x14ac:dyDescent="0.2">
      <c r="A37" s="114">
        <v>2011</v>
      </c>
      <c r="B37" s="113">
        <v>102.23670308556474</v>
      </c>
      <c r="C37" s="113">
        <v>92.540478886528987</v>
      </c>
      <c r="D37" s="113">
        <v>79.573247232553342</v>
      </c>
      <c r="E37" s="113">
        <v>96.807061572579798</v>
      </c>
      <c r="F37" s="113">
        <v>101.75714291659625</v>
      </c>
      <c r="G37" s="113">
        <v>124.27927328604825</v>
      </c>
      <c r="H37" s="113">
        <v>124.84206587737353</v>
      </c>
      <c r="I37" s="113">
        <v>136.13810643457336</v>
      </c>
      <c r="J37" s="113">
        <v>129.36948738410337</v>
      </c>
      <c r="K37" s="113" t="e">
        <v>#N/A</v>
      </c>
      <c r="M37" s="103">
        <v>41.25</v>
      </c>
      <c r="N37" s="102">
        <v>1999</v>
      </c>
      <c r="O37" s="101">
        <v>110.66729517864428</v>
      </c>
      <c r="P37" s="100">
        <v>1</v>
      </c>
    </row>
    <row r="38" spans="1:16" x14ac:dyDescent="0.2">
      <c r="A38" s="114">
        <v>2012</v>
      </c>
      <c r="B38" s="113">
        <v>83.828148117385581</v>
      </c>
      <c r="C38" s="113">
        <v>91.740770899494706</v>
      </c>
      <c r="D38" s="113">
        <v>67.915666712573582</v>
      </c>
      <c r="E38" s="113">
        <v>70.255415460469308</v>
      </c>
      <c r="F38" s="113">
        <v>101.27207623331182</v>
      </c>
      <c r="G38" s="113">
        <v>80.375230398628446</v>
      </c>
      <c r="H38" s="113">
        <v>104.00012520488583</v>
      </c>
      <c r="I38" s="113">
        <v>107.34436351989007</v>
      </c>
      <c r="J38" s="113">
        <v>108.57688248341587</v>
      </c>
      <c r="K38" s="113" t="e">
        <v>#N/A</v>
      </c>
      <c r="M38" s="103">
        <v>39.75</v>
      </c>
      <c r="N38" s="102">
        <v>1999</v>
      </c>
      <c r="O38" s="101">
        <v>151.16155364402397</v>
      </c>
      <c r="P38" s="100">
        <v>1</v>
      </c>
    </row>
    <row r="39" spans="1:16" x14ac:dyDescent="0.2">
      <c r="A39" s="114">
        <v>2013</v>
      </c>
      <c r="B39" s="113">
        <v>65.425831781336967</v>
      </c>
      <c r="C39" s="113" t="e">
        <v>#N/A</v>
      </c>
      <c r="D39" s="113">
        <v>49.496099295179093</v>
      </c>
      <c r="E39" s="113">
        <v>63.090214601021799</v>
      </c>
      <c r="F39" s="113">
        <v>61.730523531461706</v>
      </c>
      <c r="G39" s="113" t="e">
        <v>#N/A</v>
      </c>
      <c r="H39" s="113" t="e">
        <v>#N/A</v>
      </c>
      <c r="I39" s="113">
        <v>97.629133451177808</v>
      </c>
      <c r="J39" s="113" t="e">
        <v>#N/A</v>
      </c>
      <c r="K39" s="113" t="e">
        <v>#N/A</v>
      </c>
      <c r="M39" s="103">
        <v>34.32</v>
      </c>
      <c r="N39" s="102">
        <v>1999</v>
      </c>
      <c r="O39" s="101">
        <v>124.99773224572758</v>
      </c>
      <c r="P39" s="100">
        <v>1</v>
      </c>
    </row>
    <row r="40" spans="1:16" x14ac:dyDescent="0.2">
      <c r="A40" s="114">
        <v>2014</v>
      </c>
      <c r="B40" s="113">
        <v>55.901743846279672</v>
      </c>
      <c r="C40" s="113">
        <v>50.546360713253492</v>
      </c>
      <c r="D40" s="113">
        <v>51.141119050085585</v>
      </c>
      <c r="E40" s="113">
        <v>61.58481407136091</v>
      </c>
      <c r="F40" s="113">
        <v>60.707260203060223</v>
      </c>
      <c r="G40" s="113">
        <v>66.257657394019972</v>
      </c>
      <c r="H40" s="113">
        <v>96.288654746439718</v>
      </c>
      <c r="I40" s="113">
        <v>81.293539650378605</v>
      </c>
      <c r="J40" s="113">
        <v>82.010882231236266</v>
      </c>
      <c r="K40" s="113" t="e">
        <v>#N/A</v>
      </c>
      <c r="M40" s="103">
        <v>28.5</v>
      </c>
      <c r="N40" s="102">
        <v>1999</v>
      </c>
      <c r="O40" s="101">
        <v>152.12156751265866</v>
      </c>
      <c r="P40" s="100">
        <v>1</v>
      </c>
    </row>
    <row r="41" spans="1:16" x14ac:dyDescent="0.2">
      <c r="A41" s="114">
        <v>2015</v>
      </c>
      <c r="B41" s="113">
        <v>51.385121354923008</v>
      </c>
      <c r="C41" s="113">
        <v>54.08660090052549</v>
      </c>
      <c r="D41" s="113">
        <v>45.486491874026335</v>
      </c>
      <c r="E41" s="113">
        <v>49.542183386748533</v>
      </c>
      <c r="F41" s="113">
        <v>49.0230561201504</v>
      </c>
      <c r="G41" s="113">
        <v>62.339955563641666</v>
      </c>
      <c r="H41" s="113">
        <v>86.52444615875217</v>
      </c>
      <c r="I41" s="113">
        <v>73.796407878773124</v>
      </c>
      <c r="J41" s="113" t="e">
        <v>#N/A</v>
      </c>
      <c r="K41" s="113" t="e">
        <v>#N/A</v>
      </c>
      <c r="M41" s="103">
        <v>24.75</v>
      </c>
      <c r="N41" s="102">
        <v>1999</v>
      </c>
      <c r="O41" s="101">
        <v>98.196751942838191</v>
      </c>
      <c r="P41" s="100">
        <v>1</v>
      </c>
    </row>
    <row r="42" spans="1:16" x14ac:dyDescent="0.2">
      <c r="A42" s="114">
        <v>2016</v>
      </c>
      <c r="B42" s="113">
        <v>46.499265930713605</v>
      </c>
      <c r="C42" s="113">
        <v>46.012604370742217</v>
      </c>
      <c r="D42" s="113">
        <v>42.772822085405785</v>
      </c>
      <c r="E42" s="113">
        <v>45.342652271699137</v>
      </c>
      <c r="F42" s="113">
        <v>50.5583785631528</v>
      </c>
      <c r="G42" s="113">
        <v>56.248893271546471</v>
      </c>
      <c r="H42" s="113">
        <v>85.222821810187881</v>
      </c>
      <c r="I42" s="113" t="e">
        <v>#N/A</v>
      </c>
      <c r="J42" s="113">
        <v>73.084828171290951</v>
      </c>
      <c r="K42" s="113" t="e">
        <v>#N/A</v>
      </c>
      <c r="M42" s="103">
        <v>16.5</v>
      </c>
      <c r="N42" s="102">
        <v>1999</v>
      </c>
      <c r="O42" s="101">
        <v>141.33596358129114</v>
      </c>
      <c r="P42" s="100">
        <v>1</v>
      </c>
    </row>
    <row r="43" spans="1:16" x14ac:dyDescent="0.2">
      <c r="A43" s="114">
        <v>2017</v>
      </c>
      <c r="B43" s="113">
        <v>43.810809093845457</v>
      </c>
      <c r="C43" s="113">
        <v>43.684254472634528</v>
      </c>
      <c r="D43" s="113">
        <v>41.745168544950566</v>
      </c>
      <c r="E43" s="113">
        <v>42.476486171563607</v>
      </c>
      <c r="F43" s="113">
        <v>44.34686404446942</v>
      </c>
      <c r="G43" s="113">
        <v>50.583171438443657</v>
      </c>
      <c r="H43" s="113">
        <v>60.650049168969069</v>
      </c>
      <c r="I43" s="113">
        <v>54.164343423568916</v>
      </c>
      <c r="J43" s="113" t="e">
        <v>#N/A</v>
      </c>
      <c r="K43" s="113" t="e">
        <v>#N/A</v>
      </c>
      <c r="M43" s="103">
        <v>16.5</v>
      </c>
      <c r="N43" s="102">
        <v>1999</v>
      </c>
      <c r="O43" s="101">
        <v>147.32329853632902</v>
      </c>
      <c r="P43" s="100">
        <v>1</v>
      </c>
    </row>
    <row r="44" spans="1:16" x14ac:dyDescent="0.2">
      <c r="A44" s="114">
        <v>2018</v>
      </c>
      <c r="B44" s="113">
        <v>36.090970537831616</v>
      </c>
      <c r="C44" s="113">
        <v>34.08164108611998</v>
      </c>
      <c r="D44" s="113">
        <v>32.293077137293245</v>
      </c>
      <c r="E44" s="113">
        <v>36.661026460622239</v>
      </c>
      <c r="F44" s="113">
        <v>36.653699317127085</v>
      </c>
      <c r="G44" s="113">
        <v>44.355673893838954</v>
      </c>
      <c r="H44" s="113" t="e">
        <v>#N/A</v>
      </c>
      <c r="I44" s="113">
        <v>50.240234976881489</v>
      </c>
      <c r="J44" s="113">
        <v>57.748301709030336</v>
      </c>
      <c r="K44" s="113" t="e">
        <v>#N/A</v>
      </c>
      <c r="M44" s="103">
        <v>11.88</v>
      </c>
      <c r="N44" s="102">
        <v>1999</v>
      </c>
      <c r="O44" s="101">
        <v>105.99348842686578</v>
      </c>
      <c r="P44" s="100">
        <v>1</v>
      </c>
    </row>
    <row r="45" spans="1:16" x14ac:dyDescent="0.2">
      <c r="A45" s="114">
        <v>2019</v>
      </c>
      <c r="B45" s="113">
        <v>38.424358188025423</v>
      </c>
      <c r="C45" s="113">
        <v>41.074958414317187</v>
      </c>
      <c r="D45" s="113">
        <v>35.235493196221221</v>
      </c>
      <c r="E45" s="113">
        <v>35.689766538678711</v>
      </c>
      <c r="F45" s="113">
        <v>42.095693712314286</v>
      </c>
      <c r="G45" s="113">
        <v>41.594218510239287</v>
      </c>
      <c r="H45" s="113">
        <v>67.118876155122919</v>
      </c>
      <c r="I45" s="113">
        <v>56.45665065781904</v>
      </c>
      <c r="J45" s="113" t="e">
        <v>#N/A</v>
      </c>
      <c r="K45" s="113" t="e">
        <v>#N/A</v>
      </c>
      <c r="M45" s="103">
        <v>11.25</v>
      </c>
      <c r="N45" s="102">
        <v>1999</v>
      </c>
      <c r="O45" s="101">
        <v>116.17346985071801</v>
      </c>
      <c r="P45" s="100">
        <v>1</v>
      </c>
    </row>
    <row r="46" spans="1:16" x14ac:dyDescent="0.2">
      <c r="A46" s="114">
        <v>2020</v>
      </c>
      <c r="B46" s="113">
        <v>37.286324194627468</v>
      </c>
      <c r="C46" s="113">
        <v>40.684450726994548</v>
      </c>
      <c r="D46" s="113">
        <v>32.770159065597142</v>
      </c>
      <c r="E46" s="113">
        <v>37.59181362809688</v>
      </c>
      <c r="F46" s="113">
        <v>38.285756590887551</v>
      </c>
      <c r="G46" s="113">
        <v>40.065583308887689</v>
      </c>
      <c r="H46" s="113">
        <v>60.552242584833266</v>
      </c>
      <c r="I46" s="113" t="e">
        <v>#N/A</v>
      </c>
      <c r="J46" s="113" t="e">
        <v>#N/A</v>
      </c>
      <c r="K46" s="113">
        <v>42.013204126356143</v>
      </c>
      <c r="M46" s="103">
        <v>11.22</v>
      </c>
      <c r="N46" s="102">
        <v>1999</v>
      </c>
      <c r="O46" s="101">
        <v>161.11581558729665</v>
      </c>
      <c r="P46" s="100">
        <v>1</v>
      </c>
    </row>
    <row r="47" spans="1:16" x14ac:dyDescent="0.2">
      <c r="A47" s="114">
        <v>2021</v>
      </c>
      <c r="B47" s="113">
        <v>38.191768207852412</v>
      </c>
      <c r="C47" s="113">
        <v>40.98797296222309</v>
      </c>
      <c r="D47" s="113">
        <v>34.815771127478698</v>
      </c>
      <c r="E47" s="113">
        <v>39.022830558580779</v>
      </c>
      <c r="F47" s="113">
        <v>38.181735361338816</v>
      </c>
      <c r="G47" s="113">
        <v>46.053668259943713</v>
      </c>
      <c r="H47" s="113" t="e">
        <v>#N/A</v>
      </c>
      <c r="I47" s="113" t="e">
        <v>#N/A</v>
      </c>
      <c r="J47" s="113">
        <v>58.470717528509581</v>
      </c>
      <c r="K47" s="113" t="e">
        <v>#N/A</v>
      </c>
      <c r="M47" s="103">
        <v>10.199999999999999</v>
      </c>
      <c r="N47" s="102">
        <v>1999</v>
      </c>
      <c r="O47" s="101">
        <v>125.96800704090965</v>
      </c>
      <c r="P47" s="100">
        <v>1</v>
      </c>
    </row>
    <row r="48" spans="1:16" x14ac:dyDescent="0.2">
      <c r="A48" s="112">
        <v>2022</v>
      </c>
      <c r="B48" s="111">
        <v>32.037738834205079</v>
      </c>
      <c r="C48" s="111">
        <v>30.558582875314972</v>
      </c>
      <c r="D48" s="111">
        <v>29.936712873071066</v>
      </c>
      <c r="E48" s="111">
        <v>42.007361409857857</v>
      </c>
      <c r="F48" s="111">
        <v>52.69306642307248</v>
      </c>
      <c r="G48" s="111" t="e">
        <v>#N/A</v>
      </c>
      <c r="H48" s="111" t="e">
        <v>#N/A</v>
      </c>
      <c r="I48" s="111" t="e">
        <v>#N/A</v>
      </c>
      <c r="J48" s="111" t="e">
        <v>#N/A</v>
      </c>
      <c r="K48" s="111" t="e">
        <v>#N/A</v>
      </c>
      <c r="M48" s="103">
        <v>9.24</v>
      </c>
      <c r="N48" s="102">
        <v>1999</v>
      </c>
      <c r="O48" s="101">
        <v>167.29381839899207</v>
      </c>
      <c r="P48" s="100">
        <v>1</v>
      </c>
    </row>
    <row r="49" spans="13:16" x14ac:dyDescent="0.2">
      <c r="M49" s="103">
        <v>5.0999999999999996</v>
      </c>
      <c r="N49" s="102">
        <v>1999</v>
      </c>
      <c r="O49" s="101">
        <v>215.87746550551941</v>
      </c>
      <c r="P49" s="100">
        <v>1</v>
      </c>
    </row>
    <row r="50" spans="13:16" x14ac:dyDescent="0.2">
      <c r="M50" s="103">
        <v>16.8</v>
      </c>
      <c r="N50" s="102">
        <v>2000</v>
      </c>
      <c r="O50" s="101">
        <v>86.752664567075101</v>
      </c>
      <c r="P50" s="100">
        <v>2</v>
      </c>
    </row>
    <row r="51" spans="13:16" x14ac:dyDescent="0.2">
      <c r="M51" s="103">
        <v>11.55</v>
      </c>
      <c r="N51" s="102">
        <v>2000</v>
      </c>
      <c r="O51" s="101">
        <v>172.0507331972353</v>
      </c>
      <c r="P51" s="100">
        <v>2</v>
      </c>
    </row>
    <row r="52" spans="13:16" x14ac:dyDescent="0.2">
      <c r="M52" s="103">
        <v>10.4</v>
      </c>
      <c r="N52" s="102">
        <v>2000</v>
      </c>
      <c r="O52" s="101">
        <v>345.76747237510449</v>
      </c>
      <c r="P52" s="100">
        <v>2</v>
      </c>
    </row>
    <row r="53" spans="13:16" x14ac:dyDescent="0.2">
      <c r="M53" s="103">
        <v>6.6</v>
      </c>
      <c r="N53" s="102">
        <v>2000</v>
      </c>
      <c r="O53" s="101">
        <v>138.3201702017659</v>
      </c>
      <c r="P53" s="100">
        <v>2</v>
      </c>
    </row>
    <row r="54" spans="13:16" x14ac:dyDescent="0.2">
      <c r="M54" s="103">
        <v>278.2</v>
      </c>
      <c r="N54" s="102">
        <v>2001</v>
      </c>
      <c r="O54" s="101">
        <v>111.94320329074863</v>
      </c>
      <c r="P54" s="100">
        <v>2</v>
      </c>
    </row>
    <row r="55" spans="13:16" x14ac:dyDescent="0.2">
      <c r="M55" s="103">
        <v>176.88</v>
      </c>
      <c r="N55" s="102">
        <v>2001</v>
      </c>
      <c r="O55" s="101">
        <v>97.87957173595322</v>
      </c>
      <c r="P55" s="100">
        <v>2</v>
      </c>
    </row>
    <row r="56" spans="13:16" x14ac:dyDescent="0.2">
      <c r="M56" s="103">
        <v>160.5</v>
      </c>
      <c r="N56" s="102">
        <v>2001</v>
      </c>
      <c r="O56" s="101">
        <v>89.3008299288432</v>
      </c>
      <c r="P56" s="100">
        <v>2</v>
      </c>
    </row>
    <row r="57" spans="13:16" x14ac:dyDescent="0.2">
      <c r="M57" s="103">
        <v>159.72</v>
      </c>
      <c r="N57" s="102">
        <v>2001</v>
      </c>
      <c r="O57" s="101">
        <v>98.759134801228811</v>
      </c>
      <c r="P57" s="100">
        <v>2</v>
      </c>
    </row>
    <row r="58" spans="13:16" x14ac:dyDescent="0.2">
      <c r="M58" s="103">
        <v>150</v>
      </c>
      <c r="N58" s="102">
        <v>2001</v>
      </c>
      <c r="O58" s="101">
        <v>76.105637967978268</v>
      </c>
      <c r="P58" s="100">
        <v>2</v>
      </c>
    </row>
    <row r="59" spans="13:16" x14ac:dyDescent="0.2">
      <c r="M59" s="103">
        <v>112.2</v>
      </c>
      <c r="N59" s="102">
        <v>2001</v>
      </c>
      <c r="O59" s="101">
        <v>77.845571259322483</v>
      </c>
      <c r="P59" s="100">
        <v>2</v>
      </c>
    </row>
    <row r="60" spans="13:16" x14ac:dyDescent="0.2">
      <c r="M60" s="103">
        <v>83.16</v>
      </c>
      <c r="N60" s="102">
        <v>2001</v>
      </c>
      <c r="O60" s="101">
        <v>102.71773724809555</v>
      </c>
      <c r="P60" s="100">
        <v>2</v>
      </c>
    </row>
    <row r="61" spans="13:16" x14ac:dyDescent="0.2">
      <c r="M61" s="103">
        <v>82.5</v>
      </c>
      <c r="N61" s="102">
        <v>2001</v>
      </c>
      <c r="O61" s="101">
        <v>92.665868008947044</v>
      </c>
      <c r="P61" s="100">
        <v>2</v>
      </c>
    </row>
    <row r="62" spans="13:16" x14ac:dyDescent="0.2">
      <c r="M62" s="103">
        <v>80.099999999999994</v>
      </c>
      <c r="N62" s="102">
        <v>2001</v>
      </c>
      <c r="O62" s="101">
        <v>98.52028237864036</v>
      </c>
      <c r="P62" s="100">
        <v>2</v>
      </c>
    </row>
    <row r="63" spans="13:16" x14ac:dyDescent="0.2">
      <c r="M63" s="103">
        <v>80</v>
      </c>
      <c r="N63" s="102">
        <v>2001</v>
      </c>
      <c r="O63" s="101">
        <v>81.304669670001417</v>
      </c>
      <c r="P63" s="100">
        <v>2</v>
      </c>
    </row>
    <row r="64" spans="13:16" x14ac:dyDescent="0.2">
      <c r="M64" s="103">
        <v>66.599999999999994</v>
      </c>
      <c r="N64" s="102">
        <v>2001</v>
      </c>
      <c r="O64" s="101">
        <v>93.47797388118677</v>
      </c>
      <c r="P64" s="100">
        <v>2</v>
      </c>
    </row>
    <row r="65" spans="13:16" x14ac:dyDescent="0.2">
      <c r="M65" s="103">
        <v>50</v>
      </c>
      <c r="N65" s="102">
        <v>2001</v>
      </c>
      <c r="O65" s="101">
        <v>90.671145626855846</v>
      </c>
      <c r="P65" s="100">
        <v>2</v>
      </c>
    </row>
    <row r="66" spans="13:16" x14ac:dyDescent="0.2">
      <c r="M66" s="103">
        <v>30</v>
      </c>
      <c r="N66" s="102">
        <v>2001</v>
      </c>
      <c r="O66" s="101">
        <v>125.88178287268742</v>
      </c>
      <c r="P66" s="100">
        <v>2</v>
      </c>
    </row>
    <row r="67" spans="13:16" x14ac:dyDescent="0.2">
      <c r="M67" s="103">
        <v>30</v>
      </c>
      <c r="N67" s="102">
        <v>2001</v>
      </c>
      <c r="O67" s="101">
        <v>119.03213023262407</v>
      </c>
      <c r="P67" s="100">
        <v>2</v>
      </c>
    </row>
    <row r="68" spans="13:16" x14ac:dyDescent="0.2">
      <c r="M68" s="103">
        <v>29.7</v>
      </c>
      <c r="N68" s="102">
        <v>2001</v>
      </c>
      <c r="O68" s="101">
        <v>96.537682109736849</v>
      </c>
      <c r="P68" s="100">
        <v>2</v>
      </c>
    </row>
    <row r="69" spans="13:16" x14ac:dyDescent="0.2">
      <c r="M69" s="103">
        <v>24.6</v>
      </c>
      <c r="N69" s="102">
        <v>2001</v>
      </c>
      <c r="O69" s="101">
        <v>132.55004687804808</v>
      </c>
      <c r="P69" s="100">
        <v>2</v>
      </c>
    </row>
    <row r="70" spans="13:16" x14ac:dyDescent="0.2">
      <c r="M70" s="103">
        <v>24</v>
      </c>
      <c r="N70" s="102">
        <v>2001</v>
      </c>
      <c r="O70" s="101">
        <v>105.76505657620442</v>
      </c>
      <c r="P70" s="100">
        <v>2</v>
      </c>
    </row>
    <row r="71" spans="13:16" x14ac:dyDescent="0.2">
      <c r="M71" s="103">
        <v>15</v>
      </c>
      <c r="N71" s="102">
        <v>2001</v>
      </c>
      <c r="O71" s="101">
        <v>115.03633135429067</v>
      </c>
      <c r="P71" s="100">
        <v>2</v>
      </c>
    </row>
    <row r="72" spans="13:16" x14ac:dyDescent="0.2">
      <c r="M72" s="103">
        <v>9.9</v>
      </c>
      <c r="N72" s="102">
        <v>2001</v>
      </c>
      <c r="O72" s="101">
        <v>145.08125206633255</v>
      </c>
      <c r="P72" s="100">
        <v>2</v>
      </c>
    </row>
    <row r="73" spans="13:16" x14ac:dyDescent="0.2">
      <c r="M73" s="103">
        <v>97.68</v>
      </c>
      <c r="N73" s="102">
        <v>2002</v>
      </c>
      <c r="O73" s="101">
        <v>86.697623694427136</v>
      </c>
      <c r="P73" s="100">
        <v>3</v>
      </c>
    </row>
    <row r="74" spans="13:16" x14ac:dyDescent="0.2">
      <c r="M74" s="103">
        <v>66</v>
      </c>
      <c r="N74" s="102">
        <v>2002</v>
      </c>
      <c r="O74" s="101">
        <v>103.13532630861486</v>
      </c>
      <c r="P74" s="100">
        <v>3</v>
      </c>
    </row>
    <row r="75" spans="13:16" x14ac:dyDescent="0.2">
      <c r="M75" s="103">
        <v>61.5</v>
      </c>
      <c r="N75" s="102">
        <v>2002</v>
      </c>
      <c r="O75" s="101">
        <v>106.69255989209015</v>
      </c>
      <c r="P75" s="100">
        <v>3</v>
      </c>
    </row>
    <row r="76" spans="13:16" x14ac:dyDescent="0.2">
      <c r="M76" s="103">
        <v>48.1</v>
      </c>
      <c r="N76" s="102">
        <v>2002</v>
      </c>
      <c r="O76" s="101">
        <v>115.27349039852054</v>
      </c>
      <c r="P76" s="100">
        <v>3</v>
      </c>
    </row>
    <row r="77" spans="13:16" x14ac:dyDescent="0.2">
      <c r="M77" s="103">
        <v>40.92</v>
      </c>
      <c r="N77" s="102">
        <v>2002</v>
      </c>
      <c r="O77" s="101">
        <v>180.2856067391067</v>
      </c>
      <c r="P77" s="100">
        <v>3</v>
      </c>
    </row>
    <row r="78" spans="13:16" x14ac:dyDescent="0.2">
      <c r="M78" s="103">
        <v>39.6</v>
      </c>
      <c r="N78" s="102">
        <v>2002</v>
      </c>
      <c r="O78" s="101">
        <v>98.504509189480927</v>
      </c>
      <c r="P78" s="100">
        <v>3</v>
      </c>
    </row>
    <row r="79" spans="13:16" x14ac:dyDescent="0.2">
      <c r="M79" s="103">
        <v>25.2</v>
      </c>
      <c r="N79" s="102">
        <v>2002</v>
      </c>
      <c r="O79" s="101">
        <v>131.37156080704978</v>
      </c>
      <c r="P79" s="100">
        <v>3</v>
      </c>
    </row>
    <row r="80" spans="13:16" x14ac:dyDescent="0.2">
      <c r="M80" s="103">
        <v>10.5</v>
      </c>
      <c r="N80" s="102">
        <v>2002</v>
      </c>
      <c r="O80" s="101">
        <v>109.51602552747333</v>
      </c>
      <c r="P80" s="100">
        <v>3</v>
      </c>
    </row>
    <row r="81" spans="13:16" x14ac:dyDescent="0.2">
      <c r="M81" s="103">
        <v>204</v>
      </c>
      <c r="N81" s="102">
        <v>2003</v>
      </c>
      <c r="O81" s="101">
        <v>81.746645493161552</v>
      </c>
      <c r="P81" s="100">
        <v>3</v>
      </c>
    </row>
    <row r="82" spans="13:16" x14ac:dyDescent="0.2">
      <c r="M82" s="103">
        <v>162</v>
      </c>
      <c r="N82" s="102">
        <v>2003</v>
      </c>
      <c r="O82" s="101">
        <v>97.361377027847169</v>
      </c>
      <c r="P82" s="100">
        <v>3</v>
      </c>
    </row>
    <row r="83" spans="13:16" x14ac:dyDescent="0.2">
      <c r="M83" s="103">
        <v>162</v>
      </c>
      <c r="N83" s="102">
        <v>2003</v>
      </c>
      <c r="O83" s="101">
        <v>82.918388681665746</v>
      </c>
      <c r="P83" s="100">
        <v>3</v>
      </c>
    </row>
    <row r="84" spans="13:16" x14ac:dyDescent="0.2">
      <c r="M84" s="103">
        <v>160</v>
      </c>
      <c r="N84" s="102">
        <v>2003</v>
      </c>
      <c r="O84" s="101">
        <v>80.921886631250274</v>
      </c>
      <c r="P84" s="100">
        <v>3</v>
      </c>
    </row>
    <row r="85" spans="13:16" x14ac:dyDescent="0.2">
      <c r="M85" s="103">
        <v>144</v>
      </c>
      <c r="N85" s="102">
        <v>2003</v>
      </c>
      <c r="O85" s="101">
        <v>90.061518717060196</v>
      </c>
      <c r="P85" s="100">
        <v>3</v>
      </c>
    </row>
    <row r="86" spans="13:16" x14ac:dyDescent="0.2">
      <c r="M86" s="103">
        <v>102</v>
      </c>
      <c r="N86" s="102">
        <v>2003</v>
      </c>
      <c r="O86" s="101">
        <v>83.518517239560381</v>
      </c>
      <c r="P86" s="100">
        <v>3</v>
      </c>
    </row>
    <row r="87" spans="13:16" x14ac:dyDescent="0.2">
      <c r="M87" s="103">
        <v>85.5</v>
      </c>
      <c r="N87" s="102">
        <v>2003</v>
      </c>
      <c r="O87" s="101">
        <v>89.508867722683391</v>
      </c>
      <c r="P87" s="100">
        <v>3</v>
      </c>
    </row>
    <row r="88" spans="13:16" x14ac:dyDescent="0.2">
      <c r="M88" s="103">
        <v>74.25</v>
      </c>
      <c r="N88" s="102">
        <v>2003</v>
      </c>
      <c r="O88" s="101">
        <v>70.464102909770318</v>
      </c>
      <c r="P88" s="100">
        <v>3</v>
      </c>
    </row>
    <row r="89" spans="13:16" x14ac:dyDescent="0.2">
      <c r="M89" s="103">
        <v>64.5</v>
      </c>
      <c r="N89" s="102">
        <v>2003</v>
      </c>
      <c r="O89" s="101">
        <v>107.27796882614399</v>
      </c>
      <c r="P89" s="100">
        <v>3</v>
      </c>
    </row>
    <row r="90" spans="13:16" x14ac:dyDescent="0.2">
      <c r="M90" s="103">
        <v>51</v>
      </c>
      <c r="N90" s="102">
        <v>2003</v>
      </c>
      <c r="O90" s="101">
        <v>77.394973573451793</v>
      </c>
      <c r="P90" s="100">
        <v>3</v>
      </c>
    </row>
    <row r="91" spans="13:16" x14ac:dyDescent="0.2">
      <c r="M91" s="103">
        <v>50.4</v>
      </c>
      <c r="N91" s="102">
        <v>2003</v>
      </c>
      <c r="O91" s="101">
        <v>137.04731620319706</v>
      </c>
      <c r="P91" s="100">
        <v>3</v>
      </c>
    </row>
    <row r="92" spans="13:16" x14ac:dyDescent="0.2">
      <c r="M92" s="103">
        <v>43.5</v>
      </c>
      <c r="N92" s="102">
        <v>2003</v>
      </c>
      <c r="O92" s="101">
        <v>71.283688978256734</v>
      </c>
      <c r="P92" s="100">
        <v>3</v>
      </c>
    </row>
    <row r="93" spans="13:16" x14ac:dyDescent="0.2">
      <c r="M93" s="103">
        <v>41</v>
      </c>
      <c r="N93" s="102">
        <v>2003</v>
      </c>
      <c r="O93" s="101">
        <v>91.011837291424598</v>
      </c>
      <c r="P93" s="100">
        <v>3</v>
      </c>
    </row>
    <row r="94" spans="13:16" x14ac:dyDescent="0.2">
      <c r="M94" s="103">
        <v>40.5</v>
      </c>
      <c r="N94" s="102">
        <v>2003</v>
      </c>
      <c r="O94" s="101">
        <v>65.668730802764202</v>
      </c>
      <c r="P94" s="100">
        <v>3</v>
      </c>
    </row>
    <row r="95" spans="13:16" x14ac:dyDescent="0.2">
      <c r="M95" s="103">
        <v>40.5</v>
      </c>
      <c r="N95" s="102">
        <v>2003</v>
      </c>
      <c r="O95" s="101">
        <v>76.367728183356292</v>
      </c>
      <c r="P95" s="100">
        <v>3</v>
      </c>
    </row>
    <row r="96" spans="13:16" x14ac:dyDescent="0.2">
      <c r="M96" s="103">
        <v>30</v>
      </c>
      <c r="N96" s="102">
        <v>2003</v>
      </c>
      <c r="O96" s="101">
        <v>95.539144671519423</v>
      </c>
      <c r="P96" s="100">
        <v>3</v>
      </c>
    </row>
    <row r="97" spans="13:16" x14ac:dyDescent="0.2">
      <c r="M97" s="103">
        <v>22.44</v>
      </c>
      <c r="N97" s="102">
        <v>2003</v>
      </c>
      <c r="O97" s="101">
        <v>85.319151340440897</v>
      </c>
      <c r="P97" s="100">
        <v>3</v>
      </c>
    </row>
    <row r="98" spans="13:16" x14ac:dyDescent="0.2">
      <c r="M98" s="103">
        <v>21</v>
      </c>
      <c r="N98" s="102">
        <v>2003</v>
      </c>
      <c r="O98" s="101">
        <v>76.367728183356306</v>
      </c>
      <c r="P98" s="100">
        <v>3</v>
      </c>
    </row>
    <row r="99" spans="13:16" x14ac:dyDescent="0.2">
      <c r="M99" s="103">
        <v>15.6</v>
      </c>
      <c r="N99" s="102">
        <v>2003</v>
      </c>
      <c r="O99" s="101">
        <v>106.3164893984242</v>
      </c>
      <c r="P99" s="100">
        <v>3</v>
      </c>
    </row>
    <row r="100" spans="13:16" x14ac:dyDescent="0.2">
      <c r="M100" s="103">
        <v>10.56</v>
      </c>
      <c r="N100" s="102">
        <v>2003</v>
      </c>
      <c r="O100" s="101">
        <v>107.20849775781078</v>
      </c>
      <c r="P100" s="100">
        <v>3</v>
      </c>
    </row>
    <row r="101" spans="13:16" x14ac:dyDescent="0.2">
      <c r="M101" s="103">
        <v>160.5</v>
      </c>
      <c r="N101" s="102">
        <v>2004</v>
      </c>
      <c r="O101" s="101">
        <v>75.843630917809719</v>
      </c>
      <c r="P101" s="100">
        <v>4</v>
      </c>
    </row>
    <row r="102" spans="13:16" x14ac:dyDescent="0.2">
      <c r="M102" s="103">
        <v>27</v>
      </c>
      <c r="N102" s="102">
        <v>2004</v>
      </c>
      <c r="O102" s="101">
        <v>136.52789975456645</v>
      </c>
      <c r="P102" s="100">
        <v>4</v>
      </c>
    </row>
    <row r="103" spans="13:16" x14ac:dyDescent="0.2">
      <c r="M103" s="103">
        <v>20.46</v>
      </c>
      <c r="N103" s="102">
        <v>2004</v>
      </c>
      <c r="O103" s="101">
        <v>79.387282900298132</v>
      </c>
      <c r="P103" s="100">
        <v>4</v>
      </c>
    </row>
    <row r="104" spans="13:16" x14ac:dyDescent="0.2">
      <c r="M104" s="103">
        <v>150</v>
      </c>
      <c r="N104" s="102">
        <v>2005</v>
      </c>
      <c r="O104" s="101">
        <v>78.049387381811428</v>
      </c>
      <c r="P104" s="100">
        <v>4</v>
      </c>
    </row>
    <row r="105" spans="13:16" x14ac:dyDescent="0.2">
      <c r="M105" s="103">
        <v>150</v>
      </c>
      <c r="N105" s="102">
        <v>2005</v>
      </c>
      <c r="O105" s="101">
        <v>85.740180453821864</v>
      </c>
      <c r="P105" s="100">
        <v>4</v>
      </c>
    </row>
    <row r="106" spans="13:16" x14ac:dyDescent="0.2">
      <c r="M106" s="103">
        <v>149.4</v>
      </c>
      <c r="N106" s="102">
        <v>2005</v>
      </c>
      <c r="O106" s="101">
        <v>91.388186134000293</v>
      </c>
      <c r="P106" s="100">
        <v>4</v>
      </c>
    </row>
    <row r="107" spans="13:16" x14ac:dyDescent="0.2">
      <c r="M107" s="103">
        <v>135</v>
      </c>
      <c r="N107" s="102">
        <v>2005</v>
      </c>
      <c r="O107" s="101">
        <v>75.349477188318247</v>
      </c>
      <c r="P107" s="100">
        <v>4</v>
      </c>
    </row>
    <row r="108" spans="13:16" x14ac:dyDescent="0.2">
      <c r="M108" s="103">
        <v>135</v>
      </c>
      <c r="N108" s="102">
        <v>2005</v>
      </c>
      <c r="O108" s="101">
        <v>78.026555885335171</v>
      </c>
      <c r="P108" s="100">
        <v>4</v>
      </c>
    </row>
    <row r="109" spans="13:16" x14ac:dyDescent="0.2">
      <c r="M109" s="103">
        <v>120.6</v>
      </c>
      <c r="N109" s="102">
        <v>2005</v>
      </c>
      <c r="O109" s="101">
        <v>87.53483765534763</v>
      </c>
      <c r="P109" s="100">
        <v>4</v>
      </c>
    </row>
    <row r="110" spans="13:16" x14ac:dyDescent="0.2">
      <c r="M110" s="103">
        <v>120</v>
      </c>
      <c r="N110" s="102">
        <v>2005</v>
      </c>
      <c r="O110" s="101">
        <v>72.790016413233914</v>
      </c>
      <c r="P110" s="100">
        <v>4</v>
      </c>
    </row>
    <row r="111" spans="13:16" x14ac:dyDescent="0.2">
      <c r="M111" s="103">
        <v>114</v>
      </c>
      <c r="N111" s="102">
        <v>2005</v>
      </c>
      <c r="O111" s="101">
        <v>56.63131844968418</v>
      </c>
      <c r="P111" s="100">
        <v>4</v>
      </c>
    </row>
    <row r="112" spans="13:16" x14ac:dyDescent="0.2">
      <c r="M112" s="103">
        <v>106.5</v>
      </c>
      <c r="N112" s="102">
        <v>2005</v>
      </c>
      <c r="O112" s="101">
        <v>51.053895652542458</v>
      </c>
      <c r="P112" s="100">
        <v>4</v>
      </c>
    </row>
    <row r="113" spans="13:16" x14ac:dyDescent="0.2">
      <c r="M113" s="103">
        <v>100.5</v>
      </c>
      <c r="N113" s="102">
        <v>2005</v>
      </c>
      <c r="O113" s="101">
        <v>69.105139382737676</v>
      </c>
      <c r="P113" s="100">
        <v>4</v>
      </c>
    </row>
    <row r="114" spans="13:16" x14ac:dyDescent="0.2">
      <c r="M114" s="103">
        <v>91.5</v>
      </c>
      <c r="N114" s="102">
        <v>2005</v>
      </c>
      <c r="O114" s="101">
        <v>66.088549141632882</v>
      </c>
      <c r="P114" s="100">
        <v>4</v>
      </c>
    </row>
    <row r="115" spans="13:16" x14ac:dyDescent="0.2">
      <c r="M115" s="103">
        <v>75</v>
      </c>
      <c r="N115" s="102">
        <v>2005</v>
      </c>
      <c r="O115" s="101">
        <v>76.487687943272249</v>
      </c>
      <c r="P115" s="100">
        <v>4</v>
      </c>
    </row>
    <row r="116" spans="13:16" x14ac:dyDescent="0.2">
      <c r="M116" s="103">
        <v>64.5</v>
      </c>
      <c r="N116" s="102">
        <v>2005</v>
      </c>
      <c r="O116" s="101">
        <v>86.432425279679251</v>
      </c>
      <c r="P116" s="100">
        <v>4</v>
      </c>
    </row>
    <row r="117" spans="13:16" x14ac:dyDescent="0.2">
      <c r="M117" s="103">
        <v>59.4</v>
      </c>
      <c r="N117" s="102">
        <v>2005</v>
      </c>
      <c r="O117" s="101">
        <v>86.401325192144299</v>
      </c>
      <c r="P117" s="100">
        <v>4</v>
      </c>
    </row>
    <row r="118" spans="13:16" x14ac:dyDescent="0.2">
      <c r="M118" s="103">
        <v>54.45</v>
      </c>
      <c r="N118" s="102">
        <v>2005</v>
      </c>
      <c r="O118" s="101">
        <v>87.815443396928231</v>
      </c>
      <c r="P118" s="100">
        <v>4</v>
      </c>
    </row>
    <row r="119" spans="13:16" x14ac:dyDescent="0.2">
      <c r="M119" s="103">
        <v>50</v>
      </c>
      <c r="N119" s="102">
        <v>2005</v>
      </c>
      <c r="O119" s="101">
        <v>93.302042623803487</v>
      </c>
      <c r="P119" s="100">
        <v>4</v>
      </c>
    </row>
    <row r="120" spans="13:16" x14ac:dyDescent="0.2">
      <c r="M120" s="103">
        <v>40.5</v>
      </c>
      <c r="N120" s="102">
        <v>2005</v>
      </c>
      <c r="O120" s="101">
        <v>51.053895652542458</v>
      </c>
      <c r="P120" s="100">
        <v>4</v>
      </c>
    </row>
    <row r="121" spans="13:16" x14ac:dyDescent="0.2">
      <c r="M121" s="103">
        <v>35</v>
      </c>
      <c r="N121" s="102">
        <v>2005</v>
      </c>
      <c r="O121" s="101">
        <v>89.104160024009687</v>
      </c>
      <c r="P121" s="100">
        <v>4</v>
      </c>
    </row>
    <row r="122" spans="13:16" x14ac:dyDescent="0.2">
      <c r="M122" s="103">
        <v>15</v>
      </c>
      <c r="N122" s="102">
        <v>2005</v>
      </c>
      <c r="O122" s="101">
        <v>83.328041742121187</v>
      </c>
      <c r="P122" s="100">
        <v>4</v>
      </c>
    </row>
    <row r="123" spans="13:16" x14ac:dyDescent="0.2">
      <c r="M123" s="103">
        <v>10.5</v>
      </c>
      <c r="N123" s="102">
        <v>2005</v>
      </c>
      <c r="O123" s="101">
        <v>74.944812801513251</v>
      </c>
      <c r="P123" s="100">
        <v>4</v>
      </c>
    </row>
    <row r="124" spans="13:16" x14ac:dyDescent="0.2">
      <c r="M124" s="103">
        <v>7.5</v>
      </c>
      <c r="N124" s="102">
        <v>2005</v>
      </c>
      <c r="O124" s="101">
        <v>100.62508651592987</v>
      </c>
      <c r="P124" s="100">
        <v>4</v>
      </c>
    </row>
    <row r="125" spans="13:16" x14ac:dyDescent="0.2">
      <c r="M125" s="103">
        <v>321.75</v>
      </c>
      <c r="N125" s="102">
        <v>2006</v>
      </c>
      <c r="O125" s="101">
        <v>86.420883429928395</v>
      </c>
      <c r="P125" s="100">
        <v>5</v>
      </c>
    </row>
    <row r="126" spans="13:16" x14ac:dyDescent="0.2">
      <c r="M126" s="103">
        <v>228.6</v>
      </c>
      <c r="N126" s="102">
        <v>2006</v>
      </c>
      <c r="O126" s="101">
        <v>106.78502516001986</v>
      </c>
      <c r="P126" s="100">
        <v>5</v>
      </c>
    </row>
    <row r="127" spans="13:16" x14ac:dyDescent="0.2">
      <c r="M127" s="103">
        <v>199.5</v>
      </c>
      <c r="N127" s="102">
        <v>2006</v>
      </c>
      <c r="O127" s="101">
        <v>89.094230289266704</v>
      </c>
      <c r="P127" s="100">
        <v>5</v>
      </c>
    </row>
    <row r="128" spans="13:16" x14ac:dyDescent="0.2">
      <c r="M128" s="103">
        <v>150</v>
      </c>
      <c r="N128" s="102">
        <v>2006</v>
      </c>
      <c r="O128" s="101">
        <v>83.163362468302978</v>
      </c>
      <c r="P128" s="100">
        <v>5</v>
      </c>
    </row>
    <row r="129" spans="13:16" x14ac:dyDescent="0.2">
      <c r="M129" s="103">
        <v>124.2</v>
      </c>
      <c r="N129" s="102">
        <v>2006</v>
      </c>
      <c r="O129" s="101">
        <v>88.343583879370698</v>
      </c>
      <c r="P129" s="100">
        <v>5</v>
      </c>
    </row>
    <row r="130" spans="13:16" x14ac:dyDescent="0.2">
      <c r="M130" s="103">
        <v>120</v>
      </c>
      <c r="N130" s="102">
        <v>2006</v>
      </c>
      <c r="O130" s="101">
        <v>97.759324573898311</v>
      </c>
      <c r="P130" s="100">
        <v>5</v>
      </c>
    </row>
    <row r="131" spans="13:16" x14ac:dyDescent="0.2">
      <c r="M131" s="103">
        <v>100.5</v>
      </c>
      <c r="N131" s="102">
        <v>2006</v>
      </c>
      <c r="O131" s="101">
        <v>79.342704702714585</v>
      </c>
      <c r="P131" s="100">
        <v>5</v>
      </c>
    </row>
    <row r="132" spans="13:16" x14ac:dyDescent="0.2">
      <c r="M132" s="103">
        <v>100.5</v>
      </c>
      <c r="N132" s="102">
        <v>2006</v>
      </c>
      <c r="O132" s="101">
        <v>120.07176424869301</v>
      </c>
      <c r="P132" s="100">
        <v>5</v>
      </c>
    </row>
    <row r="133" spans="13:16" x14ac:dyDescent="0.2">
      <c r="M133" s="103">
        <v>99</v>
      </c>
      <c r="N133" s="102">
        <v>2006</v>
      </c>
      <c r="O133" s="101">
        <v>74.886892358457573</v>
      </c>
      <c r="P133" s="100">
        <v>5</v>
      </c>
    </row>
    <row r="134" spans="13:16" x14ac:dyDescent="0.2">
      <c r="M134" s="103">
        <v>98.9</v>
      </c>
      <c r="N134" s="102">
        <v>2006</v>
      </c>
      <c r="O134" s="101">
        <v>81.487722671707076</v>
      </c>
      <c r="P134" s="100">
        <v>5</v>
      </c>
    </row>
    <row r="135" spans="13:16" x14ac:dyDescent="0.2">
      <c r="M135" s="103">
        <v>50.6</v>
      </c>
      <c r="N135" s="102">
        <v>2006</v>
      </c>
      <c r="O135" s="101">
        <v>76.140104469827619</v>
      </c>
      <c r="P135" s="100">
        <v>5</v>
      </c>
    </row>
    <row r="136" spans="13:16" x14ac:dyDescent="0.2">
      <c r="M136" s="103">
        <v>49.5</v>
      </c>
      <c r="N136" s="102">
        <v>2006</v>
      </c>
      <c r="O136" s="101">
        <v>66.260258188008649</v>
      </c>
      <c r="P136" s="100">
        <v>5</v>
      </c>
    </row>
    <row r="137" spans="13:16" x14ac:dyDescent="0.2">
      <c r="M137" s="103">
        <v>42</v>
      </c>
      <c r="N137" s="102">
        <v>2006</v>
      </c>
      <c r="O137" s="101">
        <v>103.32370746219617</v>
      </c>
      <c r="P137" s="100">
        <v>5</v>
      </c>
    </row>
    <row r="138" spans="13:16" x14ac:dyDescent="0.2">
      <c r="M138" s="103">
        <v>38</v>
      </c>
      <c r="N138" s="102">
        <v>2006</v>
      </c>
      <c r="O138" s="101">
        <v>76.563125169790297</v>
      </c>
      <c r="P138" s="100">
        <v>5</v>
      </c>
    </row>
    <row r="139" spans="13:16" x14ac:dyDescent="0.2">
      <c r="M139" s="103">
        <v>26</v>
      </c>
      <c r="N139" s="102">
        <v>2006</v>
      </c>
      <c r="O139" s="101">
        <v>93.458181456905578</v>
      </c>
      <c r="P139" s="100">
        <v>5</v>
      </c>
    </row>
    <row r="140" spans="13:16" x14ac:dyDescent="0.2">
      <c r="M140" s="103">
        <v>24</v>
      </c>
      <c r="N140" s="102">
        <v>2006</v>
      </c>
      <c r="O140" s="101">
        <v>85.268608694207913</v>
      </c>
      <c r="P140" s="100">
        <v>5</v>
      </c>
    </row>
    <row r="141" spans="13:16" x14ac:dyDescent="0.2">
      <c r="M141" s="103">
        <v>24</v>
      </c>
      <c r="N141" s="102">
        <v>2006</v>
      </c>
      <c r="O141" s="101">
        <v>102.37779358055437</v>
      </c>
      <c r="P141" s="100">
        <v>5</v>
      </c>
    </row>
    <row r="142" spans="13:16" x14ac:dyDescent="0.2">
      <c r="M142" s="103">
        <v>11.88</v>
      </c>
      <c r="N142" s="102">
        <v>2006</v>
      </c>
      <c r="O142" s="101">
        <v>64.231200698060235</v>
      </c>
      <c r="P142" s="100">
        <v>5</v>
      </c>
    </row>
    <row r="143" spans="13:16" x14ac:dyDescent="0.2">
      <c r="M143" s="103">
        <v>6.25</v>
      </c>
      <c r="N143" s="102">
        <v>2006</v>
      </c>
      <c r="O143" s="101">
        <v>80.725247895895876</v>
      </c>
      <c r="P143" s="100">
        <v>5</v>
      </c>
    </row>
    <row r="144" spans="13:16" x14ac:dyDescent="0.2">
      <c r="M144" s="103">
        <v>400.5</v>
      </c>
      <c r="N144" s="102">
        <v>2007</v>
      </c>
      <c r="O144" s="101">
        <v>92.616296113079756</v>
      </c>
      <c r="P144" s="100">
        <v>6</v>
      </c>
    </row>
    <row r="145" spans="13:16" x14ac:dyDescent="0.2">
      <c r="M145" s="103">
        <v>300.5</v>
      </c>
      <c r="N145" s="102">
        <v>2007</v>
      </c>
      <c r="O145" s="101">
        <v>95.685596657224323</v>
      </c>
      <c r="P145" s="100">
        <v>6</v>
      </c>
    </row>
    <row r="146" spans="13:16" x14ac:dyDescent="0.2">
      <c r="M146" s="103">
        <v>232.5</v>
      </c>
      <c r="N146" s="102">
        <v>2007</v>
      </c>
      <c r="O146" s="101">
        <v>94.391878072678125</v>
      </c>
      <c r="P146" s="100">
        <v>6</v>
      </c>
    </row>
    <row r="147" spans="13:16" x14ac:dyDescent="0.2">
      <c r="M147" s="103">
        <v>205.5</v>
      </c>
      <c r="N147" s="102">
        <v>2007</v>
      </c>
      <c r="O147" s="101">
        <v>91.274881974645325</v>
      </c>
      <c r="P147" s="100">
        <v>6</v>
      </c>
    </row>
    <row r="148" spans="13:16" x14ac:dyDescent="0.2">
      <c r="M148" s="103">
        <v>204.7</v>
      </c>
      <c r="N148" s="102">
        <v>2007</v>
      </c>
      <c r="O148" s="101">
        <v>99.03730716168397</v>
      </c>
      <c r="P148" s="100">
        <v>6</v>
      </c>
    </row>
    <row r="149" spans="13:16" x14ac:dyDescent="0.2">
      <c r="M149" s="103">
        <v>200</v>
      </c>
      <c r="N149" s="102">
        <v>2007</v>
      </c>
      <c r="O149" s="101">
        <v>87.301669659110757</v>
      </c>
      <c r="P149" s="100">
        <v>6</v>
      </c>
    </row>
    <row r="150" spans="13:16" x14ac:dyDescent="0.2">
      <c r="M150" s="103">
        <v>198</v>
      </c>
      <c r="N150" s="102">
        <v>2007</v>
      </c>
      <c r="O150" s="101">
        <v>92.410019271983202</v>
      </c>
      <c r="P150" s="100">
        <v>6</v>
      </c>
    </row>
    <row r="151" spans="13:16" x14ac:dyDescent="0.2">
      <c r="M151" s="103">
        <v>161</v>
      </c>
      <c r="N151" s="102">
        <v>2007</v>
      </c>
      <c r="O151" s="101">
        <v>70.979701221594325</v>
      </c>
      <c r="P151" s="100">
        <v>6</v>
      </c>
    </row>
    <row r="152" spans="13:16" x14ac:dyDescent="0.2">
      <c r="M152" s="103">
        <v>159</v>
      </c>
      <c r="N152" s="102">
        <v>2007</v>
      </c>
      <c r="O152" s="101">
        <v>56.670568975719092</v>
      </c>
      <c r="P152" s="100">
        <v>6</v>
      </c>
    </row>
    <row r="153" spans="13:16" x14ac:dyDescent="0.2">
      <c r="M153" s="103">
        <v>150</v>
      </c>
      <c r="N153" s="102">
        <v>2007</v>
      </c>
      <c r="O153" s="101">
        <v>76.334764304718306</v>
      </c>
      <c r="P153" s="100">
        <v>6</v>
      </c>
    </row>
    <row r="154" spans="13:16" x14ac:dyDescent="0.2">
      <c r="M154" s="103">
        <v>140.4</v>
      </c>
      <c r="N154" s="102">
        <v>2007</v>
      </c>
      <c r="O154" s="101">
        <v>105.95876465545329</v>
      </c>
      <c r="P154" s="100">
        <v>6</v>
      </c>
    </row>
    <row r="155" spans="13:16" x14ac:dyDescent="0.2">
      <c r="M155" s="103">
        <v>130.5</v>
      </c>
      <c r="N155" s="102">
        <v>2007</v>
      </c>
      <c r="O155" s="101">
        <v>90.215862134097065</v>
      </c>
      <c r="P155" s="100">
        <v>6</v>
      </c>
    </row>
    <row r="156" spans="13:16" x14ac:dyDescent="0.2">
      <c r="M156" s="103">
        <v>125.4</v>
      </c>
      <c r="N156" s="102">
        <v>2007</v>
      </c>
      <c r="O156" s="101">
        <v>115.0311906153844</v>
      </c>
      <c r="P156" s="100">
        <v>6</v>
      </c>
    </row>
    <row r="157" spans="13:16" x14ac:dyDescent="0.2">
      <c r="M157" s="103">
        <v>123</v>
      </c>
      <c r="N157" s="102">
        <v>2007</v>
      </c>
      <c r="O157" s="101">
        <v>97.475525881543518</v>
      </c>
      <c r="P157" s="100">
        <v>6</v>
      </c>
    </row>
    <row r="158" spans="13:16" x14ac:dyDescent="0.2">
      <c r="M158" s="103">
        <v>94.5</v>
      </c>
      <c r="N158" s="102">
        <v>2007</v>
      </c>
      <c r="O158" s="101">
        <v>87.000484623073817</v>
      </c>
      <c r="P158" s="100">
        <v>6</v>
      </c>
    </row>
    <row r="159" spans="13:16" x14ac:dyDescent="0.2">
      <c r="M159" s="103">
        <v>90</v>
      </c>
      <c r="N159" s="102">
        <v>2007</v>
      </c>
      <c r="O159" s="101">
        <v>103.44378080119421</v>
      </c>
      <c r="P159" s="100">
        <v>6</v>
      </c>
    </row>
    <row r="160" spans="13:16" x14ac:dyDescent="0.2">
      <c r="M160" s="103">
        <v>80.5</v>
      </c>
      <c r="N160" s="102">
        <v>2007</v>
      </c>
      <c r="O160" s="101">
        <v>75.878145268957212</v>
      </c>
      <c r="P160" s="100">
        <v>6</v>
      </c>
    </row>
    <row r="161" spans="13:16" x14ac:dyDescent="0.2">
      <c r="M161" s="103">
        <v>80</v>
      </c>
      <c r="N161" s="102">
        <v>2007</v>
      </c>
      <c r="O161" s="101">
        <v>87.318613631503865</v>
      </c>
      <c r="P161" s="100">
        <v>6</v>
      </c>
    </row>
    <row r="162" spans="13:16" x14ac:dyDescent="0.2">
      <c r="M162" s="103">
        <v>80</v>
      </c>
      <c r="N162" s="102">
        <v>2007</v>
      </c>
      <c r="O162" s="101">
        <v>97.90560234632521</v>
      </c>
      <c r="P162" s="100">
        <v>6</v>
      </c>
    </row>
    <row r="163" spans="13:16" x14ac:dyDescent="0.2">
      <c r="M163" s="103">
        <v>75</v>
      </c>
      <c r="N163" s="102">
        <v>2007</v>
      </c>
      <c r="O163" s="101">
        <v>62.777331882678702</v>
      </c>
      <c r="P163" s="100">
        <v>6</v>
      </c>
    </row>
    <row r="164" spans="13:16" x14ac:dyDescent="0.2">
      <c r="M164" s="103">
        <v>75</v>
      </c>
      <c r="N164" s="102">
        <v>2007</v>
      </c>
      <c r="O164" s="101">
        <v>97.47552588154349</v>
      </c>
      <c r="P164" s="100">
        <v>6</v>
      </c>
    </row>
    <row r="165" spans="13:16" x14ac:dyDescent="0.2">
      <c r="M165" s="103">
        <v>59.8</v>
      </c>
      <c r="N165" s="102">
        <v>2007</v>
      </c>
      <c r="O165" s="101">
        <v>89.942917455191079</v>
      </c>
      <c r="P165" s="100">
        <v>6</v>
      </c>
    </row>
    <row r="166" spans="13:16" x14ac:dyDescent="0.2">
      <c r="M166" s="103">
        <v>56.7</v>
      </c>
      <c r="N166" s="102">
        <v>2007</v>
      </c>
      <c r="O166" s="101">
        <v>108.34340549328341</v>
      </c>
      <c r="P166" s="100">
        <v>6</v>
      </c>
    </row>
    <row r="167" spans="13:16" x14ac:dyDescent="0.2">
      <c r="M167" s="103">
        <v>48</v>
      </c>
      <c r="N167" s="102">
        <v>2007</v>
      </c>
      <c r="O167" s="101">
        <v>71.061803250079635</v>
      </c>
      <c r="P167" s="100">
        <v>6</v>
      </c>
    </row>
    <row r="168" spans="13:16" x14ac:dyDescent="0.2">
      <c r="M168" s="103">
        <v>34.5</v>
      </c>
      <c r="N168" s="102">
        <v>2007</v>
      </c>
      <c r="O168" s="101">
        <v>100.19823444842318</v>
      </c>
      <c r="P168" s="100">
        <v>6</v>
      </c>
    </row>
    <row r="169" spans="13:16" x14ac:dyDescent="0.2">
      <c r="M169" s="103">
        <v>34.5</v>
      </c>
      <c r="N169" s="102">
        <v>2007</v>
      </c>
      <c r="O169" s="101">
        <v>108.24215843528157</v>
      </c>
      <c r="P169" s="100">
        <v>6</v>
      </c>
    </row>
    <row r="170" spans="13:16" x14ac:dyDescent="0.2">
      <c r="M170" s="103">
        <v>21</v>
      </c>
      <c r="N170" s="102">
        <v>2007</v>
      </c>
      <c r="O170" s="101">
        <v>73.905395200792896</v>
      </c>
      <c r="P170" s="100">
        <v>6</v>
      </c>
    </row>
    <row r="171" spans="13:16" x14ac:dyDescent="0.2">
      <c r="M171" s="103">
        <v>20</v>
      </c>
      <c r="N171" s="102">
        <v>2007</v>
      </c>
      <c r="O171" s="101">
        <v>139.40795547222112</v>
      </c>
      <c r="P171" s="100">
        <v>6</v>
      </c>
    </row>
    <row r="172" spans="13:16" x14ac:dyDescent="0.2">
      <c r="M172" s="103">
        <v>14.7</v>
      </c>
      <c r="N172" s="102">
        <v>2007</v>
      </c>
      <c r="O172" s="101">
        <v>78.188208757395586</v>
      </c>
      <c r="P172" s="100">
        <v>6</v>
      </c>
    </row>
    <row r="173" spans="13:16" x14ac:dyDescent="0.2">
      <c r="M173" s="103">
        <v>209</v>
      </c>
      <c r="N173" s="102">
        <v>2008</v>
      </c>
      <c r="O173" s="101">
        <v>107.14800573790725</v>
      </c>
      <c r="P173" s="100">
        <v>7</v>
      </c>
    </row>
    <row r="174" spans="13:16" x14ac:dyDescent="0.2">
      <c r="M174" s="103">
        <v>200</v>
      </c>
      <c r="N174" s="102">
        <v>2008</v>
      </c>
      <c r="O174" s="101">
        <v>83.544079184219726</v>
      </c>
      <c r="P174" s="100">
        <v>7</v>
      </c>
    </row>
    <row r="175" spans="13:16" x14ac:dyDescent="0.2">
      <c r="M175" s="103">
        <v>198</v>
      </c>
      <c r="N175" s="102">
        <v>2008</v>
      </c>
      <c r="O175" s="101">
        <v>86.368805584470707</v>
      </c>
      <c r="P175" s="100">
        <v>7</v>
      </c>
    </row>
    <row r="176" spans="13:16" x14ac:dyDescent="0.2">
      <c r="M176" s="103">
        <v>198</v>
      </c>
      <c r="N176" s="102">
        <v>2008</v>
      </c>
      <c r="O176" s="101">
        <v>86.603564480730981</v>
      </c>
      <c r="P176" s="100">
        <v>7</v>
      </c>
    </row>
    <row r="177" spans="13:16" x14ac:dyDescent="0.2">
      <c r="M177" s="103">
        <v>196.5</v>
      </c>
      <c r="N177" s="102">
        <v>2008</v>
      </c>
      <c r="O177" s="101">
        <v>100.26689939843517</v>
      </c>
      <c r="P177" s="100">
        <v>7</v>
      </c>
    </row>
    <row r="178" spans="13:16" x14ac:dyDescent="0.2">
      <c r="M178" s="103">
        <v>180</v>
      </c>
      <c r="N178" s="102">
        <v>2008</v>
      </c>
      <c r="O178" s="101">
        <v>144.04037236258506</v>
      </c>
      <c r="P178" s="100">
        <v>7</v>
      </c>
    </row>
    <row r="179" spans="13:16" x14ac:dyDescent="0.2">
      <c r="M179" s="103">
        <v>180</v>
      </c>
      <c r="N179" s="102">
        <v>2008</v>
      </c>
      <c r="O179" s="101">
        <v>83.001147567784926</v>
      </c>
      <c r="P179" s="100">
        <v>7</v>
      </c>
    </row>
    <row r="180" spans="13:16" x14ac:dyDescent="0.2">
      <c r="M180" s="103">
        <v>174.8</v>
      </c>
      <c r="N180" s="102">
        <v>2008</v>
      </c>
      <c r="O180" s="101">
        <v>89.224959869278024</v>
      </c>
      <c r="P180" s="100">
        <v>7</v>
      </c>
    </row>
    <row r="181" spans="13:16" x14ac:dyDescent="0.2">
      <c r="M181" s="103">
        <v>170.2</v>
      </c>
      <c r="N181" s="102">
        <v>2008</v>
      </c>
      <c r="O181" s="101">
        <v>99.829530969615917</v>
      </c>
      <c r="P181" s="100">
        <v>7</v>
      </c>
    </row>
    <row r="182" spans="13:16" x14ac:dyDescent="0.2">
      <c r="M182" s="103">
        <v>169.5</v>
      </c>
      <c r="N182" s="102">
        <v>2008</v>
      </c>
      <c r="O182" s="101">
        <v>107.07072386893552</v>
      </c>
      <c r="P182" s="100">
        <v>7</v>
      </c>
    </row>
    <row r="183" spans="13:16" x14ac:dyDescent="0.2">
      <c r="M183" s="103">
        <v>165.6</v>
      </c>
      <c r="N183" s="102">
        <v>2008</v>
      </c>
      <c r="O183" s="101">
        <v>114.03984981875254</v>
      </c>
      <c r="P183" s="100">
        <v>7</v>
      </c>
    </row>
    <row r="184" spans="13:16" x14ac:dyDescent="0.2">
      <c r="M184" s="103">
        <v>164</v>
      </c>
      <c r="N184" s="102">
        <v>2008</v>
      </c>
      <c r="O184" s="101">
        <v>116.38754107488514</v>
      </c>
      <c r="P184" s="100">
        <v>7</v>
      </c>
    </row>
    <row r="185" spans="13:16" x14ac:dyDescent="0.2">
      <c r="M185" s="103">
        <v>153</v>
      </c>
      <c r="N185" s="102">
        <v>2008</v>
      </c>
      <c r="O185" s="101">
        <v>100.17756917853322</v>
      </c>
      <c r="P185" s="100">
        <v>7</v>
      </c>
    </row>
    <row r="186" spans="13:16" x14ac:dyDescent="0.2">
      <c r="M186" s="103">
        <v>150</v>
      </c>
      <c r="N186" s="102">
        <v>2008</v>
      </c>
      <c r="O186" s="101">
        <v>87.488593208840385</v>
      </c>
      <c r="P186" s="100">
        <v>7</v>
      </c>
    </row>
    <row r="187" spans="13:16" x14ac:dyDescent="0.2">
      <c r="M187" s="103">
        <v>150</v>
      </c>
      <c r="N187" s="102">
        <v>2008</v>
      </c>
      <c r="O187" s="101">
        <v>83.59289492885992</v>
      </c>
      <c r="P187" s="100">
        <v>7</v>
      </c>
    </row>
    <row r="188" spans="13:16" x14ac:dyDescent="0.2">
      <c r="M188" s="103">
        <v>150</v>
      </c>
      <c r="N188" s="102">
        <v>2008</v>
      </c>
      <c r="O188" s="101">
        <v>120.81957792886705</v>
      </c>
      <c r="P188" s="100">
        <v>7</v>
      </c>
    </row>
    <row r="189" spans="13:16" x14ac:dyDescent="0.2">
      <c r="M189" s="103">
        <v>145.19999999999999</v>
      </c>
      <c r="N189" s="102">
        <v>2008</v>
      </c>
      <c r="O189" s="101">
        <v>122.04103681255785</v>
      </c>
      <c r="P189" s="100">
        <v>7</v>
      </c>
    </row>
    <row r="190" spans="13:16" x14ac:dyDescent="0.2">
      <c r="M190" s="103">
        <v>142.5</v>
      </c>
      <c r="N190" s="102">
        <v>2008</v>
      </c>
      <c r="O190" s="101">
        <v>70.734677079427414</v>
      </c>
      <c r="P190" s="100">
        <v>7</v>
      </c>
    </row>
    <row r="191" spans="13:16" x14ac:dyDescent="0.2">
      <c r="M191" s="103">
        <v>130.5</v>
      </c>
      <c r="N191" s="102">
        <v>2008</v>
      </c>
      <c r="O191" s="101">
        <v>91.977363208028478</v>
      </c>
      <c r="P191" s="100">
        <v>7</v>
      </c>
    </row>
    <row r="192" spans="13:16" x14ac:dyDescent="0.2">
      <c r="M192" s="103">
        <v>129</v>
      </c>
      <c r="N192" s="102">
        <v>2008</v>
      </c>
      <c r="O192" s="101">
        <v>105.35238317785566</v>
      </c>
      <c r="P192" s="100">
        <v>7</v>
      </c>
    </row>
    <row r="193" spans="13:16" x14ac:dyDescent="0.2">
      <c r="M193" s="103">
        <v>126.5</v>
      </c>
      <c r="N193" s="102">
        <v>2008</v>
      </c>
      <c r="O193" s="101">
        <v>93.570667534902952</v>
      </c>
      <c r="P193" s="100">
        <v>7</v>
      </c>
    </row>
    <row r="194" spans="13:16" x14ac:dyDescent="0.2">
      <c r="M194" s="103">
        <v>123</v>
      </c>
      <c r="N194" s="102">
        <v>2008</v>
      </c>
      <c r="O194" s="101">
        <v>87.21198644764246</v>
      </c>
      <c r="P194" s="100">
        <v>7</v>
      </c>
    </row>
    <row r="195" spans="13:16" x14ac:dyDescent="0.2">
      <c r="M195" s="103">
        <v>120</v>
      </c>
      <c r="N195" s="102">
        <v>2008</v>
      </c>
      <c r="O195" s="101">
        <v>101.98249286651877</v>
      </c>
      <c r="P195" s="100">
        <v>7</v>
      </c>
    </row>
    <row r="196" spans="13:16" x14ac:dyDescent="0.2">
      <c r="M196" s="103">
        <v>118.5</v>
      </c>
      <c r="N196" s="102">
        <v>2008</v>
      </c>
      <c r="O196" s="101">
        <v>77.361181095567147</v>
      </c>
      <c r="P196" s="100">
        <v>7</v>
      </c>
    </row>
    <row r="197" spans="13:16" x14ac:dyDescent="0.2">
      <c r="M197" s="103">
        <v>112.5</v>
      </c>
      <c r="N197" s="102">
        <v>2008</v>
      </c>
      <c r="O197" s="101">
        <v>64.584058403619807</v>
      </c>
      <c r="P197" s="100">
        <v>7</v>
      </c>
    </row>
    <row r="198" spans="13:16" x14ac:dyDescent="0.2">
      <c r="M198" s="103">
        <v>106.5</v>
      </c>
      <c r="N198" s="102">
        <v>2008</v>
      </c>
      <c r="O198" s="101">
        <v>115.18453736219399</v>
      </c>
      <c r="P198" s="100">
        <v>7</v>
      </c>
    </row>
    <row r="199" spans="13:16" x14ac:dyDescent="0.2">
      <c r="M199" s="103">
        <v>105</v>
      </c>
      <c r="N199" s="102">
        <v>2008</v>
      </c>
      <c r="O199" s="101">
        <v>93.588586236272093</v>
      </c>
      <c r="P199" s="100">
        <v>7</v>
      </c>
    </row>
    <row r="200" spans="13:16" x14ac:dyDescent="0.2">
      <c r="M200" s="103">
        <v>100.65</v>
      </c>
      <c r="N200" s="102">
        <v>2008</v>
      </c>
      <c r="O200" s="101">
        <v>72.294467020174281</v>
      </c>
      <c r="P200" s="100">
        <v>7</v>
      </c>
    </row>
    <row r="201" spans="13:16" x14ac:dyDescent="0.2">
      <c r="M201" s="103">
        <v>100.5</v>
      </c>
      <c r="N201" s="102">
        <v>2008</v>
      </c>
      <c r="O201" s="101">
        <v>179.61714689372369</v>
      </c>
      <c r="P201" s="100">
        <v>7</v>
      </c>
    </row>
    <row r="202" spans="13:16" x14ac:dyDescent="0.2">
      <c r="M202" s="103">
        <v>100.5</v>
      </c>
      <c r="N202" s="102">
        <v>2008</v>
      </c>
      <c r="O202" s="101">
        <v>157.3560887427106</v>
      </c>
      <c r="P202" s="100">
        <v>7</v>
      </c>
    </row>
    <row r="203" spans="13:16" x14ac:dyDescent="0.2">
      <c r="M203" s="103">
        <v>100.5</v>
      </c>
      <c r="N203" s="102">
        <v>2008</v>
      </c>
      <c r="O203" s="101">
        <v>97.65824803438511</v>
      </c>
      <c r="P203" s="100">
        <v>7</v>
      </c>
    </row>
    <row r="204" spans="13:16" x14ac:dyDescent="0.2">
      <c r="M204" s="103">
        <v>100</v>
      </c>
      <c r="N204" s="102">
        <v>2008</v>
      </c>
      <c r="O204" s="101">
        <v>77.083192382226983</v>
      </c>
      <c r="P204" s="100">
        <v>7</v>
      </c>
    </row>
    <row r="205" spans="13:16" x14ac:dyDescent="0.2">
      <c r="M205" s="103">
        <v>100</v>
      </c>
      <c r="N205" s="102">
        <v>2008</v>
      </c>
      <c r="O205" s="101">
        <v>124.83123284103674</v>
      </c>
      <c r="P205" s="100">
        <v>7</v>
      </c>
    </row>
    <row r="206" spans="13:16" x14ac:dyDescent="0.2">
      <c r="M206" s="103">
        <v>99</v>
      </c>
      <c r="N206" s="102">
        <v>2008</v>
      </c>
      <c r="O206" s="101">
        <v>91.207148057497946</v>
      </c>
      <c r="P206" s="100">
        <v>7</v>
      </c>
    </row>
    <row r="207" spans="13:16" x14ac:dyDescent="0.2">
      <c r="M207" s="103">
        <v>99</v>
      </c>
      <c r="N207" s="102">
        <v>2008</v>
      </c>
      <c r="O207" s="101">
        <v>108.06734816915861</v>
      </c>
      <c r="P207" s="100">
        <v>7</v>
      </c>
    </row>
    <row r="208" spans="13:16" x14ac:dyDescent="0.2">
      <c r="M208" s="103">
        <v>96</v>
      </c>
      <c r="N208" s="102">
        <v>2008</v>
      </c>
      <c r="O208" s="101">
        <v>93.588586236272093</v>
      </c>
      <c r="P208" s="100">
        <v>7</v>
      </c>
    </row>
    <row r="209" spans="13:16" x14ac:dyDescent="0.2">
      <c r="M209" s="103">
        <v>94</v>
      </c>
      <c r="N209" s="102">
        <v>2008</v>
      </c>
      <c r="O209" s="101">
        <v>112.74905059540821</v>
      </c>
      <c r="P209" s="100">
        <v>7</v>
      </c>
    </row>
    <row r="210" spans="13:16" x14ac:dyDescent="0.2">
      <c r="M210" s="103">
        <v>81</v>
      </c>
      <c r="N210" s="102">
        <v>2008</v>
      </c>
      <c r="O210" s="101">
        <v>157.77737978683484</v>
      </c>
      <c r="P210" s="100">
        <v>7</v>
      </c>
    </row>
    <row r="211" spans="13:16" x14ac:dyDescent="0.2">
      <c r="M211" s="103">
        <v>80</v>
      </c>
      <c r="N211" s="102">
        <v>2008</v>
      </c>
      <c r="O211" s="101">
        <v>108.37807396807291</v>
      </c>
      <c r="P211" s="100">
        <v>7</v>
      </c>
    </row>
    <row r="212" spans="13:16" x14ac:dyDescent="0.2">
      <c r="M212" s="103">
        <v>75</v>
      </c>
      <c r="N212" s="102">
        <v>2008</v>
      </c>
      <c r="O212" s="101">
        <v>89.173374885931665</v>
      </c>
      <c r="P212" s="100">
        <v>7</v>
      </c>
    </row>
    <row r="213" spans="13:16" x14ac:dyDescent="0.2">
      <c r="M213" s="103">
        <v>70.2</v>
      </c>
      <c r="N213" s="102">
        <v>2008</v>
      </c>
      <c r="O213" s="101">
        <v>104.37262101811136</v>
      </c>
      <c r="P213" s="100">
        <v>7</v>
      </c>
    </row>
    <row r="214" spans="13:16" x14ac:dyDescent="0.2">
      <c r="M214" s="103">
        <v>69</v>
      </c>
      <c r="N214" s="102">
        <v>2008</v>
      </c>
      <c r="O214" s="101">
        <v>90.849430696574387</v>
      </c>
      <c r="P214" s="100">
        <v>7</v>
      </c>
    </row>
    <row r="215" spans="13:16" x14ac:dyDescent="0.2">
      <c r="M215" s="103">
        <v>67.650000000000006</v>
      </c>
      <c r="N215" s="102">
        <v>2008</v>
      </c>
      <c r="O215" s="101">
        <v>107.71121352525327</v>
      </c>
      <c r="P215" s="100">
        <v>7</v>
      </c>
    </row>
    <row r="216" spans="13:16" x14ac:dyDescent="0.2">
      <c r="M216" s="103">
        <v>60.9</v>
      </c>
      <c r="N216" s="102">
        <v>2008</v>
      </c>
      <c r="O216" s="101">
        <v>83.155453268206031</v>
      </c>
      <c r="P216" s="100">
        <v>7</v>
      </c>
    </row>
    <row r="217" spans="13:16" x14ac:dyDescent="0.2">
      <c r="M217" s="103">
        <v>60</v>
      </c>
      <c r="N217" s="102">
        <v>2008</v>
      </c>
      <c r="O217" s="101">
        <v>96.11532696789628</v>
      </c>
      <c r="P217" s="100">
        <v>7</v>
      </c>
    </row>
    <row r="218" spans="13:16" x14ac:dyDescent="0.2">
      <c r="M218" s="103">
        <v>58.8</v>
      </c>
      <c r="N218" s="102">
        <v>2008</v>
      </c>
      <c r="O218" s="101">
        <v>115.82723334288765</v>
      </c>
      <c r="P218" s="100">
        <v>7</v>
      </c>
    </row>
    <row r="219" spans="13:16" x14ac:dyDescent="0.2">
      <c r="M219" s="103">
        <v>58.5</v>
      </c>
      <c r="N219" s="102">
        <v>2008</v>
      </c>
      <c r="O219" s="101">
        <v>93.356596618290965</v>
      </c>
      <c r="P219" s="100">
        <v>7</v>
      </c>
    </row>
    <row r="220" spans="13:16" x14ac:dyDescent="0.2">
      <c r="M220" s="103">
        <v>52.8</v>
      </c>
      <c r="N220" s="102">
        <v>2008</v>
      </c>
      <c r="O220" s="101">
        <v>98.950564319825403</v>
      </c>
      <c r="P220" s="100">
        <v>7</v>
      </c>
    </row>
    <row r="221" spans="13:16" x14ac:dyDescent="0.2">
      <c r="M221" s="103">
        <v>50.4</v>
      </c>
      <c r="N221" s="102">
        <v>2008</v>
      </c>
      <c r="O221" s="101">
        <v>100.90602711944112</v>
      </c>
      <c r="P221" s="100">
        <v>7</v>
      </c>
    </row>
    <row r="222" spans="13:16" x14ac:dyDescent="0.2">
      <c r="M222" s="103">
        <v>45</v>
      </c>
      <c r="N222" s="102">
        <v>2008</v>
      </c>
      <c r="O222" s="101">
        <v>75.947308933395789</v>
      </c>
      <c r="P222" s="100">
        <v>7</v>
      </c>
    </row>
    <row r="223" spans="13:16" x14ac:dyDescent="0.2">
      <c r="M223" s="103">
        <v>40.5</v>
      </c>
      <c r="N223" s="102">
        <v>2008</v>
      </c>
      <c r="O223" s="101">
        <v>73.273861774453295</v>
      </c>
      <c r="P223" s="100">
        <v>7</v>
      </c>
    </row>
    <row r="224" spans="13:16" x14ac:dyDescent="0.2">
      <c r="M224" s="103">
        <v>37.799999999999997</v>
      </c>
      <c r="N224" s="102">
        <v>2008</v>
      </c>
      <c r="O224" s="101">
        <v>90.468475803647891</v>
      </c>
      <c r="P224" s="100">
        <v>7</v>
      </c>
    </row>
    <row r="225" spans="13:16" x14ac:dyDescent="0.2">
      <c r="M225" s="103">
        <v>32.200000000000003</v>
      </c>
      <c r="N225" s="102">
        <v>2008</v>
      </c>
      <c r="O225" s="101">
        <v>104.69742778557186</v>
      </c>
      <c r="P225" s="100">
        <v>7</v>
      </c>
    </row>
    <row r="226" spans="13:16" x14ac:dyDescent="0.2">
      <c r="M226" s="103">
        <v>29.7</v>
      </c>
      <c r="N226" s="102">
        <v>2008</v>
      </c>
      <c r="O226" s="101">
        <v>109.05833787956357</v>
      </c>
      <c r="P226" s="100">
        <v>7</v>
      </c>
    </row>
    <row r="227" spans="13:16" x14ac:dyDescent="0.2">
      <c r="M227" s="103">
        <v>29.4</v>
      </c>
      <c r="N227" s="102">
        <v>2008</v>
      </c>
      <c r="O227" s="101">
        <v>88.361206140221469</v>
      </c>
      <c r="P227" s="100">
        <v>7</v>
      </c>
    </row>
    <row r="228" spans="13:16" x14ac:dyDescent="0.2">
      <c r="M228" s="103">
        <v>29.4</v>
      </c>
      <c r="N228" s="102">
        <v>2008</v>
      </c>
      <c r="O228" s="101">
        <v>126.01100580025317</v>
      </c>
      <c r="P228" s="100">
        <v>7</v>
      </c>
    </row>
    <row r="229" spans="13:16" x14ac:dyDescent="0.2">
      <c r="M229" s="103">
        <v>25</v>
      </c>
      <c r="N229" s="102">
        <v>2008</v>
      </c>
      <c r="O229" s="101">
        <v>114.0950568792103</v>
      </c>
      <c r="P229" s="100">
        <v>7</v>
      </c>
    </row>
    <row r="230" spans="13:16" x14ac:dyDescent="0.2">
      <c r="M230" s="103">
        <v>24</v>
      </c>
      <c r="N230" s="102">
        <v>2008</v>
      </c>
      <c r="O230" s="101">
        <v>98.618867001307478</v>
      </c>
      <c r="P230" s="100">
        <v>7</v>
      </c>
    </row>
    <row r="231" spans="13:16" x14ac:dyDescent="0.2">
      <c r="M231" s="103">
        <v>19.5</v>
      </c>
      <c r="N231" s="102">
        <v>2008</v>
      </c>
      <c r="O231" s="101">
        <v>83.280157811238638</v>
      </c>
      <c r="P231" s="100">
        <v>7</v>
      </c>
    </row>
    <row r="232" spans="13:16" x14ac:dyDescent="0.2">
      <c r="M232" s="103">
        <v>18.899999999999999</v>
      </c>
      <c r="N232" s="102">
        <v>2008</v>
      </c>
      <c r="O232" s="101">
        <v>99.401217897595458</v>
      </c>
      <c r="P232" s="100">
        <v>7</v>
      </c>
    </row>
    <row r="233" spans="13:16" x14ac:dyDescent="0.2">
      <c r="M233" s="103">
        <v>10</v>
      </c>
      <c r="N233" s="102">
        <v>2008</v>
      </c>
      <c r="O233" s="101">
        <v>97.973581765985912</v>
      </c>
      <c r="P233" s="100">
        <v>7</v>
      </c>
    </row>
    <row r="234" spans="13:16" x14ac:dyDescent="0.2">
      <c r="M234" s="103">
        <v>10</v>
      </c>
      <c r="N234" s="102">
        <v>2008</v>
      </c>
      <c r="O234" s="101">
        <v>89.949229374332603</v>
      </c>
      <c r="P234" s="100">
        <v>7</v>
      </c>
    </row>
    <row r="235" spans="13:16" x14ac:dyDescent="0.2">
      <c r="M235" s="103">
        <v>7.2</v>
      </c>
      <c r="N235" s="102">
        <v>2008</v>
      </c>
      <c r="O235" s="101">
        <v>106.93610850771637</v>
      </c>
      <c r="P235" s="100">
        <v>7</v>
      </c>
    </row>
    <row r="236" spans="13:16" x14ac:dyDescent="0.2">
      <c r="M236" s="103">
        <v>400.3</v>
      </c>
      <c r="N236" s="102">
        <v>2009</v>
      </c>
      <c r="O236" s="101">
        <v>113.47873636645664</v>
      </c>
      <c r="P236" s="100">
        <v>8</v>
      </c>
    </row>
    <row r="237" spans="13:16" x14ac:dyDescent="0.2">
      <c r="M237" s="103">
        <v>283.2</v>
      </c>
      <c r="N237" s="102">
        <v>2009</v>
      </c>
      <c r="O237" s="101">
        <v>111.36203382066124</v>
      </c>
      <c r="P237" s="100">
        <v>8</v>
      </c>
    </row>
    <row r="238" spans="13:16" x14ac:dyDescent="0.2">
      <c r="M238" s="103">
        <v>249</v>
      </c>
      <c r="N238" s="102">
        <v>2009</v>
      </c>
      <c r="O238" s="101">
        <v>85.0864175598023</v>
      </c>
      <c r="P238" s="100">
        <v>8</v>
      </c>
    </row>
    <row r="239" spans="13:16" x14ac:dyDescent="0.2">
      <c r="M239" s="103">
        <v>217.5</v>
      </c>
      <c r="N239" s="102">
        <v>2009</v>
      </c>
      <c r="O239" s="101">
        <v>90.749719231223537</v>
      </c>
      <c r="P239" s="100">
        <v>8</v>
      </c>
    </row>
    <row r="240" spans="13:16" x14ac:dyDescent="0.2">
      <c r="M240" s="103">
        <v>203.5</v>
      </c>
      <c r="N240" s="102">
        <v>2009</v>
      </c>
      <c r="O240" s="101">
        <v>155.10669302722553</v>
      </c>
      <c r="P240" s="100">
        <v>8</v>
      </c>
    </row>
    <row r="241" spans="13:16" x14ac:dyDescent="0.2">
      <c r="M241" s="103">
        <v>202.4</v>
      </c>
      <c r="N241" s="102">
        <v>2009</v>
      </c>
      <c r="O241" s="101">
        <v>139.05068001390399</v>
      </c>
      <c r="P241" s="100">
        <v>8</v>
      </c>
    </row>
    <row r="242" spans="13:16" x14ac:dyDescent="0.2">
      <c r="M242" s="103">
        <v>201.6</v>
      </c>
      <c r="N242" s="102">
        <v>2009</v>
      </c>
      <c r="O242" s="101">
        <v>110.66244240907352</v>
      </c>
      <c r="P242" s="100">
        <v>8</v>
      </c>
    </row>
    <row r="243" spans="13:16" x14ac:dyDescent="0.2">
      <c r="M243" s="103">
        <v>199.65</v>
      </c>
      <c r="N243" s="102">
        <v>2009</v>
      </c>
      <c r="O243" s="101">
        <v>110.37735934456819</v>
      </c>
      <c r="P243" s="100">
        <v>8</v>
      </c>
    </row>
    <row r="244" spans="13:16" x14ac:dyDescent="0.2">
      <c r="M244" s="103">
        <v>199.65</v>
      </c>
      <c r="N244" s="102">
        <v>2009</v>
      </c>
      <c r="O244" s="101">
        <v>103.28708325030075</v>
      </c>
      <c r="P244" s="100">
        <v>8</v>
      </c>
    </row>
    <row r="245" spans="13:16" x14ac:dyDescent="0.2">
      <c r="M245" s="103">
        <v>199.5</v>
      </c>
      <c r="N245" s="102">
        <v>2009</v>
      </c>
      <c r="O245" s="101">
        <v>87.178056879739657</v>
      </c>
      <c r="P245" s="100">
        <v>8</v>
      </c>
    </row>
    <row r="246" spans="13:16" x14ac:dyDescent="0.2">
      <c r="M246" s="103">
        <v>197</v>
      </c>
      <c r="N246" s="102">
        <v>2009</v>
      </c>
      <c r="O246" s="101">
        <v>94.510682046325883</v>
      </c>
      <c r="P246" s="100">
        <v>8</v>
      </c>
    </row>
    <row r="247" spans="13:16" x14ac:dyDescent="0.2">
      <c r="M247" s="103">
        <v>179.85</v>
      </c>
      <c r="N247" s="102">
        <v>2009</v>
      </c>
      <c r="O247" s="101">
        <v>99.275902079176902</v>
      </c>
      <c r="P247" s="100">
        <v>8</v>
      </c>
    </row>
    <row r="248" spans="13:16" x14ac:dyDescent="0.2">
      <c r="M248" s="103">
        <v>174.3</v>
      </c>
      <c r="N248" s="102">
        <v>2009</v>
      </c>
      <c r="O248" s="101">
        <v>99.846246621161626</v>
      </c>
      <c r="P248" s="100">
        <v>8</v>
      </c>
    </row>
    <row r="249" spans="13:16" x14ac:dyDescent="0.2">
      <c r="M249" s="103">
        <v>160</v>
      </c>
      <c r="N249" s="102">
        <v>2009</v>
      </c>
      <c r="O249" s="101">
        <v>108.54472796960404</v>
      </c>
      <c r="P249" s="100">
        <v>8</v>
      </c>
    </row>
    <row r="250" spans="13:16" x14ac:dyDescent="0.2">
      <c r="M250" s="103">
        <v>152.61000000000001</v>
      </c>
      <c r="N250" s="102">
        <v>2009</v>
      </c>
      <c r="O250" s="101">
        <v>109.34230988340967</v>
      </c>
      <c r="P250" s="100">
        <v>8</v>
      </c>
    </row>
    <row r="251" spans="13:16" x14ac:dyDescent="0.2">
      <c r="M251" s="103">
        <v>150</v>
      </c>
      <c r="N251" s="102">
        <v>2009</v>
      </c>
      <c r="O251" s="101">
        <v>87.418025211205205</v>
      </c>
      <c r="P251" s="100">
        <v>8</v>
      </c>
    </row>
    <row r="252" spans="13:16" x14ac:dyDescent="0.2">
      <c r="M252" s="103">
        <v>150</v>
      </c>
      <c r="N252" s="102">
        <v>2009</v>
      </c>
      <c r="O252" s="101">
        <v>86.002516438633364</v>
      </c>
      <c r="P252" s="100">
        <v>8</v>
      </c>
    </row>
    <row r="253" spans="13:16" x14ac:dyDescent="0.2">
      <c r="M253" s="103">
        <v>150</v>
      </c>
      <c r="N253" s="102">
        <v>2009</v>
      </c>
      <c r="O253" s="101">
        <v>114.07352784676502</v>
      </c>
      <c r="P253" s="100">
        <v>8</v>
      </c>
    </row>
    <row r="254" spans="13:16" x14ac:dyDescent="0.2">
      <c r="M254" s="103">
        <v>149.5</v>
      </c>
      <c r="N254" s="102">
        <v>2009</v>
      </c>
      <c r="O254" s="101">
        <v>126.247946536028</v>
      </c>
      <c r="P254" s="100">
        <v>8</v>
      </c>
    </row>
    <row r="255" spans="13:16" x14ac:dyDescent="0.2">
      <c r="M255" s="103">
        <v>149.1</v>
      </c>
      <c r="N255" s="102">
        <v>2009</v>
      </c>
      <c r="O255" s="101">
        <v>83.40995667879254</v>
      </c>
      <c r="P255" s="100">
        <v>8</v>
      </c>
    </row>
    <row r="256" spans="13:16" x14ac:dyDescent="0.2">
      <c r="M256" s="103">
        <v>146</v>
      </c>
      <c r="N256" s="102">
        <v>2009</v>
      </c>
      <c r="O256" s="101">
        <v>125.32179078430461</v>
      </c>
      <c r="P256" s="100">
        <v>8</v>
      </c>
    </row>
    <row r="257" spans="13:16" x14ac:dyDescent="0.2">
      <c r="M257" s="103">
        <v>136.6</v>
      </c>
      <c r="N257" s="102">
        <v>2009</v>
      </c>
      <c r="O257" s="101">
        <v>123.08231973708831</v>
      </c>
      <c r="P257" s="100">
        <v>8</v>
      </c>
    </row>
    <row r="258" spans="13:16" x14ac:dyDescent="0.2">
      <c r="M258" s="103">
        <v>126</v>
      </c>
      <c r="N258" s="102">
        <v>2009</v>
      </c>
      <c r="O258" s="101">
        <v>152.76379003699847</v>
      </c>
      <c r="P258" s="100">
        <v>8</v>
      </c>
    </row>
    <row r="259" spans="13:16" x14ac:dyDescent="0.2">
      <c r="M259" s="103">
        <v>125</v>
      </c>
      <c r="N259" s="102">
        <v>2009</v>
      </c>
      <c r="O259" s="101">
        <v>159.48208484982132</v>
      </c>
      <c r="P259" s="100">
        <v>8</v>
      </c>
    </row>
    <row r="260" spans="13:16" x14ac:dyDescent="0.2">
      <c r="M260" s="103">
        <v>120</v>
      </c>
      <c r="N260" s="102">
        <v>2009</v>
      </c>
      <c r="O260" s="101">
        <v>121.76613797229247</v>
      </c>
      <c r="P260" s="100">
        <v>8</v>
      </c>
    </row>
    <row r="261" spans="13:16" x14ac:dyDescent="0.2">
      <c r="M261" s="103">
        <v>120</v>
      </c>
      <c r="N261" s="102">
        <v>2009</v>
      </c>
      <c r="O261" s="101">
        <v>203.40146474173378</v>
      </c>
      <c r="P261" s="100">
        <v>8</v>
      </c>
    </row>
    <row r="262" spans="13:16" x14ac:dyDescent="0.2">
      <c r="M262" s="103">
        <v>115.5</v>
      </c>
      <c r="N262" s="102">
        <v>2009</v>
      </c>
      <c r="O262" s="101">
        <v>77.696019411961515</v>
      </c>
      <c r="P262" s="100">
        <v>8</v>
      </c>
    </row>
    <row r="263" spans="13:16" x14ac:dyDescent="0.2">
      <c r="M263" s="103">
        <v>115.5</v>
      </c>
      <c r="N263" s="102">
        <v>2009</v>
      </c>
      <c r="O263" s="101">
        <v>86.371105986771468</v>
      </c>
      <c r="P263" s="100">
        <v>8</v>
      </c>
    </row>
    <row r="264" spans="13:16" x14ac:dyDescent="0.2">
      <c r="M264" s="103">
        <v>114</v>
      </c>
      <c r="N264" s="102">
        <v>2009</v>
      </c>
      <c r="O264" s="101">
        <v>133.69067183438983</v>
      </c>
      <c r="P264" s="100">
        <v>8</v>
      </c>
    </row>
    <row r="265" spans="13:16" x14ac:dyDescent="0.2">
      <c r="M265" s="103">
        <v>112.5</v>
      </c>
      <c r="N265" s="102">
        <v>2009</v>
      </c>
      <c r="O265" s="101">
        <v>123.9267504672556</v>
      </c>
      <c r="P265" s="100">
        <v>8</v>
      </c>
    </row>
    <row r="266" spans="13:16" x14ac:dyDescent="0.2">
      <c r="M266" s="103">
        <v>106.5</v>
      </c>
      <c r="N266" s="102">
        <v>2009</v>
      </c>
      <c r="O266" s="101">
        <v>174.62214780086558</v>
      </c>
      <c r="P266" s="100">
        <v>8</v>
      </c>
    </row>
    <row r="267" spans="13:16" x14ac:dyDescent="0.2">
      <c r="M267" s="103">
        <v>106</v>
      </c>
      <c r="N267" s="102">
        <v>2009</v>
      </c>
      <c r="O267" s="101">
        <v>133.18954248529099</v>
      </c>
      <c r="P267" s="100">
        <v>8</v>
      </c>
    </row>
    <row r="268" spans="13:16" x14ac:dyDescent="0.2">
      <c r="M268" s="103">
        <v>103.5</v>
      </c>
      <c r="N268" s="102">
        <v>2009</v>
      </c>
      <c r="O268" s="101">
        <v>98.081515655380926</v>
      </c>
      <c r="P268" s="100">
        <v>8</v>
      </c>
    </row>
    <row r="269" spans="13:16" x14ac:dyDescent="0.2">
      <c r="M269" s="103">
        <v>102.3</v>
      </c>
      <c r="N269" s="102">
        <v>2009</v>
      </c>
      <c r="O269" s="101">
        <v>82.725713472965836</v>
      </c>
      <c r="P269" s="100">
        <v>8</v>
      </c>
    </row>
    <row r="270" spans="13:16" x14ac:dyDescent="0.2">
      <c r="M270" s="103">
        <v>102</v>
      </c>
      <c r="N270" s="102">
        <v>2009</v>
      </c>
      <c r="O270" s="101">
        <v>94.160272842027183</v>
      </c>
      <c r="P270" s="100">
        <v>8</v>
      </c>
    </row>
    <row r="271" spans="13:16" x14ac:dyDescent="0.2">
      <c r="M271" s="103">
        <v>102</v>
      </c>
      <c r="N271" s="102">
        <v>2009</v>
      </c>
      <c r="O271" s="101">
        <v>128.50855755846808</v>
      </c>
      <c r="P271" s="100">
        <v>8</v>
      </c>
    </row>
    <row r="272" spans="13:16" x14ac:dyDescent="0.2">
      <c r="M272" s="103">
        <v>101.2</v>
      </c>
      <c r="N272" s="102">
        <v>2009</v>
      </c>
      <c r="O272" s="101">
        <v>91.411344760275284</v>
      </c>
      <c r="P272" s="100">
        <v>8</v>
      </c>
    </row>
    <row r="273" spans="13:16" x14ac:dyDescent="0.2">
      <c r="M273" s="103">
        <v>101.2</v>
      </c>
      <c r="N273" s="102">
        <v>2009</v>
      </c>
      <c r="O273" s="101">
        <v>104.39999474863956</v>
      </c>
      <c r="P273" s="100">
        <v>8</v>
      </c>
    </row>
    <row r="274" spans="13:16" x14ac:dyDescent="0.2">
      <c r="M274" s="103">
        <v>100.8</v>
      </c>
      <c r="N274" s="102">
        <v>2009</v>
      </c>
      <c r="O274" s="101">
        <v>119.22729780536298</v>
      </c>
      <c r="P274" s="100">
        <v>8</v>
      </c>
    </row>
    <row r="275" spans="13:16" x14ac:dyDescent="0.2">
      <c r="M275" s="103">
        <v>100.65</v>
      </c>
      <c r="N275" s="102">
        <v>2009</v>
      </c>
      <c r="O275" s="101">
        <v>77.035105197164725</v>
      </c>
      <c r="P275" s="100">
        <v>8</v>
      </c>
    </row>
    <row r="276" spans="13:16" x14ac:dyDescent="0.2">
      <c r="M276" s="103">
        <v>100.5</v>
      </c>
      <c r="N276" s="102">
        <v>2009</v>
      </c>
      <c r="O276" s="101">
        <v>94.322198519724623</v>
      </c>
      <c r="P276" s="100">
        <v>8</v>
      </c>
    </row>
    <row r="277" spans="13:16" x14ac:dyDescent="0.2">
      <c r="M277" s="103">
        <v>100.5</v>
      </c>
      <c r="N277" s="102">
        <v>2009</v>
      </c>
      <c r="O277" s="101">
        <v>116.07137608135542</v>
      </c>
      <c r="P277" s="100">
        <v>8</v>
      </c>
    </row>
    <row r="278" spans="13:16" x14ac:dyDescent="0.2">
      <c r="M278" s="103">
        <v>100.5</v>
      </c>
      <c r="N278" s="102">
        <v>2009</v>
      </c>
      <c r="O278" s="101">
        <v>116.03369165627264</v>
      </c>
      <c r="P278" s="100">
        <v>8</v>
      </c>
    </row>
    <row r="279" spans="13:16" x14ac:dyDescent="0.2">
      <c r="M279" s="103">
        <v>100</v>
      </c>
      <c r="N279" s="102">
        <v>2009</v>
      </c>
      <c r="O279" s="101">
        <v>87.445778992328258</v>
      </c>
      <c r="P279" s="100">
        <v>8</v>
      </c>
    </row>
    <row r="280" spans="13:16" x14ac:dyDescent="0.2">
      <c r="M280" s="103">
        <v>100</v>
      </c>
      <c r="N280" s="102">
        <v>2009</v>
      </c>
      <c r="O280" s="101">
        <v>92.234751344678898</v>
      </c>
      <c r="P280" s="100">
        <v>8</v>
      </c>
    </row>
    <row r="281" spans="13:16" x14ac:dyDescent="0.2">
      <c r="M281" s="103">
        <v>99</v>
      </c>
      <c r="N281" s="102">
        <v>2009</v>
      </c>
      <c r="O281" s="101">
        <v>91.490535878024346</v>
      </c>
      <c r="P281" s="100">
        <v>8</v>
      </c>
    </row>
    <row r="282" spans="13:16" x14ac:dyDescent="0.2">
      <c r="M282" s="103">
        <v>99</v>
      </c>
      <c r="N282" s="102">
        <v>2009</v>
      </c>
      <c r="O282" s="101">
        <v>76.752713124639939</v>
      </c>
      <c r="P282" s="100">
        <v>8</v>
      </c>
    </row>
    <row r="283" spans="13:16" x14ac:dyDescent="0.2">
      <c r="M283" s="103">
        <v>99</v>
      </c>
      <c r="N283" s="102">
        <v>2009</v>
      </c>
      <c r="O283" s="101">
        <v>94.747407287179172</v>
      </c>
      <c r="P283" s="100">
        <v>8</v>
      </c>
    </row>
    <row r="284" spans="13:16" x14ac:dyDescent="0.2">
      <c r="M284" s="103">
        <v>99</v>
      </c>
      <c r="N284" s="102">
        <v>2009</v>
      </c>
      <c r="O284" s="101">
        <v>84.48355527954098</v>
      </c>
      <c r="P284" s="100">
        <v>8</v>
      </c>
    </row>
    <row r="285" spans="13:16" x14ac:dyDescent="0.2">
      <c r="M285" s="103">
        <v>99</v>
      </c>
      <c r="N285" s="102">
        <v>2009</v>
      </c>
      <c r="O285" s="101">
        <v>88.8101197513773</v>
      </c>
      <c r="P285" s="100">
        <v>8</v>
      </c>
    </row>
    <row r="286" spans="13:16" x14ac:dyDescent="0.2">
      <c r="M286" s="103">
        <v>99</v>
      </c>
      <c r="N286" s="102">
        <v>2009</v>
      </c>
      <c r="O286" s="101">
        <v>109.02816700137616</v>
      </c>
      <c r="P286" s="100">
        <v>8</v>
      </c>
    </row>
    <row r="287" spans="13:16" x14ac:dyDescent="0.2">
      <c r="M287" s="103">
        <v>98.9</v>
      </c>
      <c r="N287" s="102">
        <v>2009</v>
      </c>
      <c r="O287" s="101">
        <v>75.468231803882873</v>
      </c>
      <c r="P287" s="100">
        <v>8</v>
      </c>
    </row>
    <row r="288" spans="13:16" x14ac:dyDescent="0.2">
      <c r="M288" s="103">
        <v>98.9</v>
      </c>
      <c r="N288" s="102">
        <v>2009</v>
      </c>
      <c r="O288" s="101">
        <v>84.944632407334296</v>
      </c>
      <c r="P288" s="100">
        <v>8</v>
      </c>
    </row>
    <row r="289" spans="13:16" x14ac:dyDescent="0.2">
      <c r="M289" s="103">
        <v>98.9</v>
      </c>
      <c r="N289" s="102">
        <v>2009</v>
      </c>
      <c r="O289" s="101">
        <v>115.82779624854366</v>
      </c>
      <c r="P289" s="100">
        <v>8</v>
      </c>
    </row>
    <row r="290" spans="13:16" x14ac:dyDescent="0.2">
      <c r="M290" s="103">
        <v>98.7</v>
      </c>
      <c r="N290" s="102">
        <v>2009</v>
      </c>
      <c r="O290" s="101">
        <v>110.99931170635632</v>
      </c>
      <c r="P290" s="100">
        <v>8</v>
      </c>
    </row>
    <row r="291" spans="13:16" x14ac:dyDescent="0.2">
      <c r="M291" s="103">
        <v>97.5</v>
      </c>
      <c r="N291" s="102">
        <v>2009</v>
      </c>
      <c r="O291" s="101">
        <v>182.28307673365362</v>
      </c>
      <c r="P291" s="100">
        <v>8</v>
      </c>
    </row>
    <row r="292" spans="13:16" x14ac:dyDescent="0.2">
      <c r="M292" s="103">
        <v>96.6</v>
      </c>
      <c r="N292" s="102">
        <v>2009</v>
      </c>
      <c r="O292" s="101">
        <v>111.24152484613255</v>
      </c>
      <c r="P292" s="100">
        <v>8</v>
      </c>
    </row>
    <row r="293" spans="13:16" x14ac:dyDescent="0.2">
      <c r="M293" s="103">
        <v>81</v>
      </c>
      <c r="N293" s="102">
        <v>2009</v>
      </c>
      <c r="O293" s="101">
        <v>84.692229506060414</v>
      </c>
      <c r="P293" s="100">
        <v>8</v>
      </c>
    </row>
    <row r="294" spans="13:16" x14ac:dyDescent="0.2">
      <c r="M294" s="103">
        <v>79.5</v>
      </c>
      <c r="N294" s="102">
        <v>2009</v>
      </c>
      <c r="O294" s="101">
        <v>68.63191014932147</v>
      </c>
      <c r="P294" s="100">
        <v>8</v>
      </c>
    </row>
    <row r="295" spans="13:16" x14ac:dyDescent="0.2">
      <c r="M295" s="103">
        <v>72</v>
      </c>
      <c r="N295" s="102">
        <v>2009</v>
      </c>
      <c r="O295" s="101">
        <v>118.8037502819958</v>
      </c>
      <c r="P295" s="100">
        <v>8</v>
      </c>
    </row>
    <row r="296" spans="13:16" x14ac:dyDescent="0.2">
      <c r="M296" s="103">
        <v>70</v>
      </c>
      <c r="N296" s="102">
        <v>2009</v>
      </c>
      <c r="O296" s="101">
        <v>115.70752527583765</v>
      </c>
      <c r="P296" s="100">
        <v>8</v>
      </c>
    </row>
    <row r="297" spans="13:16" x14ac:dyDescent="0.2">
      <c r="M297" s="103">
        <v>69.599999999999994</v>
      </c>
      <c r="N297" s="102">
        <v>2009</v>
      </c>
      <c r="O297" s="101">
        <v>111.15353242368973</v>
      </c>
      <c r="P297" s="100">
        <v>8</v>
      </c>
    </row>
    <row r="298" spans="13:16" x14ac:dyDescent="0.2">
      <c r="M298" s="103">
        <v>66</v>
      </c>
      <c r="N298" s="102">
        <v>2009</v>
      </c>
      <c r="O298" s="101">
        <v>93.621668587929861</v>
      </c>
      <c r="P298" s="100">
        <v>8</v>
      </c>
    </row>
    <row r="299" spans="13:16" x14ac:dyDescent="0.2">
      <c r="M299" s="103">
        <v>66</v>
      </c>
      <c r="N299" s="102">
        <v>2009</v>
      </c>
      <c r="O299" s="101">
        <v>128.29740660323654</v>
      </c>
      <c r="P299" s="100">
        <v>8</v>
      </c>
    </row>
    <row r="300" spans="13:16" x14ac:dyDescent="0.2">
      <c r="M300" s="103">
        <v>63</v>
      </c>
      <c r="N300" s="102">
        <v>2009</v>
      </c>
      <c r="O300" s="101">
        <v>129.19676635826991</v>
      </c>
      <c r="P300" s="100">
        <v>8</v>
      </c>
    </row>
    <row r="301" spans="13:16" x14ac:dyDescent="0.2">
      <c r="M301" s="103">
        <v>63</v>
      </c>
      <c r="N301" s="102">
        <v>2009</v>
      </c>
      <c r="O301" s="101">
        <v>116.88856358038919</v>
      </c>
      <c r="P301" s="100">
        <v>8</v>
      </c>
    </row>
    <row r="302" spans="13:16" x14ac:dyDescent="0.2">
      <c r="M302" s="103">
        <v>62.5</v>
      </c>
      <c r="N302" s="102">
        <v>2009</v>
      </c>
      <c r="O302" s="101">
        <v>136.09972127561227</v>
      </c>
      <c r="P302" s="100">
        <v>8</v>
      </c>
    </row>
    <row r="303" spans="13:16" x14ac:dyDescent="0.2">
      <c r="M303" s="103">
        <v>60</v>
      </c>
      <c r="N303" s="102">
        <v>2009</v>
      </c>
      <c r="O303" s="101">
        <v>108.43946382479341</v>
      </c>
      <c r="P303" s="100">
        <v>8</v>
      </c>
    </row>
    <row r="304" spans="13:16" x14ac:dyDescent="0.2">
      <c r="M304" s="103">
        <v>59.8</v>
      </c>
      <c r="N304" s="102">
        <v>2009</v>
      </c>
      <c r="O304" s="101">
        <v>139.05068001390399</v>
      </c>
      <c r="P304" s="100">
        <v>8</v>
      </c>
    </row>
    <row r="305" spans="13:16" x14ac:dyDescent="0.2">
      <c r="M305" s="103">
        <v>57</v>
      </c>
      <c r="N305" s="102">
        <v>2009</v>
      </c>
      <c r="O305" s="101">
        <v>128.64703620561127</v>
      </c>
      <c r="P305" s="100">
        <v>8</v>
      </c>
    </row>
    <row r="306" spans="13:16" x14ac:dyDescent="0.2">
      <c r="M306" s="103">
        <v>54</v>
      </c>
      <c r="N306" s="102">
        <v>2009</v>
      </c>
      <c r="O306" s="101">
        <v>115.33477556507637</v>
      </c>
      <c r="P306" s="100">
        <v>8</v>
      </c>
    </row>
    <row r="307" spans="13:16" x14ac:dyDescent="0.2">
      <c r="M307" s="103">
        <v>52.5</v>
      </c>
      <c r="N307" s="102">
        <v>2009</v>
      </c>
      <c r="O307" s="101">
        <v>103.05703464226561</v>
      </c>
      <c r="P307" s="100">
        <v>8</v>
      </c>
    </row>
    <row r="308" spans="13:16" x14ac:dyDescent="0.2">
      <c r="M308" s="103">
        <v>51</v>
      </c>
      <c r="N308" s="102">
        <v>2009</v>
      </c>
      <c r="O308" s="101">
        <v>73.472948483292171</v>
      </c>
      <c r="P308" s="100">
        <v>8</v>
      </c>
    </row>
    <row r="309" spans="13:16" x14ac:dyDescent="0.2">
      <c r="M309" s="103">
        <v>51</v>
      </c>
      <c r="N309" s="102">
        <v>2009</v>
      </c>
      <c r="O309" s="101">
        <v>108.8829430461695</v>
      </c>
      <c r="P309" s="100">
        <v>8</v>
      </c>
    </row>
    <row r="310" spans="13:16" x14ac:dyDescent="0.2">
      <c r="M310" s="103">
        <v>50.4</v>
      </c>
      <c r="N310" s="102">
        <v>2009</v>
      </c>
      <c r="O310" s="101">
        <v>104.67802548008086</v>
      </c>
      <c r="P310" s="100">
        <v>8</v>
      </c>
    </row>
    <row r="311" spans="13:16" x14ac:dyDescent="0.2">
      <c r="M311" s="103">
        <v>49.5</v>
      </c>
      <c r="N311" s="102">
        <v>2009</v>
      </c>
      <c r="O311" s="101">
        <v>52.477749984216345</v>
      </c>
      <c r="P311" s="100">
        <v>8</v>
      </c>
    </row>
    <row r="312" spans="13:16" x14ac:dyDescent="0.2">
      <c r="M312" s="103">
        <v>49.5</v>
      </c>
      <c r="N312" s="102">
        <v>2009</v>
      </c>
      <c r="O312" s="101">
        <v>92.667070789582169</v>
      </c>
      <c r="P312" s="100">
        <v>8</v>
      </c>
    </row>
    <row r="313" spans="13:16" x14ac:dyDescent="0.2">
      <c r="M313" s="103">
        <v>49.5</v>
      </c>
      <c r="N313" s="102">
        <v>2009</v>
      </c>
      <c r="O313" s="101">
        <v>76.80851997560859</v>
      </c>
      <c r="P313" s="100">
        <v>8</v>
      </c>
    </row>
    <row r="314" spans="13:16" x14ac:dyDescent="0.2">
      <c r="M314" s="103">
        <v>44.55</v>
      </c>
      <c r="N314" s="102">
        <v>2009</v>
      </c>
      <c r="O314" s="101">
        <v>118.38443976324925</v>
      </c>
      <c r="P314" s="100">
        <v>8</v>
      </c>
    </row>
    <row r="315" spans="13:16" x14ac:dyDescent="0.2">
      <c r="M315" s="103">
        <v>44</v>
      </c>
      <c r="N315" s="102">
        <v>2009</v>
      </c>
      <c r="O315" s="101">
        <v>125.54774761647433</v>
      </c>
      <c r="P315" s="100">
        <v>8</v>
      </c>
    </row>
    <row r="316" spans="13:16" x14ac:dyDescent="0.2">
      <c r="M316" s="103">
        <v>42</v>
      </c>
      <c r="N316" s="102">
        <v>2009</v>
      </c>
      <c r="O316" s="101">
        <v>125.14850408704386</v>
      </c>
      <c r="P316" s="100">
        <v>8</v>
      </c>
    </row>
    <row r="317" spans="13:16" x14ac:dyDescent="0.2">
      <c r="M317" s="103">
        <v>42</v>
      </c>
      <c r="N317" s="102">
        <v>2009</v>
      </c>
      <c r="O317" s="101">
        <v>75.919737196229661</v>
      </c>
      <c r="P317" s="100">
        <v>8</v>
      </c>
    </row>
    <row r="318" spans="13:16" x14ac:dyDescent="0.2">
      <c r="M318" s="103">
        <v>39</v>
      </c>
      <c r="N318" s="102">
        <v>2009</v>
      </c>
      <c r="O318" s="101">
        <v>93.776309363834955</v>
      </c>
      <c r="P318" s="100">
        <v>8</v>
      </c>
    </row>
    <row r="319" spans="13:16" x14ac:dyDescent="0.2">
      <c r="M319" s="103">
        <v>39</v>
      </c>
      <c r="N319" s="102">
        <v>2009</v>
      </c>
      <c r="O319" s="101">
        <v>82.405068915340792</v>
      </c>
      <c r="P319" s="100">
        <v>8</v>
      </c>
    </row>
    <row r="320" spans="13:16" x14ac:dyDescent="0.2">
      <c r="M320" s="103">
        <v>29.4</v>
      </c>
      <c r="N320" s="102">
        <v>2009</v>
      </c>
      <c r="O320" s="101">
        <v>109.13075189272251</v>
      </c>
      <c r="P320" s="100">
        <v>8</v>
      </c>
    </row>
    <row r="321" spans="13:16" x14ac:dyDescent="0.2">
      <c r="M321" s="103">
        <v>28.5</v>
      </c>
      <c r="N321" s="102">
        <v>2009</v>
      </c>
      <c r="O321" s="101">
        <v>77.175607345011727</v>
      </c>
      <c r="P321" s="100">
        <v>8</v>
      </c>
    </row>
    <row r="322" spans="13:16" x14ac:dyDescent="0.2">
      <c r="M322" s="103">
        <v>20</v>
      </c>
      <c r="N322" s="102">
        <v>2009</v>
      </c>
      <c r="O322" s="101">
        <v>131.38067261075338</v>
      </c>
      <c r="P322" s="100">
        <v>8</v>
      </c>
    </row>
    <row r="323" spans="13:16" x14ac:dyDescent="0.2">
      <c r="M323" s="103">
        <v>14</v>
      </c>
      <c r="N323" s="102">
        <v>2009</v>
      </c>
      <c r="O323" s="101">
        <v>122.50555251627571</v>
      </c>
      <c r="P323" s="100">
        <v>8</v>
      </c>
    </row>
    <row r="324" spans="13:16" x14ac:dyDescent="0.2">
      <c r="M324" s="103">
        <v>10.5</v>
      </c>
      <c r="N324" s="102">
        <v>2009</v>
      </c>
      <c r="O324" s="101">
        <v>71.987612726929868</v>
      </c>
      <c r="P324" s="100">
        <v>8</v>
      </c>
    </row>
    <row r="325" spans="13:16" x14ac:dyDescent="0.2">
      <c r="M325" s="103">
        <v>10.5</v>
      </c>
      <c r="N325" s="102">
        <v>2009</v>
      </c>
      <c r="O325" s="101">
        <v>69.013091632021329</v>
      </c>
      <c r="P325" s="100">
        <v>8</v>
      </c>
    </row>
    <row r="326" spans="13:16" x14ac:dyDescent="0.2">
      <c r="M326" s="103">
        <v>10.5</v>
      </c>
      <c r="N326" s="102">
        <v>2009</v>
      </c>
      <c r="O326" s="101">
        <v>83.800145255334471</v>
      </c>
      <c r="P326" s="100">
        <v>8</v>
      </c>
    </row>
    <row r="327" spans="13:16" x14ac:dyDescent="0.2">
      <c r="M327" s="103">
        <v>10</v>
      </c>
      <c r="N327" s="102">
        <v>2009</v>
      </c>
      <c r="O327" s="101">
        <v>89.460167227209865</v>
      </c>
      <c r="P327" s="100">
        <v>8</v>
      </c>
    </row>
    <row r="328" spans="13:16" x14ac:dyDescent="0.2">
      <c r="M328" s="103">
        <v>10</v>
      </c>
      <c r="N328" s="102">
        <v>2009</v>
      </c>
      <c r="O328" s="101">
        <v>82.089229162124852</v>
      </c>
      <c r="P328" s="100">
        <v>8</v>
      </c>
    </row>
    <row r="329" spans="13:16" x14ac:dyDescent="0.2">
      <c r="M329" s="103">
        <v>10</v>
      </c>
      <c r="N329" s="102">
        <v>2009</v>
      </c>
      <c r="O329" s="101">
        <v>83.332329987868675</v>
      </c>
      <c r="P329" s="100">
        <v>8</v>
      </c>
    </row>
    <row r="330" spans="13:16" x14ac:dyDescent="0.2">
      <c r="M330" s="103">
        <v>10</v>
      </c>
      <c r="N330" s="102">
        <v>2009</v>
      </c>
      <c r="O330" s="101">
        <v>80.385419152393723</v>
      </c>
      <c r="P330" s="100">
        <v>8</v>
      </c>
    </row>
    <row r="331" spans="13:16" x14ac:dyDescent="0.2">
      <c r="M331" s="103">
        <v>9.9</v>
      </c>
      <c r="N331" s="102">
        <v>2009</v>
      </c>
      <c r="O331" s="101">
        <v>147.03832223151699</v>
      </c>
      <c r="P331" s="100">
        <v>8</v>
      </c>
    </row>
    <row r="332" spans="13:16" x14ac:dyDescent="0.2">
      <c r="M332" s="103">
        <v>6.5</v>
      </c>
      <c r="N332" s="102">
        <v>2009</v>
      </c>
      <c r="O332" s="101">
        <v>86.18043215293261</v>
      </c>
      <c r="P332" s="100">
        <v>8</v>
      </c>
    </row>
    <row r="333" spans="13:16" x14ac:dyDescent="0.2">
      <c r="M333" s="103">
        <v>300</v>
      </c>
      <c r="N333" s="102">
        <v>2010</v>
      </c>
      <c r="O333" s="101">
        <v>99.07462359729881</v>
      </c>
      <c r="P333" s="100">
        <v>9</v>
      </c>
    </row>
    <row r="334" spans="13:16" x14ac:dyDescent="0.2">
      <c r="M334" s="103">
        <v>210</v>
      </c>
      <c r="N334" s="102">
        <v>2010</v>
      </c>
      <c r="O334" s="101">
        <v>89.934594781658006</v>
      </c>
      <c r="P334" s="100">
        <v>9</v>
      </c>
    </row>
    <row r="335" spans="13:16" x14ac:dyDescent="0.2">
      <c r="M335" s="103">
        <v>201.6</v>
      </c>
      <c r="N335" s="102">
        <v>2010</v>
      </c>
      <c r="O335" s="101">
        <v>121.58614892431099</v>
      </c>
      <c r="P335" s="100">
        <v>9</v>
      </c>
    </row>
    <row r="336" spans="13:16" x14ac:dyDescent="0.2">
      <c r="M336" s="103">
        <v>201</v>
      </c>
      <c r="N336" s="102">
        <v>2010</v>
      </c>
      <c r="O336" s="101">
        <v>100.19117164436678</v>
      </c>
      <c r="P336" s="100">
        <v>9</v>
      </c>
    </row>
    <row r="337" spans="13:16" x14ac:dyDescent="0.2">
      <c r="M337" s="103">
        <v>200.2</v>
      </c>
      <c r="N337" s="102">
        <v>2010</v>
      </c>
      <c r="O337" s="101">
        <v>97.929138782338683</v>
      </c>
      <c r="P337" s="100">
        <v>9</v>
      </c>
    </row>
    <row r="338" spans="13:16" x14ac:dyDescent="0.2">
      <c r="M338" s="103">
        <v>200.1</v>
      </c>
      <c r="N338" s="102">
        <v>2010</v>
      </c>
      <c r="O338" s="101">
        <v>85.242049102466922</v>
      </c>
      <c r="P338" s="100">
        <v>9</v>
      </c>
    </row>
    <row r="339" spans="13:16" x14ac:dyDescent="0.2">
      <c r="M339" s="103">
        <v>198</v>
      </c>
      <c r="N339" s="102">
        <v>2010</v>
      </c>
      <c r="O339" s="101">
        <v>100.77395132736588</v>
      </c>
      <c r="P339" s="100">
        <v>9</v>
      </c>
    </row>
    <row r="340" spans="13:16" x14ac:dyDescent="0.2">
      <c r="M340" s="103">
        <v>174.8</v>
      </c>
      <c r="N340" s="102">
        <v>2010</v>
      </c>
      <c r="O340" s="101">
        <v>137.23543867563021</v>
      </c>
      <c r="P340" s="100">
        <v>9</v>
      </c>
    </row>
    <row r="341" spans="13:16" x14ac:dyDescent="0.2">
      <c r="M341" s="103">
        <v>151.80000000000001</v>
      </c>
      <c r="N341" s="102">
        <v>2010</v>
      </c>
      <c r="O341" s="101">
        <v>89.462912123440873</v>
      </c>
      <c r="P341" s="100">
        <v>9</v>
      </c>
    </row>
    <row r="342" spans="13:16" x14ac:dyDescent="0.2">
      <c r="M342" s="103">
        <v>150</v>
      </c>
      <c r="N342" s="102">
        <v>2010</v>
      </c>
      <c r="O342" s="101">
        <v>122.60797628247049</v>
      </c>
      <c r="P342" s="100">
        <v>9</v>
      </c>
    </row>
    <row r="343" spans="13:16" x14ac:dyDescent="0.2">
      <c r="M343" s="103">
        <v>150</v>
      </c>
      <c r="N343" s="102">
        <v>2010</v>
      </c>
      <c r="O343" s="101">
        <v>95.721287562368701</v>
      </c>
      <c r="P343" s="100">
        <v>9</v>
      </c>
    </row>
    <row r="344" spans="13:16" x14ac:dyDescent="0.2">
      <c r="M344" s="103">
        <v>150</v>
      </c>
      <c r="N344" s="102">
        <v>2010</v>
      </c>
      <c r="O344" s="101">
        <v>134.8795792405769</v>
      </c>
      <c r="P344" s="100">
        <v>9</v>
      </c>
    </row>
    <row r="345" spans="13:16" x14ac:dyDescent="0.2">
      <c r="M345" s="103">
        <v>148.80000000000001</v>
      </c>
      <c r="N345" s="102">
        <v>2010</v>
      </c>
      <c r="O345" s="101">
        <v>121.7428454197134</v>
      </c>
      <c r="P345" s="100">
        <v>9</v>
      </c>
    </row>
    <row r="346" spans="13:16" x14ac:dyDescent="0.2">
      <c r="M346" s="103">
        <v>148.5</v>
      </c>
      <c r="N346" s="102">
        <v>2010</v>
      </c>
      <c r="O346" s="101">
        <v>108.53955905412099</v>
      </c>
      <c r="P346" s="100">
        <v>9</v>
      </c>
    </row>
    <row r="347" spans="13:16" x14ac:dyDescent="0.2">
      <c r="M347" s="103">
        <v>124.5</v>
      </c>
      <c r="N347" s="102">
        <v>2010</v>
      </c>
      <c r="O347" s="101">
        <v>97.750381985111233</v>
      </c>
      <c r="P347" s="100">
        <v>9</v>
      </c>
    </row>
    <row r="348" spans="13:16" x14ac:dyDescent="0.2">
      <c r="M348" s="103">
        <v>111</v>
      </c>
      <c r="N348" s="102">
        <v>2010</v>
      </c>
      <c r="O348" s="101">
        <v>80.641886286920638</v>
      </c>
      <c r="P348" s="100">
        <v>9</v>
      </c>
    </row>
    <row r="349" spans="13:16" x14ac:dyDescent="0.2">
      <c r="M349" s="103">
        <v>103.5</v>
      </c>
      <c r="N349" s="102">
        <v>2010</v>
      </c>
      <c r="O349" s="101">
        <v>107.29148730628128</v>
      </c>
      <c r="P349" s="100">
        <v>9</v>
      </c>
    </row>
    <row r="350" spans="13:16" x14ac:dyDescent="0.2">
      <c r="M350" s="103">
        <v>102.4</v>
      </c>
      <c r="N350" s="102">
        <v>2010</v>
      </c>
      <c r="O350" s="101">
        <v>72.484351624469369</v>
      </c>
      <c r="P350" s="100">
        <v>9</v>
      </c>
    </row>
    <row r="351" spans="13:16" x14ac:dyDescent="0.2">
      <c r="M351" s="103">
        <v>102.4</v>
      </c>
      <c r="N351" s="102">
        <v>2010</v>
      </c>
      <c r="O351" s="101">
        <v>131.85278372164055</v>
      </c>
      <c r="P351" s="100">
        <v>9</v>
      </c>
    </row>
    <row r="352" spans="13:16" x14ac:dyDescent="0.2">
      <c r="M352" s="103">
        <v>101.19999999999999</v>
      </c>
      <c r="N352" s="102">
        <v>2010</v>
      </c>
      <c r="O352" s="101">
        <v>113.78864798752859</v>
      </c>
      <c r="P352" s="100">
        <v>9</v>
      </c>
    </row>
    <row r="353" spans="13:16" x14ac:dyDescent="0.2">
      <c r="M353" s="103">
        <v>100.80000000000001</v>
      </c>
      <c r="N353" s="102">
        <v>2010</v>
      </c>
      <c r="O353" s="101">
        <v>99.784249844325046</v>
      </c>
      <c r="P353" s="100">
        <v>9</v>
      </c>
    </row>
    <row r="354" spans="13:16" x14ac:dyDescent="0.2">
      <c r="M354" s="103">
        <v>100.8</v>
      </c>
      <c r="N354" s="102">
        <v>2010</v>
      </c>
      <c r="O354" s="101">
        <v>81.217886954712938</v>
      </c>
      <c r="P354" s="100">
        <v>9</v>
      </c>
    </row>
    <row r="355" spans="13:16" x14ac:dyDescent="0.2">
      <c r="M355" s="103">
        <v>100.5</v>
      </c>
      <c r="N355" s="102">
        <v>2010</v>
      </c>
      <c r="O355" s="101">
        <v>113.50046251831232</v>
      </c>
      <c r="P355" s="100">
        <v>9</v>
      </c>
    </row>
    <row r="356" spans="13:16" x14ac:dyDescent="0.2">
      <c r="M356" s="103">
        <v>100.5</v>
      </c>
      <c r="N356" s="102">
        <v>2010</v>
      </c>
      <c r="O356" s="101">
        <v>123.36134636289016</v>
      </c>
      <c r="P356" s="100">
        <v>9</v>
      </c>
    </row>
    <row r="357" spans="13:16" x14ac:dyDescent="0.2">
      <c r="M357" s="103">
        <v>99.2</v>
      </c>
      <c r="N357" s="102">
        <v>2010</v>
      </c>
      <c r="O357" s="101">
        <v>79.177413384970734</v>
      </c>
      <c r="P357" s="100">
        <v>9</v>
      </c>
    </row>
    <row r="358" spans="13:16" x14ac:dyDescent="0.2">
      <c r="M358" s="103">
        <v>99</v>
      </c>
      <c r="N358" s="102">
        <v>2010</v>
      </c>
      <c r="O358" s="101">
        <v>63.225284151862517</v>
      </c>
      <c r="P358" s="100">
        <v>9</v>
      </c>
    </row>
    <row r="359" spans="13:16" x14ac:dyDescent="0.2">
      <c r="M359" s="103">
        <v>99</v>
      </c>
      <c r="N359" s="102">
        <v>2010</v>
      </c>
      <c r="O359" s="101">
        <v>107.53143260129031</v>
      </c>
      <c r="P359" s="100">
        <v>9</v>
      </c>
    </row>
    <row r="360" spans="13:16" x14ac:dyDescent="0.2">
      <c r="M360" s="103">
        <v>98.7</v>
      </c>
      <c r="N360" s="102">
        <v>2010</v>
      </c>
      <c r="O360" s="101">
        <v>120.50175606849982</v>
      </c>
      <c r="P360" s="100">
        <v>9</v>
      </c>
    </row>
    <row r="361" spans="13:16" x14ac:dyDescent="0.2">
      <c r="M361" s="103">
        <v>98.7</v>
      </c>
      <c r="N361" s="102">
        <v>2010</v>
      </c>
      <c r="O361" s="101">
        <v>107.82161867251364</v>
      </c>
      <c r="P361" s="100">
        <v>9</v>
      </c>
    </row>
    <row r="362" spans="13:16" x14ac:dyDescent="0.2">
      <c r="M362" s="103">
        <v>90</v>
      </c>
      <c r="N362" s="102">
        <v>2010</v>
      </c>
      <c r="O362" s="101">
        <v>105.85654567420487</v>
      </c>
      <c r="P362" s="100">
        <v>9</v>
      </c>
    </row>
    <row r="363" spans="13:16" x14ac:dyDescent="0.2">
      <c r="M363" s="103">
        <v>87</v>
      </c>
      <c r="N363" s="102">
        <v>2010</v>
      </c>
      <c r="O363" s="101">
        <v>80.803704550902523</v>
      </c>
      <c r="P363" s="100">
        <v>9</v>
      </c>
    </row>
    <row r="364" spans="13:16" x14ac:dyDescent="0.2">
      <c r="M364" s="103">
        <v>70</v>
      </c>
      <c r="N364" s="102">
        <v>2010</v>
      </c>
      <c r="O364" s="101">
        <v>101.50900627424276</v>
      </c>
      <c r="P364" s="100">
        <v>9</v>
      </c>
    </row>
    <row r="365" spans="13:16" x14ac:dyDescent="0.2">
      <c r="M365" s="103">
        <v>66</v>
      </c>
      <c r="N365" s="102">
        <v>2010</v>
      </c>
      <c r="O365" s="101">
        <v>129.89965105964328</v>
      </c>
      <c r="P365" s="100">
        <v>9</v>
      </c>
    </row>
    <row r="366" spans="13:16" x14ac:dyDescent="0.2">
      <c r="M366" s="103">
        <v>65.099999999999994</v>
      </c>
      <c r="N366" s="102">
        <v>2010</v>
      </c>
      <c r="O366" s="101">
        <v>132.97097467655971</v>
      </c>
      <c r="P366" s="100">
        <v>9</v>
      </c>
    </row>
    <row r="367" spans="13:16" x14ac:dyDescent="0.2">
      <c r="M367" s="103">
        <v>62.4</v>
      </c>
      <c r="N367" s="102">
        <v>2010</v>
      </c>
      <c r="O367" s="101">
        <v>70.228584226987692</v>
      </c>
      <c r="P367" s="100">
        <v>9</v>
      </c>
    </row>
    <row r="368" spans="13:16" x14ac:dyDescent="0.2">
      <c r="M368" s="103">
        <v>60</v>
      </c>
      <c r="N368" s="102">
        <v>2010</v>
      </c>
      <c r="O368" s="101">
        <v>87.429111496915198</v>
      </c>
      <c r="P368" s="100">
        <v>9</v>
      </c>
    </row>
    <row r="369" spans="13:16" x14ac:dyDescent="0.2">
      <c r="M369" s="103">
        <v>50</v>
      </c>
      <c r="N369" s="102">
        <v>2010</v>
      </c>
      <c r="O369" s="101">
        <v>111.58588250321166</v>
      </c>
      <c r="P369" s="100">
        <v>9</v>
      </c>
    </row>
    <row r="370" spans="13:16" x14ac:dyDescent="0.2">
      <c r="M370" s="103">
        <v>50</v>
      </c>
      <c r="N370" s="102">
        <v>2010</v>
      </c>
      <c r="O370" s="101">
        <v>132.57813838535702</v>
      </c>
      <c r="P370" s="100">
        <v>9</v>
      </c>
    </row>
    <row r="371" spans="13:16" x14ac:dyDescent="0.2">
      <c r="M371" s="103">
        <v>48</v>
      </c>
      <c r="N371" s="102">
        <v>2010</v>
      </c>
      <c r="O371" s="101">
        <v>109.83650539885744</v>
      </c>
      <c r="P371" s="100">
        <v>9</v>
      </c>
    </row>
    <row r="372" spans="13:16" x14ac:dyDescent="0.2">
      <c r="M372" s="103">
        <v>36.799999999999997</v>
      </c>
      <c r="N372" s="102">
        <v>2010</v>
      </c>
      <c r="O372" s="101">
        <v>94.176042252581382</v>
      </c>
      <c r="P372" s="100">
        <v>9</v>
      </c>
    </row>
    <row r="373" spans="13:16" x14ac:dyDescent="0.2">
      <c r="M373" s="103">
        <v>36.799999999999997</v>
      </c>
      <c r="N373" s="102">
        <v>2010</v>
      </c>
      <c r="O373" s="101">
        <v>108.34104024809014</v>
      </c>
      <c r="P373" s="100">
        <v>9</v>
      </c>
    </row>
    <row r="374" spans="13:16" x14ac:dyDescent="0.2">
      <c r="M374" s="103">
        <v>25.5</v>
      </c>
      <c r="N374" s="102">
        <v>2010</v>
      </c>
      <c r="O374" s="101">
        <v>135.91771401644516</v>
      </c>
      <c r="P374" s="100">
        <v>9</v>
      </c>
    </row>
    <row r="375" spans="13:16" x14ac:dyDescent="0.2">
      <c r="M375" s="103">
        <v>25.3</v>
      </c>
      <c r="N375" s="102">
        <v>2010</v>
      </c>
      <c r="O375" s="101">
        <v>84.339512719485583</v>
      </c>
      <c r="P375" s="100">
        <v>9</v>
      </c>
    </row>
    <row r="376" spans="13:16" x14ac:dyDescent="0.2">
      <c r="M376" s="103">
        <v>22.5</v>
      </c>
      <c r="N376" s="102">
        <v>2010</v>
      </c>
      <c r="O376" s="101">
        <v>109.48291222922697</v>
      </c>
      <c r="P376" s="100">
        <v>9</v>
      </c>
    </row>
    <row r="377" spans="13:16" x14ac:dyDescent="0.2">
      <c r="M377" s="103">
        <v>21</v>
      </c>
      <c r="N377" s="102">
        <v>2010</v>
      </c>
      <c r="O377" s="101">
        <v>103.66621146734845</v>
      </c>
      <c r="P377" s="100">
        <v>9</v>
      </c>
    </row>
    <row r="378" spans="13:16" x14ac:dyDescent="0.2">
      <c r="M378" s="103">
        <v>21</v>
      </c>
      <c r="N378" s="102">
        <v>2010</v>
      </c>
      <c r="O378" s="101">
        <v>104.84691926760404</v>
      </c>
      <c r="P378" s="100">
        <v>9</v>
      </c>
    </row>
    <row r="379" spans="13:16" x14ac:dyDescent="0.2">
      <c r="M379" s="103">
        <v>20.75</v>
      </c>
      <c r="N379" s="102">
        <v>2010</v>
      </c>
      <c r="O379" s="101">
        <v>123.63322938796674</v>
      </c>
      <c r="P379" s="100">
        <v>9</v>
      </c>
    </row>
    <row r="380" spans="13:16" x14ac:dyDescent="0.2">
      <c r="M380" s="103">
        <v>20</v>
      </c>
      <c r="N380" s="102">
        <v>2010</v>
      </c>
      <c r="O380" s="101">
        <v>92.803195629510469</v>
      </c>
      <c r="P380" s="100">
        <v>9</v>
      </c>
    </row>
    <row r="381" spans="13:16" x14ac:dyDescent="0.2">
      <c r="M381" s="103">
        <v>20</v>
      </c>
      <c r="N381" s="102">
        <v>2010</v>
      </c>
      <c r="O381" s="101">
        <v>98.182747514118361</v>
      </c>
      <c r="P381" s="100">
        <v>9</v>
      </c>
    </row>
    <row r="382" spans="13:16" x14ac:dyDescent="0.2">
      <c r="M382" s="103">
        <v>19.5</v>
      </c>
      <c r="N382" s="102">
        <v>2010</v>
      </c>
      <c r="O382" s="101">
        <v>97.766958426762898</v>
      </c>
      <c r="P382" s="100">
        <v>9</v>
      </c>
    </row>
    <row r="383" spans="13:16" x14ac:dyDescent="0.2">
      <c r="M383" s="103">
        <v>16.8</v>
      </c>
      <c r="N383" s="102">
        <v>2010</v>
      </c>
      <c r="O383" s="101">
        <v>124.91532615053664</v>
      </c>
      <c r="P383" s="100">
        <v>9</v>
      </c>
    </row>
    <row r="384" spans="13:16" x14ac:dyDescent="0.2">
      <c r="M384" s="103">
        <v>12.5</v>
      </c>
      <c r="N384" s="102">
        <v>2010</v>
      </c>
      <c r="O384" s="101">
        <v>79.495136498699424</v>
      </c>
      <c r="P384" s="100">
        <v>9</v>
      </c>
    </row>
    <row r="385" spans="13:16" x14ac:dyDescent="0.2">
      <c r="M385" s="103">
        <v>10.5</v>
      </c>
      <c r="N385" s="102">
        <v>2010</v>
      </c>
      <c r="O385" s="101">
        <v>98.483022342613566</v>
      </c>
      <c r="P385" s="100">
        <v>9</v>
      </c>
    </row>
    <row r="386" spans="13:16" x14ac:dyDescent="0.2">
      <c r="M386" s="103">
        <v>10</v>
      </c>
      <c r="N386" s="102">
        <v>2010</v>
      </c>
      <c r="O386" s="101">
        <v>198.29643847094437</v>
      </c>
      <c r="P386" s="100">
        <v>9</v>
      </c>
    </row>
    <row r="387" spans="13:16" x14ac:dyDescent="0.2">
      <c r="M387" s="103">
        <v>10</v>
      </c>
      <c r="N387" s="102">
        <v>2010</v>
      </c>
      <c r="O387" s="101">
        <v>206.86478094300358</v>
      </c>
      <c r="P387" s="100">
        <v>9</v>
      </c>
    </row>
    <row r="388" spans="13:16" x14ac:dyDescent="0.2">
      <c r="M388" s="103">
        <v>9</v>
      </c>
      <c r="N388" s="102">
        <v>2010</v>
      </c>
      <c r="O388" s="101">
        <v>102.77060329598763</v>
      </c>
      <c r="P388" s="100">
        <v>9</v>
      </c>
    </row>
    <row r="389" spans="13:16" x14ac:dyDescent="0.2">
      <c r="M389" s="103">
        <v>6</v>
      </c>
      <c r="N389" s="102">
        <v>2010</v>
      </c>
      <c r="O389" s="101">
        <v>185.4810679595804</v>
      </c>
      <c r="P389" s="100">
        <v>9</v>
      </c>
    </row>
    <row r="390" spans="13:16" x14ac:dyDescent="0.2">
      <c r="M390" s="103">
        <v>443.9</v>
      </c>
      <c r="N390" s="102">
        <v>2011</v>
      </c>
      <c r="O390" s="101">
        <v>77.629950531110012</v>
      </c>
      <c r="P390" s="100">
        <v>10</v>
      </c>
    </row>
    <row r="391" spans="13:16" x14ac:dyDescent="0.2">
      <c r="M391" s="103">
        <v>250.8</v>
      </c>
      <c r="N391" s="102">
        <v>2011</v>
      </c>
      <c r="O391" s="101">
        <v>85.362292113193249</v>
      </c>
      <c r="P391" s="100">
        <v>10</v>
      </c>
    </row>
    <row r="392" spans="13:16" x14ac:dyDescent="0.2">
      <c r="M392" s="103">
        <v>250.2</v>
      </c>
      <c r="N392" s="102">
        <v>2011</v>
      </c>
      <c r="O392" s="101">
        <v>105.23959371790832</v>
      </c>
      <c r="P392" s="100">
        <v>10</v>
      </c>
    </row>
    <row r="393" spans="13:16" x14ac:dyDescent="0.2">
      <c r="M393" s="103">
        <v>239.4</v>
      </c>
      <c r="N393" s="102">
        <v>2011</v>
      </c>
      <c r="O393" s="101">
        <v>152.11136360060749</v>
      </c>
      <c r="P393" s="100">
        <v>10</v>
      </c>
    </row>
    <row r="394" spans="13:16" x14ac:dyDescent="0.2">
      <c r="M394" s="103">
        <v>205.5</v>
      </c>
      <c r="N394" s="102">
        <v>2011</v>
      </c>
      <c r="O394" s="101">
        <v>123.50659536378465</v>
      </c>
      <c r="P394" s="100">
        <v>10</v>
      </c>
    </row>
    <row r="395" spans="13:16" x14ac:dyDescent="0.2">
      <c r="M395" s="103">
        <v>205</v>
      </c>
      <c r="N395" s="102">
        <v>2011</v>
      </c>
      <c r="O395" s="101">
        <v>120.21314039499305</v>
      </c>
      <c r="P395" s="100">
        <v>10</v>
      </c>
    </row>
    <row r="396" spans="13:16" x14ac:dyDescent="0.2">
      <c r="M396" s="103">
        <v>201.3</v>
      </c>
      <c r="N396" s="102">
        <v>2011</v>
      </c>
      <c r="O396" s="101">
        <v>135.23889997661752</v>
      </c>
      <c r="P396" s="100">
        <v>10</v>
      </c>
    </row>
    <row r="397" spans="13:16" x14ac:dyDescent="0.2">
      <c r="M397" s="103">
        <v>201.3</v>
      </c>
      <c r="N397" s="102">
        <v>2011</v>
      </c>
      <c r="O397" s="101">
        <v>112.82274878270853</v>
      </c>
      <c r="P397" s="100">
        <v>10</v>
      </c>
    </row>
    <row r="398" spans="13:16" x14ac:dyDescent="0.2">
      <c r="M398" s="103">
        <v>199.8</v>
      </c>
      <c r="N398" s="102">
        <v>2011</v>
      </c>
      <c r="O398" s="101">
        <v>63.260160406031687</v>
      </c>
      <c r="P398" s="100">
        <v>10</v>
      </c>
    </row>
    <row r="399" spans="13:16" x14ac:dyDescent="0.2">
      <c r="M399" s="103">
        <v>195.5</v>
      </c>
      <c r="N399" s="102">
        <v>2011</v>
      </c>
      <c r="O399" s="101">
        <v>104.14757656435953</v>
      </c>
      <c r="P399" s="100">
        <v>10</v>
      </c>
    </row>
    <row r="400" spans="13:16" x14ac:dyDescent="0.2">
      <c r="M400" s="103">
        <v>168</v>
      </c>
      <c r="N400" s="102">
        <v>2011</v>
      </c>
      <c r="O400" s="101">
        <v>164.89354963517454</v>
      </c>
      <c r="P400" s="100">
        <v>10</v>
      </c>
    </row>
    <row r="401" spans="13:16" x14ac:dyDescent="0.2">
      <c r="M401" s="103">
        <v>162</v>
      </c>
      <c r="N401" s="102">
        <v>2011</v>
      </c>
      <c r="O401" s="101">
        <v>114.3755512916583</v>
      </c>
      <c r="P401" s="100">
        <v>10</v>
      </c>
    </row>
    <row r="402" spans="13:16" x14ac:dyDescent="0.2">
      <c r="M402" s="103">
        <v>151.19999999999999</v>
      </c>
      <c r="N402" s="102">
        <v>2011</v>
      </c>
      <c r="O402" s="101">
        <v>130.14622216817318</v>
      </c>
      <c r="P402" s="100">
        <v>10</v>
      </c>
    </row>
    <row r="403" spans="13:16" x14ac:dyDescent="0.2">
      <c r="M403" s="103">
        <v>150.4</v>
      </c>
      <c r="N403" s="102">
        <v>2011</v>
      </c>
      <c r="O403" s="101">
        <v>80.102390221743406</v>
      </c>
      <c r="P403" s="100">
        <v>10</v>
      </c>
    </row>
    <row r="404" spans="13:16" x14ac:dyDescent="0.2">
      <c r="M404" s="103">
        <v>150.4</v>
      </c>
      <c r="N404" s="102">
        <v>2011</v>
      </c>
      <c r="O404" s="101">
        <v>103.67272359133341</v>
      </c>
      <c r="P404" s="100">
        <v>10</v>
      </c>
    </row>
    <row r="405" spans="13:16" x14ac:dyDescent="0.2">
      <c r="M405" s="103">
        <v>150</v>
      </c>
      <c r="N405" s="102">
        <v>2011</v>
      </c>
      <c r="O405" s="101">
        <v>87.468394351487561</v>
      </c>
      <c r="P405" s="100">
        <v>10</v>
      </c>
    </row>
    <row r="406" spans="13:16" x14ac:dyDescent="0.2">
      <c r="M406" s="103">
        <v>150</v>
      </c>
      <c r="N406" s="102">
        <v>2011</v>
      </c>
      <c r="O406" s="101">
        <v>73.544638960399041</v>
      </c>
      <c r="P406" s="100">
        <v>10</v>
      </c>
    </row>
    <row r="407" spans="13:16" x14ac:dyDescent="0.2">
      <c r="M407" s="103">
        <v>150</v>
      </c>
      <c r="N407" s="102">
        <v>2011</v>
      </c>
      <c r="O407" s="101">
        <v>119.69854243481859</v>
      </c>
      <c r="P407" s="100">
        <v>10</v>
      </c>
    </row>
    <row r="408" spans="13:16" x14ac:dyDescent="0.2">
      <c r="M408" s="103">
        <v>132</v>
      </c>
      <c r="N408" s="102">
        <v>2011</v>
      </c>
      <c r="O408" s="101">
        <v>133.26233479522497</v>
      </c>
      <c r="P408" s="100">
        <v>10</v>
      </c>
    </row>
    <row r="409" spans="13:16" x14ac:dyDescent="0.2">
      <c r="M409" s="103">
        <v>129.6</v>
      </c>
      <c r="N409" s="102">
        <v>2011</v>
      </c>
      <c r="O409" s="101">
        <v>90.964923215410764</v>
      </c>
      <c r="P409" s="100">
        <v>10</v>
      </c>
    </row>
    <row r="410" spans="13:16" x14ac:dyDescent="0.2">
      <c r="M410" s="103">
        <v>129</v>
      </c>
      <c r="N410" s="102">
        <v>2011</v>
      </c>
      <c r="O410" s="101">
        <v>162.99538684079209</v>
      </c>
      <c r="P410" s="100">
        <v>10</v>
      </c>
    </row>
    <row r="411" spans="13:16" x14ac:dyDescent="0.2">
      <c r="M411" s="103">
        <v>119.6</v>
      </c>
      <c r="N411" s="102">
        <v>2011</v>
      </c>
      <c r="O411" s="101">
        <v>74.760053325417303</v>
      </c>
      <c r="P411" s="100">
        <v>10</v>
      </c>
    </row>
    <row r="412" spans="13:16" x14ac:dyDescent="0.2">
      <c r="M412" s="103">
        <v>102.5</v>
      </c>
      <c r="N412" s="102">
        <v>2011</v>
      </c>
      <c r="O412" s="101">
        <v>127.26669969805654</v>
      </c>
      <c r="P412" s="100">
        <v>10</v>
      </c>
    </row>
    <row r="413" spans="13:16" x14ac:dyDescent="0.2">
      <c r="M413" s="103">
        <v>102.4</v>
      </c>
      <c r="N413" s="102">
        <v>2011</v>
      </c>
      <c r="O413" s="101">
        <v>105.30641304985578</v>
      </c>
      <c r="P413" s="100">
        <v>10</v>
      </c>
    </row>
    <row r="414" spans="13:16" x14ac:dyDescent="0.2">
      <c r="M414" s="103">
        <v>102</v>
      </c>
      <c r="N414" s="102">
        <v>2011</v>
      </c>
      <c r="O414" s="101">
        <v>159.6144443979762</v>
      </c>
      <c r="P414" s="100">
        <v>10</v>
      </c>
    </row>
    <row r="415" spans="13:16" x14ac:dyDescent="0.2">
      <c r="M415" s="103">
        <v>102</v>
      </c>
      <c r="N415" s="102">
        <v>2011</v>
      </c>
      <c r="O415" s="101">
        <v>180.11986175925821</v>
      </c>
      <c r="P415" s="100">
        <v>10</v>
      </c>
    </row>
    <row r="416" spans="13:16" x14ac:dyDescent="0.2">
      <c r="M416" s="103">
        <v>100.8</v>
      </c>
      <c r="N416" s="102">
        <v>2011</v>
      </c>
      <c r="O416" s="101">
        <v>69.032215416949569</v>
      </c>
      <c r="P416" s="100">
        <v>10</v>
      </c>
    </row>
    <row r="417" spans="13:16" x14ac:dyDescent="0.2">
      <c r="M417" s="103">
        <v>99</v>
      </c>
      <c r="N417" s="102">
        <v>2011</v>
      </c>
      <c r="O417" s="101">
        <v>76.663981617846261</v>
      </c>
      <c r="P417" s="100">
        <v>10</v>
      </c>
    </row>
    <row r="418" spans="13:16" x14ac:dyDescent="0.2">
      <c r="M418" s="103">
        <v>99</v>
      </c>
      <c r="N418" s="102">
        <v>2011</v>
      </c>
      <c r="O418" s="101">
        <v>67.396290986478775</v>
      </c>
      <c r="P418" s="100">
        <v>10</v>
      </c>
    </row>
    <row r="419" spans="13:16" x14ac:dyDescent="0.2">
      <c r="M419" s="103">
        <v>97.6</v>
      </c>
      <c r="N419" s="102">
        <v>2011</v>
      </c>
      <c r="O419" s="101">
        <v>162.87166647943079</v>
      </c>
      <c r="P419" s="100">
        <v>10</v>
      </c>
    </row>
    <row r="420" spans="13:16" x14ac:dyDescent="0.2">
      <c r="M420" s="103">
        <v>81</v>
      </c>
      <c r="N420" s="102">
        <v>2011</v>
      </c>
      <c r="O420" s="101">
        <v>83.014465932357311</v>
      </c>
      <c r="P420" s="100">
        <v>10</v>
      </c>
    </row>
    <row r="421" spans="13:16" x14ac:dyDescent="0.2">
      <c r="M421" s="103">
        <v>79.2</v>
      </c>
      <c r="N421" s="102">
        <v>2011</v>
      </c>
      <c r="O421" s="101">
        <v>78.514623977697525</v>
      </c>
      <c r="P421" s="100">
        <v>10</v>
      </c>
    </row>
    <row r="422" spans="13:16" x14ac:dyDescent="0.2">
      <c r="M422" s="103">
        <v>78.2</v>
      </c>
      <c r="N422" s="102">
        <v>2011</v>
      </c>
      <c r="O422" s="101">
        <v>87.086988062664062</v>
      </c>
      <c r="P422" s="100">
        <v>10</v>
      </c>
    </row>
    <row r="423" spans="13:16" x14ac:dyDescent="0.2">
      <c r="M423" s="103">
        <v>78.2</v>
      </c>
      <c r="N423" s="102">
        <v>2011</v>
      </c>
      <c r="O423" s="101">
        <v>100.32512045924325</v>
      </c>
      <c r="P423" s="100">
        <v>10</v>
      </c>
    </row>
    <row r="424" spans="13:16" x14ac:dyDescent="0.2">
      <c r="M424" s="103">
        <v>74</v>
      </c>
      <c r="N424" s="102">
        <v>2011</v>
      </c>
      <c r="O424" s="101">
        <v>129.36948738410337</v>
      </c>
      <c r="P424" s="100">
        <v>10</v>
      </c>
    </row>
    <row r="425" spans="13:16" x14ac:dyDescent="0.2">
      <c r="M425" s="103">
        <v>64.5</v>
      </c>
      <c r="N425" s="102">
        <v>2011</v>
      </c>
      <c r="O425" s="101">
        <v>80.567998371911344</v>
      </c>
      <c r="P425" s="100">
        <v>10</v>
      </c>
    </row>
    <row r="426" spans="13:16" x14ac:dyDescent="0.2">
      <c r="M426" s="103">
        <v>60</v>
      </c>
      <c r="N426" s="102">
        <v>2011</v>
      </c>
      <c r="O426" s="101">
        <v>113.87695589319036</v>
      </c>
      <c r="P426" s="100">
        <v>10</v>
      </c>
    </row>
    <row r="427" spans="13:16" x14ac:dyDescent="0.2">
      <c r="M427" s="103">
        <v>50.599999999999994</v>
      </c>
      <c r="N427" s="102">
        <v>2011</v>
      </c>
      <c r="O427" s="101">
        <v>116.63075000461487</v>
      </c>
      <c r="P427" s="100">
        <v>10</v>
      </c>
    </row>
    <row r="428" spans="13:16" x14ac:dyDescent="0.2">
      <c r="M428" s="103">
        <v>50.4</v>
      </c>
      <c r="N428" s="102">
        <v>2011</v>
      </c>
      <c r="O428" s="101">
        <v>102.90193136581</v>
      </c>
      <c r="P428" s="100">
        <v>10</v>
      </c>
    </row>
    <row r="429" spans="13:16" x14ac:dyDescent="0.2">
      <c r="M429" s="103">
        <v>50</v>
      </c>
      <c r="N429" s="102">
        <v>2011</v>
      </c>
      <c r="O429" s="101">
        <v>110.5935462756419</v>
      </c>
      <c r="P429" s="100">
        <v>10</v>
      </c>
    </row>
    <row r="430" spans="13:16" x14ac:dyDescent="0.2">
      <c r="M430" s="103">
        <v>49.5</v>
      </c>
      <c r="N430" s="102">
        <v>2011</v>
      </c>
      <c r="O430" s="101">
        <v>106.87203371957692</v>
      </c>
      <c r="P430" s="100">
        <v>10</v>
      </c>
    </row>
    <row r="431" spans="13:16" x14ac:dyDescent="0.2">
      <c r="M431" s="103">
        <v>45</v>
      </c>
      <c r="N431" s="102">
        <v>2011</v>
      </c>
      <c r="O431" s="101">
        <v>104.00734538051915</v>
      </c>
      <c r="P431" s="100">
        <v>10</v>
      </c>
    </row>
    <row r="432" spans="13:16" x14ac:dyDescent="0.2">
      <c r="M432" s="103">
        <v>43.2</v>
      </c>
      <c r="N432" s="102">
        <v>2011</v>
      </c>
      <c r="O432" s="101">
        <v>98.105337755055061</v>
      </c>
      <c r="P432" s="100">
        <v>10</v>
      </c>
    </row>
    <row r="433" spans="13:16" x14ac:dyDescent="0.2">
      <c r="M433" s="103">
        <v>42.5</v>
      </c>
      <c r="N433" s="102">
        <v>2011</v>
      </c>
      <c r="O433" s="101">
        <v>71.681918303569773</v>
      </c>
      <c r="P433" s="100">
        <v>10</v>
      </c>
    </row>
    <row r="434" spans="13:16" x14ac:dyDescent="0.2">
      <c r="M434" s="103">
        <v>40.5</v>
      </c>
      <c r="N434" s="102">
        <v>2011</v>
      </c>
      <c r="O434" s="101">
        <v>70.859898418897188</v>
      </c>
      <c r="P434" s="100">
        <v>10</v>
      </c>
    </row>
    <row r="435" spans="13:16" x14ac:dyDescent="0.2">
      <c r="M435" s="103">
        <v>40</v>
      </c>
      <c r="N435" s="102">
        <v>2011</v>
      </c>
      <c r="O435" s="101">
        <v>151.80575890431675</v>
      </c>
      <c r="P435" s="100">
        <v>10</v>
      </c>
    </row>
    <row r="436" spans="13:16" x14ac:dyDescent="0.2">
      <c r="M436" s="103">
        <v>38</v>
      </c>
      <c r="N436" s="102">
        <v>2011</v>
      </c>
      <c r="O436" s="101">
        <v>124.48886988898002</v>
      </c>
      <c r="P436" s="100">
        <v>10</v>
      </c>
    </row>
    <row r="437" spans="13:16" x14ac:dyDescent="0.2">
      <c r="M437" s="103">
        <v>36</v>
      </c>
      <c r="N437" s="102">
        <v>2011</v>
      </c>
      <c r="O437" s="101">
        <v>102.82930403386361</v>
      </c>
      <c r="P437" s="100">
        <v>10</v>
      </c>
    </row>
    <row r="438" spans="13:16" x14ac:dyDescent="0.2">
      <c r="M438" s="103">
        <v>30</v>
      </c>
      <c r="N438" s="102">
        <v>2011</v>
      </c>
      <c r="O438" s="101">
        <v>84.866859612738409</v>
      </c>
      <c r="P438" s="100">
        <v>10</v>
      </c>
    </row>
    <row r="439" spans="13:16" x14ac:dyDescent="0.2">
      <c r="M439" s="103">
        <v>22.4</v>
      </c>
      <c r="N439" s="102">
        <v>2011</v>
      </c>
      <c r="O439" s="101">
        <v>108.78516479509001</v>
      </c>
      <c r="P439" s="100">
        <v>10</v>
      </c>
    </row>
    <row r="440" spans="13:16" x14ac:dyDescent="0.2">
      <c r="M440" s="103">
        <v>21</v>
      </c>
      <c r="N440" s="102">
        <v>2011</v>
      </c>
      <c r="O440" s="101">
        <v>84.448486137638469</v>
      </c>
      <c r="P440" s="100">
        <v>10</v>
      </c>
    </row>
    <row r="441" spans="13:16" x14ac:dyDescent="0.2">
      <c r="M441" s="103">
        <v>21</v>
      </c>
      <c r="N441" s="102">
        <v>2011</v>
      </c>
      <c r="O441" s="101">
        <v>97.799727822508373</v>
      </c>
      <c r="P441" s="100">
        <v>10</v>
      </c>
    </row>
    <row r="442" spans="13:16" x14ac:dyDescent="0.2">
      <c r="M442" s="103">
        <v>20.5</v>
      </c>
      <c r="N442" s="102">
        <v>2011</v>
      </c>
      <c r="O442" s="101">
        <v>109.2801703387691</v>
      </c>
      <c r="P442" s="100">
        <v>10</v>
      </c>
    </row>
    <row r="443" spans="13:16" x14ac:dyDescent="0.2">
      <c r="M443" s="103">
        <v>20</v>
      </c>
      <c r="N443" s="102">
        <v>2011</v>
      </c>
      <c r="O443" s="101">
        <v>93.234614551660272</v>
      </c>
      <c r="P443" s="100">
        <v>10</v>
      </c>
    </row>
    <row r="444" spans="13:16" x14ac:dyDescent="0.2">
      <c r="M444" s="103">
        <v>19.8</v>
      </c>
      <c r="N444" s="102">
        <v>2011</v>
      </c>
      <c r="O444" s="101">
        <v>96.312336012099436</v>
      </c>
      <c r="P444" s="100">
        <v>10</v>
      </c>
    </row>
    <row r="445" spans="13:16" x14ac:dyDescent="0.2">
      <c r="M445" s="103">
        <v>19.8</v>
      </c>
      <c r="N445" s="102">
        <v>2011</v>
      </c>
      <c r="O445" s="101">
        <v>87.477678123429712</v>
      </c>
      <c r="P445" s="100">
        <v>10</v>
      </c>
    </row>
    <row r="446" spans="13:16" x14ac:dyDescent="0.2">
      <c r="M446" s="103">
        <v>19.5</v>
      </c>
      <c r="N446" s="102">
        <v>2011</v>
      </c>
      <c r="O446" s="101">
        <v>85.965898223669726</v>
      </c>
      <c r="P446" s="100">
        <v>10</v>
      </c>
    </row>
    <row r="447" spans="13:16" x14ac:dyDescent="0.2">
      <c r="M447" s="103">
        <v>19.5</v>
      </c>
      <c r="N447" s="102">
        <v>2011</v>
      </c>
      <c r="O447" s="101">
        <v>103.84647858621827</v>
      </c>
      <c r="P447" s="100">
        <v>10</v>
      </c>
    </row>
    <row r="448" spans="13:16" x14ac:dyDescent="0.2">
      <c r="M448" s="103">
        <v>15</v>
      </c>
      <c r="N448" s="102">
        <v>2011</v>
      </c>
      <c r="O448" s="101">
        <v>185.68296677569322</v>
      </c>
      <c r="P448" s="100">
        <v>10</v>
      </c>
    </row>
    <row r="449" spans="13:16" x14ac:dyDescent="0.2">
      <c r="M449" s="103">
        <v>13.5</v>
      </c>
      <c r="N449" s="102">
        <v>2011</v>
      </c>
      <c r="O449" s="101">
        <v>110.49280762176029</v>
      </c>
      <c r="P449" s="100">
        <v>10</v>
      </c>
    </row>
    <row r="450" spans="13:16" x14ac:dyDescent="0.2">
      <c r="M450" s="103">
        <v>12</v>
      </c>
      <c r="N450" s="102">
        <v>2011</v>
      </c>
      <c r="O450" s="101">
        <v>109.18095636246653</v>
      </c>
      <c r="P450" s="100">
        <v>10</v>
      </c>
    </row>
    <row r="451" spans="13:16" x14ac:dyDescent="0.2">
      <c r="M451" s="103">
        <v>12</v>
      </c>
      <c r="N451" s="102">
        <v>2011</v>
      </c>
      <c r="O451" s="101">
        <v>113.71340636883635</v>
      </c>
      <c r="P451" s="100">
        <v>10</v>
      </c>
    </row>
    <row r="452" spans="13:16" x14ac:dyDescent="0.2">
      <c r="M452" s="103">
        <v>10.5</v>
      </c>
      <c r="N452" s="102">
        <v>2011</v>
      </c>
      <c r="O452" s="101">
        <v>94.182000959066485</v>
      </c>
      <c r="P452" s="100">
        <v>10</v>
      </c>
    </row>
    <row r="453" spans="13:16" x14ac:dyDescent="0.2">
      <c r="M453" s="103">
        <v>10.5</v>
      </c>
      <c r="N453" s="102">
        <v>2011</v>
      </c>
      <c r="O453" s="101">
        <v>108.26797645070539</v>
      </c>
      <c r="P453" s="100">
        <v>10</v>
      </c>
    </row>
    <row r="454" spans="13:16" x14ac:dyDescent="0.2">
      <c r="M454" s="103">
        <v>10</v>
      </c>
      <c r="N454" s="102">
        <v>2011</v>
      </c>
      <c r="O454" s="101">
        <v>128.82783458324616</v>
      </c>
      <c r="P454" s="100">
        <v>10</v>
      </c>
    </row>
    <row r="455" spans="13:16" x14ac:dyDescent="0.2">
      <c r="M455" s="103">
        <v>10</v>
      </c>
      <c r="N455" s="102">
        <v>2011</v>
      </c>
      <c r="O455" s="101">
        <v>97.835198016553676</v>
      </c>
      <c r="P455" s="100">
        <v>10</v>
      </c>
    </row>
    <row r="456" spans="13:16" x14ac:dyDescent="0.2">
      <c r="M456" s="103">
        <v>10</v>
      </c>
      <c r="N456" s="102">
        <v>2011</v>
      </c>
      <c r="O456" s="101">
        <v>140.60332343301758</v>
      </c>
      <c r="P456" s="100">
        <v>10</v>
      </c>
    </row>
    <row r="457" spans="13:16" x14ac:dyDescent="0.2">
      <c r="M457" s="103">
        <v>470.40000000000003</v>
      </c>
      <c r="N457" s="102">
        <v>2012</v>
      </c>
      <c r="O457" s="101">
        <v>57.590859120476296</v>
      </c>
      <c r="P457" s="100">
        <v>11</v>
      </c>
    </row>
    <row r="458" spans="13:16" x14ac:dyDescent="0.2">
      <c r="M458" s="103">
        <v>342.7</v>
      </c>
      <c r="N458" s="102">
        <v>2012</v>
      </c>
      <c r="O458" s="101">
        <v>121.95262432303177</v>
      </c>
      <c r="P458" s="100">
        <v>11</v>
      </c>
    </row>
    <row r="459" spans="13:16" x14ac:dyDescent="0.2">
      <c r="M459" s="103">
        <v>304</v>
      </c>
      <c r="N459" s="102">
        <v>2012</v>
      </c>
      <c r="O459" s="101">
        <v>88.75187171871822</v>
      </c>
      <c r="P459" s="100">
        <v>11</v>
      </c>
    </row>
    <row r="460" spans="13:16" x14ac:dyDescent="0.2">
      <c r="M460" s="103">
        <v>298.45</v>
      </c>
      <c r="N460" s="102">
        <v>2012</v>
      </c>
      <c r="O460" s="101">
        <v>66.942597598173577</v>
      </c>
      <c r="P460" s="100">
        <v>11</v>
      </c>
    </row>
    <row r="461" spans="13:16" x14ac:dyDescent="0.2">
      <c r="M461" s="103">
        <v>290</v>
      </c>
      <c r="N461" s="102">
        <v>2012</v>
      </c>
      <c r="O461" s="101">
        <v>117.52776056541187</v>
      </c>
      <c r="P461" s="100">
        <v>11</v>
      </c>
    </row>
    <row r="462" spans="13:16" x14ac:dyDescent="0.2">
      <c r="M462" s="103">
        <v>290</v>
      </c>
      <c r="N462" s="102">
        <v>2012</v>
      </c>
      <c r="O462" s="101">
        <v>118.03950929056217</v>
      </c>
      <c r="P462" s="100">
        <v>11</v>
      </c>
    </row>
    <row r="463" spans="13:16" x14ac:dyDescent="0.2">
      <c r="M463" s="103">
        <v>235.2</v>
      </c>
      <c r="N463" s="102">
        <v>2012</v>
      </c>
      <c r="O463" s="101">
        <v>58.142213555069318</v>
      </c>
      <c r="P463" s="100">
        <v>11</v>
      </c>
    </row>
    <row r="464" spans="13:16" x14ac:dyDescent="0.2">
      <c r="M464" s="103">
        <v>225</v>
      </c>
      <c r="N464" s="102">
        <v>2012</v>
      </c>
      <c r="O464" s="101">
        <v>92.146830214553461</v>
      </c>
      <c r="P464" s="100">
        <v>11</v>
      </c>
    </row>
    <row r="465" spans="13:16" x14ac:dyDescent="0.2">
      <c r="M465" s="103">
        <v>222.78</v>
      </c>
      <c r="N465" s="102">
        <v>2012</v>
      </c>
      <c r="O465" s="101">
        <v>145.25699765889368</v>
      </c>
      <c r="P465" s="100">
        <v>11</v>
      </c>
    </row>
    <row r="466" spans="13:16" x14ac:dyDescent="0.2">
      <c r="M466" s="103">
        <v>217.08</v>
      </c>
      <c r="N466" s="102">
        <v>2012</v>
      </c>
      <c r="O466" s="101">
        <v>68.425248628765587</v>
      </c>
      <c r="P466" s="100">
        <v>11</v>
      </c>
    </row>
    <row r="467" spans="13:16" x14ac:dyDescent="0.2">
      <c r="M467" s="103">
        <v>215.25</v>
      </c>
      <c r="N467" s="102">
        <v>2012</v>
      </c>
      <c r="O467" s="101">
        <v>107.50063036095827</v>
      </c>
      <c r="P467" s="100">
        <v>11</v>
      </c>
    </row>
    <row r="468" spans="13:16" x14ac:dyDescent="0.2">
      <c r="M468" s="103">
        <v>211.38000000000002</v>
      </c>
      <c r="N468" s="102">
        <v>2012</v>
      </c>
      <c r="O468" s="101">
        <v>78.267627670662961</v>
      </c>
      <c r="P468" s="100">
        <v>11</v>
      </c>
    </row>
    <row r="469" spans="13:16" x14ac:dyDescent="0.2">
      <c r="M469" s="103">
        <v>201</v>
      </c>
      <c r="N469" s="102">
        <v>2012</v>
      </c>
      <c r="O469" s="101">
        <v>60.401177204135237</v>
      </c>
      <c r="P469" s="100">
        <v>11</v>
      </c>
    </row>
    <row r="470" spans="13:16" x14ac:dyDescent="0.2">
      <c r="M470" s="103">
        <v>200.1</v>
      </c>
      <c r="N470" s="102">
        <v>2012</v>
      </c>
      <c r="O470" s="101">
        <v>60.911508277889247</v>
      </c>
      <c r="P470" s="100">
        <v>11</v>
      </c>
    </row>
    <row r="471" spans="13:16" x14ac:dyDescent="0.2">
      <c r="M471" s="103">
        <v>200</v>
      </c>
      <c r="N471" s="102">
        <v>2012</v>
      </c>
      <c r="O471" s="101">
        <v>71.523013233809436</v>
      </c>
      <c r="P471" s="100">
        <v>11</v>
      </c>
    </row>
    <row r="472" spans="13:16" x14ac:dyDescent="0.2">
      <c r="M472" s="103">
        <v>199.92</v>
      </c>
      <c r="N472" s="102">
        <v>2012</v>
      </c>
      <c r="O472" s="101">
        <v>56.336463718700323</v>
      </c>
      <c r="P472" s="100">
        <v>11</v>
      </c>
    </row>
    <row r="473" spans="13:16" x14ac:dyDescent="0.2">
      <c r="M473" s="103">
        <v>189</v>
      </c>
      <c r="N473" s="102">
        <v>2012</v>
      </c>
      <c r="O473" s="101">
        <v>75.023319802145849</v>
      </c>
      <c r="P473" s="100">
        <v>11</v>
      </c>
    </row>
    <row r="474" spans="13:16" x14ac:dyDescent="0.2">
      <c r="M474" s="103">
        <v>189</v>
      </c>
      <c r="N474" s="102">
        <v>2012</v>
      </c>
      <c r="O474" s="101">
        <v>101.73860632156089</v>
      </c>
      <c r="P474" s="100">
        <v>11</v>
      </c>
    </row>
    <row r="475" spans="13:16" x14ac:dyDescent="0.2">
      <c r="M475" s="103">
        <v>162</v>
      </c>
      <c r="N475" s="102">
        <v>2012</v>
      </c>
      <c r="O475" s="101">
        <v>99.056855047546435</v>
      </c>
      <c r="P475" s="100">
        <v>11</v>
      </c>
    </row>
    <row r="476" spans="13:16" x14ac:dyDescent="0.2">
      <c r="M476" s="103">
        <v>151.79999999999998</v>
      </c>
      <c r="N476" s="102">
        <v>2012</v>
      </c>
      <c r="O476" s="101">
        <v>109.52472323104583</v>
      </c>
      <c r="P476" s="100">
        <v>11</v>
      </c>
    </row>
    <row r="477" spans="13:16" x14ac:dyDescent="0.2">
      <c r="M477" s="103">
        <v>150</v>
      </c>
      <c r="N477" s="102">
        <v>2012</v>
      </c>
      <c r="O477" s="101">
        <v>99.631788268622728</v>
      </c>
      <c r="P477" s="100">
        <v>11</v>
      </c>
    </row>
    <row r="478" spans="13:16" x14ac:dyDescent="0.2">
      <c r="M478" s="103">
        <v>148.80000000000001</v>
      </c>
      <c r="N478" s="102">
        <v>2012</v>
      </c>
      <c r="O478" s="101">
        <v>54.798924710402922</v>
      </c>
      <c r="P478" s="100">
        <v>11</v>
      </c>
    </row>
    <row r="479" spans="13:16" x14ac:dyDescent="0.2">
      <c r="M479" s="103">
        <v>143.5</v>
      </c>
      <c r="N479" s="102">
        <v>2012</v>
      </c>
      <c r="O479" s="101">
        <v>117.7094045042153</v>
      </c>
      <c r="P479" s="100">
        <v>11</v>
      </c>
    </row>
    <row r="480" spans="13:16" x14ac:dyDescent="0.2">
      <c r="M480" s="103">
        <v>140.80000000000001</v>
      </c>
      <c r="N480" s="102">
        <v>2012</v>
      </c>
      <c r="O480" s="101">
        <v>80.607440508737483</v>
      </c>
      <c r="P480" s="100">
        <v>11</v>
      </c>
    </row>
    <row r="481" spans="13:16" x14ac:dyDescent="0.2">
      <c r="M481" s="103">
        <v>139.4</v>
      </c>
      <c r="N481" s="102">
        <v>2012</v>
      </c>
      <c r="O481" s="101">
        <v>70.97318318031661</v>
      </c>
      <c r="P481" s="100">
        <v>11</v>
      </c>
    </row>
    <row r="482" spans="13:16" x14ac:dyDescent="0.2">
      <c r="M482" s="103">
        <v>138</v>
      </c>
      <c r="N482" s="102">
        <v>2012</v>
      </c>
      <c r="O482" s="101">
        <v>100.21742966581239</v>
      </c>
      <c r="P482" s="100">
        <v>11</v>
      </c>
    </row>
    <row r="483" spans="13:16" x14ac:dyDescent="0.2">
      <c r="M483" s="103">
        <v>132</v>
      </c>
      <c r="N483" s="102">
        <v>2012</v>
      </c>
      <c r="O483" s="101">
        <v>123.61768164022148</v>
      </c>
      <c r="P483" s="100">
        <v>11</v>
      </c>
    </row>
    <row r="484" spans="13:16" x14ac:dyDescent="0.2">
      <c r="M484" s="103">
        <v>127.80000000000001</v>
      </c>
      <c r="N484" s="102">
        <v>2012</v>
      </c>
      <c r="O484" s="101">
        <v>97.293063425985295</v>
      </c>
      <c r="P484" s="100">
        <v>11</v>
      </c>
    </row>
    <row r="485" spans="13:16" x14ac:dyDescent="0.2">
      <c r="M485" s="103">
        <v>120</v>
      </c>
      <c r="N485" s="102">
        <v>2012</v>
      </c>
      <c r="O485" s="101">
        <v>77.266655508747775</v>
      </c>
      <c r="P485" s="100">
        <v>11</v>
      </c>
    </row>
    <row r="486" spans="13:16" x14ac:dyDescent="0.2">
      <c r="M486" s="103">
        <v>120</v>
      </c>
      <c r="N486" s="102">
        <v>2012</v>
      </c>
      <c r="O486" s="101">
        <v>133.01050983120712</v>
      </c>
      <c r="P486" s="100">
        <v>11</v>
      </c>
    </row>
    <row r="487" spans="13:16" x14ac:dyDescent="0.2">
      <c r="M487" s="103">
        <v>119.7</v>
      </c>
      <c r="N487" s="102">
        <v>2012</v>
      </c>
      <c r="O487" s="101">
        <v>80.122112933081539</v>
      </c>
      <c r="P487" s="100">
        <v>11</v>
      </c>
    </row>
    <row r="488" spans="13:16" x14ac:dyDescent="0.2">
      <c r="M488" s="103">
        <v>110.4</v>
      </c>
      <c r="N488" s="102">
        <v>2012</v>
      </c>
      <c r="O488" s="101">
        <v>102.95114919889339</v>
      </c>
      <c r="P488" s="100">
        <v>11</v>
      </c>
    </row>
    <row r="489" spans="13:16" x14ac:dyDescent="0.2">
      <c r="M489" s="103">
        <v>109.5</v>
      </c>
      <c r="N489" s="102">
        <v>2012</v>
      </c>
      <c r="O489" s="101">
        <v>70.025719247847903</v>
      </c>
      <c r="P489" s="100">
        <v>11</v>
      </c>
    </row>
    <row r="490" spans="13:16" x14ac:dyDescent="0.2">
      <c r="M490" s="103">
        <v>105.75</v>
      </c>
      <c r="N490" s="102">
        <v>2012</v>
      </c>
      <c r="O490" s="101">
        <v>60.049133234681911</v>
      </c>
      <c r="P490" s="100">
        <v>11</v>
      </c>
    </row>
    <row r="491" spans="13:16" x14ac:dyDescent="0.2">
      <c r="M491" s="103">
        <v>105</v>
      </c>
      <c r="N491" s="102">
        <v>2012</v>
      </c>
      <c r="O491" s="101">
        <v>63.004606359394323</v>
      </c>
      <c r="P491" s="100">
        <v>11</v>
      </c>
    </row>
    <row r="492" spans="13:16" x14ac:dyDescent="0.2">
      <c r="M492" s="103">
        <v>105</v>
      </c>
      <c r="N492" s="102">
        <v>2012</v>
      </c>
      <c r="O492" s="101">
        <v>63.490333174242238</v>
      </c>
      <c r="P492" s="100">
        <v>11</v>
      </c>
    </row>
    <row r="493" spans="13:16" x14ac:dyDescent="0.2">
      <c r="M493" s="103">
        <v>104.4</v>
      </c>
      <c r="N493" s="102">
        <v>2012</v>
      </c>
      <c r="O493" s="101">
        <v>76.53735663202653</v>
      </c>
      <c r="P493" s="100">
        <v>11</v>
      </c>
    </row>
    <row r="494" spans="13:16" x14ac:dyDescent="0.2">
      <c r="M494" s="103">
        <v>102.49999999999999</v>
      </c>
      <c r="N494" s="102">
        <v>2012</v>
      </c>
      <c r="O494" s="101">
        <v>85.387908933872623</v>
      </c>
      <c r="P494" s="100">
        <v>11</v>
      </c>
    </row>
    <row r="495" spans="13:16" x14ac:dyDescent="0.2">
      <c r="M495" s="103">
        <v>102</v>
      </c>
      <c r="N495" s="102">
        <v>2012</v>
      </c>
      <c r="O495" s="101">
        <v>90.885109422967048</v>
      </c>
      <c r="P495" s="100">
        <v>11</v>
      </c>
    </row>
    <row r="496" spans="13:16" x14ac:dyDescent="0.2">
      <c r="M496" s="103">
        <v>101.2</v>
      </c>
      <c r="N496" s="102">
        <v>2012</v>
      </c>
      <c r="O496" s="101">
        <v>62.246524071207794</v>
      </c>
      <c r="P496" s="100">
        <v>11</v>
      </c>
    </row>
    <row r="497" spans="13:16" x14ac:dyDescent="0.2">
      <c r="M497" s="103">
        <v>100.8</v>
      </c>
      <c r="N497" s="102">
        <v>2012</v>
      </c>
      <c r="O497" s="101">
        <v>53.569879676841872</v>
      </c>
      <c r="P497" s="100">
        <v>11</v>
      </c>
    </row>
    <row r="498" spans="13:16" x14ac:dyDescent="0.2">
      <c r="M498" s="103">
        <v>100.8</v>
      </c>
      <c r="N498" s="102">
        <v>2012</v>
      </c>
      <c r="O498" s="101">
        <v>95.236352865536006</v>
      </c>
      <c r="P498" s="100">
        <v>11</v>
      </c>
    </row>
    <row r="499" spans="13:16" x14ac:dyDescent="0.2">
      <c r="M499" s="103">
        <v>100</v>
      </c>
      <c r="N499" s="102">
        <v>2012</v>
      </c>
      <c r="O499" s="101">
        <v>80.820172509160997</v>
      </c>
      <c r="P499" s="100">
        <v>11</v>
      </c>
    </row>
    <row r="500" spans="13:16" x14ac:dyDescent="0.2">
      <c r="M500" s="103">
        <v>99.2</v>
      </c>
      <c r="N500" s="102">
        <v>2012</v>
      </c>
      <c r="O500" s="101">
        <v>105.79266545900377</v>
      </c>
      <c r="P500" s="100">
        <v>11</v>
      </c>
    </row>
    <row r="501" spans="13:16" x14ac:dyDescent="0.2">
      <c r="M501" s="103">
        <v>99</v>
      </c>
      <c r="N501" s="102">
        <v>2012</v>
      </c>
      <c r="O501" s="101">
        <v>104.91369656120203</v>
      </c>
      <c r="P501" s="100">
        <v>11</v>
      </c>
    </row>
    <row r="502" spans="13:16" x14ac:dyDescent="0.2">
      <c r="M502" s="103">
        <v>99</v>
      </c>
      <c r="N502" s="102">
        <v>2012</v>
      </c>
      <c r="O502" s="101">
        <v>94.071479864213259</v>
      </c>
      <c r="P502" s="100">
        <v>11</v>
      </c>
    </row>
    <row r="503" spans="13:16" x14ac:dyDescent="0.2">
      <c r="M503" s="103">
        <v>91.2</v>
      </c>
      <c r="N503" s="102">
        <v>2012</v>
      </c>
      <c r="O503" s="101">
        <v>71.849565903164518</v>
      </c>
      <c r="P503" s="100">
        <v>11</v>
      </c>
    </row>
    <row r="504" spans="13:16" x14ac:dyDescent="0.2">
      <c r="M504" s="103">
        <v>80</v>
      </c>
      <c r="N504" s="102">
        <v>2012</v>
      </c>
      <c r="O504" s="101">
        <v>56.743053153490784</v>
      </c>
      <c r="P504" s="100">
        <v>11</v>
      </c>
    </row>
    <row r="505" spans="13:16" x14ac:dyDescent="0.2">
      <c r="M505" s="103">
        <v>80</v>
      </c>
      <c r="N505" s="102">
        <v>2012</v>
      </c>
      <c r="O505" s="101">
        <v>75.127856622168892</v>
      </c>
      <c r="P505" s="100">
        <v>11</v>
      </c>
    </row>
    <row r="506" spans="13:16" x14ac:dyDescent="0.2">
      <c r="M506" s="103">
        <v>80</v>
      </c>
      <c r="N506" s="102">
        <v>2012</v>
      </c>
      <c r="O506" s="101">
        <v>262.14474902201789</v>
      </c>
      <c r="P506" s="100">
        <v>11</v>
      </c>
    </row>
    <row r="507" spans="13:16" x14ac:dyDescent="0.2">
      <c r="M507" s="103">
        <v>78.2</v>
      </c>
      <c r="N507" s="102">
        <v>2012</v>
      </c>
      <c r="O507" s="101">
        <v>97.308555099236088</v>
      </c>
      <c r="P507" s="100">
        <v>11</v>
      </c>
    </row>
    <row r="508" spans="13:16" x14ac:dyDescent="0.2">
      <c r="M508" s="103">
        <v>75</v>
      </c>
      <c r="N508" s="102">
        <v>2012</v>
      </c>
      <c r="O508" s="101">
        <v>86.832987226043969</v>
      </c>
      <c r="P508" s="100">
        <v>11</v>
      </c>
    </row>
    <row r="509" spans="13:16" x14ac:dyDescent="0.2">
      <c r="M509" s="103">
        <v>69</v>
      </c>
      <c r="N509" s="102">
        <v>2012</v>
      </c>
      <c r="O509" s="101">
        <v>89.768586345388627</v>
      </c>
      <c r="P509" s="100">
        <v>11</v>
      </c>
    </row>
    <row r="510" spans="13:16" x14ac:dyDescent="0.2">
      <c r="M510" s="103">
        <v>64</v>
      </c>
      <c r="N510" s="102">
        <v>2012</v>
      </c>
      <c r="O510" s="101">
        <v>60.665509415961168</v>
      </c>
      <c r="P510" s="100">
        <v>11</v>
      </c>
    </row>
    <row r="511" spans="13:16" x14ac:dyDescent="0.2">
      <c r="M511" s="103">
        <v>63</v>
      </c>
      <c r="N511" s="102">
        <v>2012</v>
      </c>
      <c r="O511" s="101">
        <v>96.771883938440908</v>
      </c>
      <c r="P511" s="100">
        <v>11</v>
      </c>
    </row>
    <row r="512" spans="13:16" x14ac:dyDescent="0.2">
      <c r="M512" s="103">
        <v>61.2</v>
      </c>
      <c r="N512" s="102">
        <v>2012</v>
      </c>
      <c r="O512" s="101">
        <v>147.28482018429503</v>
      </c>
      <c r="P512" s="100">
        <v>11</v>
      </c>
    </row>
    <row r="513" spans="13:16" x14ac:dyDescent="0.2">
      <c r="M513" s="103">
        <v>57.6</v>
      </c>
      <c r="N513" s="102">
        <v>2012</v>
      </c>
      <c r="O513" s="101">
        <v>94.449730253089228</v>
      </c>
      <c r="P513" s="100">
        <v>11</v>
      </c>
    </row>
    <row r="514" spans="13:16" x14ac:dyDescent="0.2">
      <c r="M514" s="103">
        <v>55.35</v>
      </c>
      <c r="N514" s="102">
        <v>2012</v>
      </c>
      <c r="O514" s="101">
        <v>96.189902242139723</v>
      </c>
      <c r="P514" s="100">
        <v>11</v>
      </c>
    </row>
    <row r="515" spans="13:16" x14ac:dyDescent="0.2">
      <c r="M515" s="103">
        <v>50</v>
      </c>
      <c r="N515" s="102">
        <v>2012</v>
      </c>
      <c r="O515" s="101">
        <v>63.064573553845854</v>
      </c>
      <c r="P515" s="100">
        <v>11</v>
      </c>
    </row>
    <row r="516" spans="13:16" x14ac:dyDescent="0.2">
      <c r="M516" s="103">
        <v>49</v>
      </c>
      <c r="N516" s="102">
        <v>2012</v>
      </c>
      <c r="O516" s="101">
        <v>83.800970243505589</v>
      </c>
      <c r="P516" s="100">
        <v>11</v>
      </c>
    </row>
    <row r="517" spans="13:16" x14ac:dyDescent="0.2">
      <c r="M517" s="103">
        <v>48</v>
      </c>
      <c r="N517" s="102">
        <v>2012</v>
      </c>
      <c r="O517" s="101">
        <v>118.20608722978481</v>
      </c>
      <c r="P517" s="100">
        <v>11</v>
      </c>
    </row>
    <row r="518" spans="13:16" x14ac:dyDescent="0.2">
      <c r="M518" s="103">
        <v>46</v>
      </c>
      <c r="N518" s="102">
        <v>2012</v>
      </c>
      <c r="O518" s="101">
        <v>114.79051610807979</v>
      </c>
      <c r="P518" s="100">
        <v>11</v>
      </c>
    </row>
    <row r="519" spans="13:16" x14ac:dyDescent="0.2">
      <c r="M519" s="103">
        <v>40</v>
      </c>
      <c r="N519" s="102">
        <v>2012</v>
      </c>
      <c r="O519" s="101">
        <v>265.35855280881452</v>
      </c>
      <c r="P519" s="100">
        <v>11</v>
      </c>
    </row>
    <row r="520" spans="13:16" x14ac:dyDescent="0.2">
      <c r="M520" s="103">
        <v>40</v>
      </c>
      <c r="N520" s="102">
        <v>2012</v>
      </c>
      <c r="O520" s="101">
        <v>77.659640152160009</v>
      </c>
      <c r="P520" s="100">
        <v>11</v>
      </c>
    </row>
    <row r="521" spans="13:16" x14ac:dyDescent="0.2">
      <c r="M521" s="103">
        <v>37.5</v>
      </c>
      <c r="N521" s="102">
        <v>2012</v>
      </c>
      <c r="O521" s="101">
        <v>55.37175519192094</v>
      </c>
      <c r="P521" s="100">
        <v>11</v>
      </c>
    </row>
    <row r="522" spans="13:16" x14ac:dyDescent="0.2">
      <c r="M522" s="103">
        <v>36</v>
      </c>
      <c r="N522" s="102">
        <v>2012</v>
      </c>
      <c r="O522" s="101">
        <v>80.529862985182717</v>
      </c>
      <c r="P522" s="100">
        <v>11</v>
      </c>
    </row>
    <row r="523" spans="13:16" x14ac:dyDescent="0.2">
      <c r="M523" s="103">
        <v>34.200000000000003</v>
      </c>
      <c r="N523" s="102">
        <v>2012</v>
      </c>
      <c r="O523" s="101">
        <v>94.398819751570343</v>
      </c>
      <c r="P523" s="100">
        <v>11</v>
      </c>
    </row>
    <row r="524" spans="13:16" x14ac:dyDescent="0.2">
      <c r="M524" s="103">
        <v>32</v>
      </c>
      <c r="N524" s="102">
        <v>2012</v>
      </c>
      <c r="O524" s="101">
        <v>66.791110083554486</v>
      </c>
      <c r="P524" s="100">
        <v>11</v>
      </c>
    </row>
    <row r="525" spans="13:16" x14ac:dyDescent="0.2">
      <c r="M525" s="103">
        <v>30.75</v>
      </c>
      <c r="N525" s="102">
        <v>2012</v>
      </c>
      <c r="O525" s="101">
        <v>81.977550967026133</v>
      </c>
      <c r="P525" s="100">
        <v>11</v>
      </c>
    </row>
    <row r="526" spans="13:16" x14ac:dyDescent="0.2">
      <c r="M526" s="103">
        <v>30</v>
      </c>
      <c r="N526" s="102">
        <v>2012</v>
      </c>
      <c r="O526" s="101">
        <v>94.256321459047044</v>
      </c>
      <c r="P526" s="100">
        <v>11</v>
      </c>
    </row>
    <row r="527" spans="13:16" x14ac:dyDescent="0.2">
      <c r="M527" s="103">
        <v>30</v>
      </c>
      <c r="N527" s="102">
        <v>2012</v>
      </c>
      <c r="O527" s="101">
        <v>80.994661574325278</v>
      </c>
      <c r="P527" s="100">
        <v>11</v>
      </c>
    </row>
    <row r="528" spans="13:16" x14ac:dyDescent="0.2">
      <c r="M528" s="103">
        <v>28.8</v>
      </c>
      <c r="N528" s="102">
        <v>2012</v>
      </c>
      <c r="O528" s="101">
        <v>76.291062599705086</v>
      </c>
      <c r="P528" s="100">
        <v>11</v>
      </c>
    </row>
    <row r="529" spans="13:16" x14ac:dyDescent="0.2">
      <c r="M529" s="103">
        <v>28.5</v>
      </c>
      <c r="N529" s="102">
        <v>2012</v>
      </c>
      <c r="O529" s="101">
        <v>106.17485959539098</v>
      </c>
      <c r="P529" s="100">
        <v>11</v>
      </c>
    </row>
    <row r="530" spans="13:16" x14ac:dyDescent="0.2">
      <c r="M530" s="103">
        <v>28</v>
      </c>
      <c r="N530" s="102">
        <v>2012</v>
      </c>
      <c r="O530" s="101">
        <v>91.94847905880826</v>
      </c>
      <c r="P530" s="100">
        <v>11</v>
      </c>
    </row>
    <row r="531" spans="13:16" x14ac:dyDescent="0.2">
      <c r="M531" s="103">
        <v>24</v>
      </c>
      <c r="N531" s="102">
        <v>2012</v>
      </c>
      <c r="O531" s="101">
        <v>93.625269171880205</v>
      </c>
      <c r="P531" s="100">
        <v>11</v>
      </c>
    </row>
    <row r="532" spans="13:16" x14ac:dyDescent="0.2">
      <c r="M532" s="103">
        <v>21</v>
      </c>
      <c r="N532" s="102">
        <v>2012</v>
      </c>
      <c r="O532" s="101">
        <v>159.76328585278509</v>
      </c>
      <c r="P532" s="100">
        <v>11</v>
      </c>
    </row>
    <row r="533" spans="13:16" x14ac:dyDescent="0.2">
      <c r="M533" s="103">
        <v>20</v>
      </c>
      <c r="N533" s="102">
        <v>2012</v>
      </c>
      <c r="O533" s="101">
        <v>242.53834624501661</v>
      </c>
      <c r="P533" s="100">
        <v>11</v>
      </c>
    </row>
    <row r="534" spans="13:16" x14ac:dyDescent="0.2">
      <c r="M534" s="103">
        <v>19.2</v>
      </c>
      <c r="N534" s="102">
        <v>2012</v>
      </c>
      <c r="O534" s="101">
        <v>98.008646553240823</v>
      </c>
      <c r="P534" s="100">
        <v>11</v>
      </c>
    </row>
    <row r="535" spans="13:16" x14ac:dyDescent="0.2">
      <c r="M535" s="103">
        <v>18</v>
      </c>
      <c r="N535" s="102">
        <v>2012</v>
      </c>
      <c r="O535" s="101">
        <v>127.86510461009287</v>
      </c>
      <c r="P535" s="100">
        <v>11</v>
      </c>
    </row>
    <row r="536" spans="13:16" x14ac:dyDescent="0.2">
      <c r="M536" s="103">
        <v>15</v>
      </c>
      <c r="N536" s="102">
        <v>2012</v>
      </c>
      <c r="O536" s="101">
        <v>185.21759135819525</v>
      </c>
      <c r="P536" s="100">
        <v>11</v>
      </c>
    </row>
    <row r="537" spans="13:16" x14ac:dyDescent="0.2">
      <c r="M537" s="103">
        <v>14.4</v>
      </c>
      <c r="N537" s="102">
        <v>2012</v>
      </c>
      <c r="O537" s="101">
        <v>65.837271119722644</v>
      </c>
      <c r="P537" s="100">
        <v>11</v>
      </c>
    </row>
    <row r="538" spans="13:16" x14ac:dyDescent="0.2">
      <c r="M538" s="103">
        <v>10</v>
      </c>
      <c r="N538" s="102">
        <v>2012</v>
      </c>
      <c r="O538" s="101">
        <v>100.36307676897971</v>
      </c>
      <c r="P538" s="100">
        <v>11</v>
      </c>
    </row>
    <row r="539" spans="13:16" x14ac:dyDescent="0.2">
      <c r="M539" s="103">
        <v>10</v>
      </c>
      <c r="N539" s="102">
        <v>2012</v>
      </c>
      <c r="O539" s="101">
        <v>88.394831346643471</v>
      </c>
      <c r="P539" s="100">
        <v>11</v>
      </c>
    </row>
    <row r="540" spans="13:16" x14ac:dyDescent="0.2">
      <c r="M540" s="103">
        <v>10</v>
      </c>
      <c r="N540" s="102">
        <v>2012</v>
      </c>
      <c r="O540" s="101">
        <v>113.87188452552432</v>
      </c>
      <c r="P540" s="100">
        <v>11</v>
      </c>
    </row>
    <row r="541" spans="13:16" x14ac:dyDescent="0.2">
      <c r="M541" s="103">
        <v>9</v>
      </c>
      <c r="N541" s="102">
        <v>2012</v>
      </c>
      <c r="O541" s="101">
        <v>59.060808612994045</v>
      </c>
      <c r="P541" s="100">
        <v>11</v>
      </c>
    </row>
    <row r="542" spans="13:16" x14ac:dyDescent="0.2">
      <c r="M542" s="103">
        <v>9</v>
      </c>
      <c r="N542" s="102">
        <v>2012</v>
      </c>
      <c r="O542" s="101">
        <v>192.47342933560913</v>
      </c>
      <c r="P542" s="100">
        <v>11</v>
      </c>
    </row>
    <row r="543" spans="13:16" x14ac:dyDescent="0.2">
      <c r="M543" s="103">
        <v>8</v>
      </c>
      <c r="N543" s="102">
        <v>2012</v>
      </c>
      <c r="O543" s="101">
        <v>66.852099344923019</v>
      </c>
      <c r="P543" s="100">
        <v>11</v>
      </c>
    </row>
    <row r="544" spans="13:16" x14ac:dyDescent="0.2">
      <c r="M544" s="103">
        <v>6</v>
      </c>
      <c r="N544" s="102">
        <v>2012</v>
      </c>
      <c r="O544" s="101">
        <v>157.60971052348788</v>
      </c>
      <c r="P544" s="100">
        <v>11</v>
      </c>
    </row>
    <row r="545" spans="13:16" x14ac:dyDescent="0.2">
      <c r="M545" s="103">
        <v>249.75</v>
      </c>
      <c r="N545" s="102">
        <v>2013</v>
      </c>
      <c r="O545" s="101">
        <v>49.540216760322359</v>
      </c>
      <c r="P545" s="100">
        <v>12</v>
      </c>
    </row>
    <row r="546" spans="13:16" x14ac:dyDescent="0.2">
      <c r="M546" s="103">
        <v>136.80000000000001</v>
      </c>
      <c r="N546" s="102">
        <v>2013</v>
      </c>
      <c r="O546" s="101">
        <v>91.797651042159302</v>
      </c>
      <c r="P546" s="100">
        <v>12</v>
      </c>
    </row>
    <row r="547" spans="13:16" x14ac:dyDescent="0.2">
      <c r="M547" s="103">
        <v>100.3</v>
      </c>
      <c r="N547" s="102">
        <v>2013</v>
      </c>
      <c r="O547" s="101">
        <v>68.180186050437001</v>
      </c>
      <c r="P547" s="100">
        <v>12</v>
      </c>
    </row>
    <row r="548" spans="13:16" x14ac:dyDescent="0.2">
      <c r="M548" s="103">
        <v>89.65</v>
      </c>
      <c r="N548" s="102">
        <v>2013</v>
      </c>
      <c r="O548" s="101">
        <v>94.677334636280307</v>
      </c>
      <c r="P548" s="100">
        <v>12</v>
      </c>
    </row>
    <row r="549" spans="13:16" x14ac:dyDescent="0.2">
      <c r="M549" s="103">
        <v>74.8</v>
      </c>
      <c r="N549" s="102">
        <v>2013</v>
      </c>
      <c r="O549" s="101">
        <v>49.370624014019981</v>
      </c>
      <c r="P549" s="100">
        <v>12</v>
      </c>
    </row>
    <row r="550" spans="13:16" x14ac:dyDescent="0.2">
      <c r="M550" s="103">
        <v>74.8</v>
      </c>
      <c r="N550" s="102">
        <v>2013</v>
      </c>
      <c r="O550" s="101">
        <v>63.291655492548863</v>
      </c>
      <c r="P550" s="100">
        <v>12</v>
      </c>
    </row>
    <row r="551" spans="13:16" x14ac:dyDescent="0.2">
      <c r="M551" s="103">
        <v>44.65</v>
      </c>
      <c r="N551" s="102">
        <v>2013</v>
      </c>
      <c r="O551" s="101">
        <v>52.694965888976498</v>
      </c>
      <c r="P551" s="100">
        <v>12</v>
      </c>
    </row>
    <row r="552" spans="13:16" x14ac:dyDescent="0.2">
      <c r="M552" s="103">
        <v>42.660000000000004</v>
      </c>
      <c r="N552" s="102">
        <v>2013</v>
      </c>
      <c r="O552" s="101">
        <v>138.06405560611088</v>
      </c>
      <c r="P552" s="100">
        <v>12</v>
      </c>
    </row>
    <row r="553" spans="13:16" x14ac:dyDescent="0.2">
      <c r="M553" s="103">
        <v>23.8</v>
      </c>
      <c r="N553" s="102">
        <v>2013</v>
      </c>
      <c r="O553" s="101">
        <v>53.897438803008683</v>
      </c>
      <c r="P553" s="100">
        <v>12</v>
      </c>
    </row>
    <row r="554" spans="13:16" x14ac:dyDescent="0.2">
      <c r="M554" s="103">
        <v>8</v>
      </c>
      <c r="N554" s="102">
        <v>2013</v>
      </c>
      <c r="O554" s="101">
        <v>116.29873307703917</v>
      </c>
      <c r="P554" s="100">
        <v>12</v>
      </c>
    </row>
    <row r="555" spans="13:16" x14ac:dyDescent="0.2">
      <c r="M555" s="103">
        <v>288.60000000000002</v>
      </c>
      <c r="N555" s="102">
        <v>2014</v>
      </c>
      <c r="O555" s="101">
        <v>46.325062659700933</v>
      </c>
      <c r="P555" s="100">
        <v>13</v>
      </c>
    </row>
    <row r="556" spans="13:16" x14ac:dyDescent="0.2">
      <c r="M556" s="103">
        <v>266.8</v>
      </c>
      <c r="N556" s="102">
        <v>2014</v>
      </c>
      <c r="O556" s="101">
        <v>77.683473418360748</v>
      </c>
      <c r="P556" s="100">
        <v>13</v>
      </c>
    </row>
    <row r="557" spans="13:16" x14ac:dyDescent="0.2">
      <c r="M557" s="103">
        <v>251.02200000000002</v>
      </c>
      <c r="N557" s="102">
        <v>2014</v>
      </c>
      <c r="O557" s="101">
        <v>51.037222793477127</v>
      </c>
      <c r="P557" s="100">
        <v>13</v>
      </c>
    </row>
    <row r="558" spans="13:16" x14ac:dyDescent="0.2">
      <c r="M558" s="103">
        <v>249.9</v>
      </c>
      <c r="N558" s="102">
        <v>2014</v>
      </c>
      <c r="O558" s="101">
        <v>46.484863056205235</v>
      </c>
      <c r="P558" s="100">
        <v>13</v>
      </c>
    </row>
    <row r="559" spans="13:16" x14ac:dyDescent="0.2">
      <c r="M559" s="103">
        <v>218.3</v>
      </c>
      <c r="N559" s="102">
        <v>2014</v>
      </c>
      <c r="O559" s="101">
        <v>53.859013330904965</v>
      </c>
      <c r="P559" s="100">
        <v>13</v>
      </c>
    </row>
    <row r="560" spans="13:16" x14ac:dyDescent="0.2">
      <c r="M560" s="103">
        <v>211.22</v>
      </c>
      <c r="N560" s="102">
        <v>2014</v>
      </c>
      <c r="O560" s="101">
        <v>53.186508272706789</v>
      </c>
      <c r="P560" s="100">
        <v>13</v>
      </c>
    </row>
    <row r="561" spans="13:16" x14ac:dyDescent="0.2">
      <c r="M561" s="103">
        <v>211.22</v>
      </c>
      <c r="N561" s="102">
        <v>2014</v>
      </c>
      <c r="O561" s="101">
        <v>48.686833625455094</v>
      </c>
      <c r="P561" s="100">
        <v>13</v>
      </c>
    </row>
    <row r="562" spans="13:16" x14ac:dyDescent="0.2">
      <c r="M562" s="103">
        <v>204.8</v>
      </c>
      <c r="N562" s="102">
        <v>2014</v>
      </c>
      <c r="O562" s="101">
        <v>54.958277174803655</v>
      </c>
      <c r="P562" s="100">
        <v>13</v>
      </c>
    </row>
    <row r="563" spans="13:16" x14ac:dyDescent="0.2">
      <c r="M563" s="103">
        <v>200.6</v>
      </c>
      <c r="N563" s="102">
        <v>2014</v>
      </c>
      <c r="O563" s="101">
        <v>47.097558405307865</v>
      </c>
      <c r="P563" s="100">
        <v>13</v>
      </c>
    </row>
    <row r="564" spans="13:16" x14ac:dyDescent="0.2">
      <c r="M564" s="103">
        <v>200.6</v>
      </c>
      <c r="N564" s="102">
        <v>2014</v>
      </c>
      <c r="O564" s="101">
        <v>52.312036292775026</v>
      </c>
      <c r="P564" s="100">
        <v>13</v>
      </c>
    </row>
    <row r="565" spans="13:16" x14ac:dyDescent="0.2">
      <c r="M565" s="103">
        <v>200</v>
      </c>
      <c r="N565" s="102">
        <v>2014</v>
      </c>
      <c r="O565" s="101">
        <v>64.013950939994217</v>
      </c>
      <c r="P565" s="100">
        <v>13</v>
      </c>
    </row>
    <row r="566" spans="13:16" x14ac:dyDescent="0.2">
      <c r="M566" s="103">
        <v>199.9</v>
      </c>
      <c r="N566" s="102">
        <v>2014</v>
      </c>
      <c r="O566" s="101">
        <v>50.171470307630635</v>
      </c>
      <c r="P566" s="100">
        <v>13</v>
      </c>
    </row>
    <row r="567" spans="13:16" x14ac:dyDescent="0.2">
      <c r="M567" s="103">
        <v>198.9</v>
      </c>
      <c r="N567" s="102">
        <v>2014</v>
      </c>
      <c r="O567" s="101">
        <v>46.788139830964987</v>
      </c>
      <c r="P567" s="100">
        <v>13</v>
      </c>
    </row>
    <row r="568" spans="13:16" x14ac:dyDescent="0.2">
      <c r="M568" s="103">
        <v>198.9</v>
      </c>
      <c r="N568" s="102">
        <v>2014</v>
      </c>
      <c r="O568" s="101">
        <v>54.226338882927962</v>
      </c>
      <c r="P568" s="100">
        <v>13</v>
      </c>
    </row>
    <row r="569" spans="13:16" x14ac:dyDescent="0.2">
      <c r="M569" s="103">
        <v>181.7</v>
      </c>
      <c r="N569" s="102">
        <v>2014</v>
      </c>
      <c r="O569" s="101">
        <v>49.195683978753436</v>
      </c>
      <c r="P569" s="100">
        <v>13</v>
      </c>
    </row>
    <row r="570" spans="13:16" x14ac:dyDescent="0.2">
      <c r="M570" s="103">
        <v>160.94999999999999</v>
      </c>
      <c r="N570" s="102">
        <v>2014</v>
      </c>
      <c r="O570" s="101">
        <v>51.904688807399182</v>
      </c>
      <c r="P570" s="100">
        <v>13</v>
      </c>
    </row>
    <row r="571" spans="13:16" x14ac:dyDescent="0.2">
      <c r="M571" s="103">
        <v>150</v>
      </c>
      <c r="N571" s="102">
        <v>2014</v>
      </c>
      <c r="O571" s="101">
        <v>51.62663285586288</v>
      </c>
      <c r="P571" s="100">
        <v>13</v>
      </c>
    </row>
    <row r="572" spans="13:16" x14ac:dyDescent="0.2">
      <c r="M572" s="103">
        <v>148.6</v>
      </c>
      <c r="N572" s="102">
        <v>2014</v>
      </c>
      <c r="O572" s="101">
        <v>52.489443895339129</v>
      </c>
      <c r="P572" s="100">
        <v>13</v>
      </c>
    </row>
    <row r="573" spans="13:16" x14ac:dyDescent="0.2">
      <c r="M573" s="103">
        <v>140.76</v>
      </c>
      <c r="N573" s="102">
        <v>2014</v>
      </c>
      <c r="O573" s="101">
        <v>54.410843916775569</v>
      </c>
      <c r="P573" s="100">
        <v>13</v>
      </c>
    </row>
    <row r="574" spans="13:16" x14ac:dyDescent="0.2">
      <c r="M574" s="103">
        <v>119.646</v>
      </c>
      <c r="N574" s="102">
        <v>2014</v>
      </c>
      <c r="O574" s="101">
        <v>63.423812876351768</v>
      </c>
      <c r="P574" s="100">
        <v>13</v>
      </c>
    </row>
    <row r="575" spans="13:16" x14ac:dyDescent="0.2">
      <c r="M575" s="103">
        <v>112</v>
      </c>
      <c r="N575" s="102">
        <v>2014</v>
      </c>
      <c r="O575" s="101">
        <v>98.12911450535448</v>
      </c>
      <c r="P575" s="100">
        <v>13</v>
      </c>
    </row>
    <row r="576" spans="13:16" x14ac:dyDescent="0.2">
      <c r="M576" s="103">
        <v>110.98</v>
      </c>
      <c r="N576" s="102">
        <v>2014</v>
      </c>
      <c r="O576" s="101">
        <v>76.101477122089165</v>
      </c>
      <c r="P576" s="100">
        <v>13</v>
      </c>
    </row>
    <row r="577" spans="13:16" x14ac:dyDescent="0.2">
      <c r="M577" s="103">
        <v>100.3</v>
      </c>
      <c r="N577" s="102">
        <v>2014</v>
      </c>
      <c r="O577" s="101">
        <v>56.029616760055326</v>
      </c>
      <c r="P577" s="100">
        <v>13</v>
      </c>
    </row>
    <row r="578" spans="13:16" x14ac:dyDescent="0.2">
      <c r="M578" s="103">
        <v>99</v>
      </c>
      <c r="N578" s="102">
        <v>2014</v>
      </c>
      <c r="O578" s="101">
        <v>81.293539650378605</v>
      </c>
      <c r="P578" s="100">
        <v>13</v>
      </c>
    </row>
    <row r="579" spans="13:16" x14ac:dyDescent="0.2">
      <c r="M579" s="103">
        <v>93.960000000000008</v>
      </c>
      <c r="N579" s="102">
        <v>2014</v>
      </c>
      <c r="O579" s="101">
        <v>80.687747456859256</v>
      </c>
      <c r="P579" s="100">
        <v>13</v>
      </c>
    </row>
    <row r="580" spans="13:16" x14ac:dyDescent="0.2">
      <c r="M580" s="103">
        <v>75</v>
      </c>
      <c r="N580" s="102">
        <v>2014</v>
      </c>
      <c r="O580" s="101">
        <v>54.436968033467437</v>
      </c>
      <c r="P580" s="100">
        <v>13</v>
      </c>
    </row>
    <row r="581" spans="13:16" x14ac:dyDescent="0.2">
      <c r="M581" s="103">
        <v>74.800000000000097</v>
      </c>
      <c r="N581" s="102">
        <v>2014</v>
      </c>
      <c r="O581" s="101">
        <v>63.224909572804137</v>
      </c>
      <c r="P581" s="100">
        <v>13</v>
      </c>
    </row>
    <row r="582" spans="13:16" x14ac:dyDescent="0.2">
      <c r="M582" s="103">
        <v>68</v>
      </c>
      <c r="N582" s="102">
        <v>2014</v>
      </c>
      <c r="O582" s="101">
        <v>56.832870647221682</v>
      </c>
      <c r="P582" s="100">
        <v>13</v>
      </c>
    </row>
    <row r="583" spans="13:16" x14ac:dyDescent="0.2">
      <c r="M583" s="103">
        <v>60</v>
      </c>
      <c r="N583" s="102">
        <v>2014</v>
      </c>
      <c r="O583" s="101">
        <v>49.265597559077243</v>
      </c>
      <c r="P583" s="100">
        <v>13</v>
      </c>
    </row>
    <row r="584" spans="13:16" x14ac:dyDescent="0.2">
      <c r="M584" s="103">
        <v>50.4</v>
      </c>
      <c r="N584" s="102">
        <v>2014</v>
      </c>
      <c r="O584" s="101">
        <v>74.683770183820485</v>
      </c>
      <c r="P584" s="100">
        <v>13</v>
      </c>
    </row>
    <row r="585" spans="13:16" x14ac:dyDescent="0.2">
      <c r="M585" s="103">
        <v>48</v>
      </c>
      <c r="N585" s="102">
        <v>2014</v>
      </c>
      <c r="O585" s="101">
        <v>51.134134087047855</v>
      </c>
      <c r="P585" s="100">
        <v>13</v>
      </c>
    </row>
    <row r="586" spans="13:16" x14ac:dyDescent="0.2">
      <c r="M586" s="103">
        <v>40</v>
      </c>
      <c r="N586" s="102">
        <v>2014</v>
      </c>
      <c r="O586" s="101">
        <v>78.340931620242884</v>
      </c>
      <c r="P586" s="100">
        <v>13</v>
      </c>
    </row>
    <row r="587" spans="13:16" x14ac:dyDescent="0.2">
      <c r="M587" s="103">
        <v>34.200000000000003</v>
      </c>
      <c r="N587" s="102">
        <v>2014</v>
      </c>
      <c r="O587" s="101">
        <v>96.288654746439718</v>
      </c>
      <c r="P587" s="100">
        <v>13</v>
      </c>
    </row>
    <row r="588" spans="13:16" x14ac:dyDescent="0.2">
      <c r="M588" s="103">
        <v>20</v>
      </c>
      <c r="N588" s="102">
        <v>2014</v>
      </c>
      <c r="O588" s="101">
        <v>83.806313582249402</v>
      </c>
      <c r="P588" s="100">
        <v>13</v>
      </c>
    </row>
    <row r="589" spans="13:16" x14ac:dyDescent="0.2">
      <c r="M589" s="103">
        <v>19.8</v>
      </c>
      <c r="N589" s="102">
        <v>2014</v>
      </c>
      <c r="O589" s="101">
        <v>50.123269409814178</v>
      </c>
      <c r="P589" s="100">
        <v>13</v>
      </c>
    </row>
    <row r="590" spans="13:16" x14ac:dyDescent="0.2">
      <c r="M590" s="103">
        <v>19.5</v>
      </c>
      <c r="N590" s="102">
        <v>2014</v>
      </c>
      <c r="O590" s="101">
        <v>58.847095479703192</v>
      </c>
      <c r="P590" s="100">
        <v>13</v>
      </c>
    </row>
    <row r="591" spans="13:16" x14ac:dyDescent="0.2">
      <c r="M591" s="103">
        <v>16.2</v>
      </c>
      <c r="N591" s="102">
        <v>2014</v>
      </c>
      <c r="O591" s="101">
        <v>88.700966656811559</v>
      </c>
      <c r="P591" s="100">
        <v>13</v>
      </c>
    </row>
    <row r="592" spans="13:16" x14ac:dyDescent="0.2">
      <c r="M592" s="103">
        <v>14.95</v>
      </c>
      <c r="N592" s="102">
        <v>2014</v>
      </c>
      <c r="O592" s="101">
        <v>49.025503556355865</v>
      </c>
      <c r="P592" s="100">
        <v>13</v>
      </c>
    </row>
    <row r="593" spans="13:16" x14ac:dyDescent="0.2">
      <c r="M593" s="103">
        <v>11.5</v>
      </c>
      <c r="N593" s="102">
        <v>2014</v>
      </c>
      <c r="O593" s="101">
        <v>80.860843057444825</v>
      </c>
      <c r="P593" s="100">
        <v>13</v>
      </c>
    </row>
    <row r="594" spans="13:16" x14ac:dyDescent="0.2">
      <c r="M594" s="103">
        <v>10</v>
      </c>
      <c r="N594" s="102">
        <v>2014</v>
      </c>
      <c r="O594" s="101">
        <v>72.253518710508928</v>
      </c>
      <c r="P594" s="100">
        <v>13</v>
      </c>
    </row>
    <row r="595" spans="13:16" x14ac:dyDescent="0.2">
      <c r="M595" s="103">
        <v>9.7200000000000006</v>
      </c>
      <c r="N595" s="102">
        <v>2014</v>
      </c>
      <c r="O595" s="101">
        <v>64.485549920413376</v>
      </c>
      <c r="P595" s="100">
        <v>13</v>
      </c>
    </row>
    <row r="596" spans="13:16" x14ac:dyDescent="0.2">
      <c r="M596" s="103">
        <v>495.01</v>
      </c>
      <c r="N596" s="102">
        <v>2015</v>
      </c>
      <c r="O596" s="101">
        <v>51.396884782995066</v>
      </c>
      <c r="P596" s="100">
        <v>14</v>
      </c>
    </row>
    <row r="597" spans="13:16" x14ac:dyDescent="0.2">
      <c r="M597" s="103">
        <v>299.7</v>
      </c>
      <c r="N597" s="102">
        <v>2015</v>
      </c>
      <c r="O597" s="101">
        <v>44.346803017198596</v>
      </c>
      <c r="P597" s="100">
        <v>14</v>
      </c>
    </row>
    <row r="598" spans="13:16" x14ac:dyDescent="0.2">
      <c r="M598" s="103">
        <v>299.7</v>
      </c>
      <c r="N598" s="102">
        <v>2015</v>
      </c>
      <c r="O598" s="101">
        <v>47.875122575671114</v>
      </c>
      <c r="P598" s="100">
        <v>14</v>
      </c>
    </row>
    <row r="599" spans="13:16" x14ac:dyDescent="0.2">
      <c r="M599" s="103">
        <v>299</v>
      </c>
      <c r="N599" s="102">
        <v>2015</v>
      </c>
      <c r="O599" s="101">
        <v>54.988384562864823</v>
      </c>
      <c r="P599" s="100">
        <v>14</v>
      </c>
    </row>
    <row r="600" spans="13:16" x14ac:dyDescent="0.2">
      <c r="M600" s="103">
        <v>250</v>
      </c>
      <c r="N600" s="102">
        <v>2015</v>
      </c>
      <c r="O600" s="101">
        <v>40.64711858305558</v>
      </c>
      <c r="P600" s="100">
        <v>14</v>
      </c>
    </row>
    <row r="601" spans="13:16" x14ac:dyDescent="0.2">
      <c r="M601" s="103">
        <v>249.7</v>
      </c>
      <c r="N601" s="102">
        <v>2015</v>
      </c>
      <c r="O601" s="101">
        <v>49.371235943280368</v>
      </c>
      <c r="P601" s="100">
        <v>14</v>
      </c>
    </row>
    <row r="602" spans="13:16" x14ac:dyDescent="0.2">
      <c r="M602" s="103">
        <v>249.2</v>
      </c>
      <c r="N602" s="102">
        <v>2015</v>
      </c>
      <c r="O602" s="101">
        <v>53.237239611328803</v>
      </c>
      <c r="P602" s="100">
        <v>14</v>
      </c>
    </row>
    <row r="603" spans="13:16" x14ac:dyDescent="0.2">
      <c r="M603" s="103">
        <v>211.22</v>
      </c>
      <c r="N603" s="102">
        <v>2015</v>
      </c>
      <c r="O603" s="101">
        <v>62.50247606174851</v>
      </c>
      <c r="P603" s="100">
        <v>14</v>
      </c>
    </row>
    <row r="604" spans="13:16" x14ac:dyDescent="0.2">
      <c r="M604" s="103">
        <v>207</v>
      </c>
      <c r="N604" s="102">
        <v>2015</v>
      </c>
      <c r="O604" s="101">
        <v>52.060104058666795</v>
      </c>
      <c r="P604" s="100">
        <v>14</v>
      </c>
    </row>
    <row r="605" spans="13:16" x14ac:dyDescent="0.2">
      <c r="M605" s="103">
        <v>204.09</v>
      </c>
      <c r="N605" s="102">
        <v>2015</v>
      </c>
      <c r="O605" s="101">
        <v>65.295326737292513</v>
      </c>
      <c r="P605" s="100">
        <v>14</v>
      </c>
    </row>
    <row r="606" spans="13:16" x14ac:dyDescent="0.2">
      <c r="M606" s="103">
        <v>202</v>
      </c>
      <c r="N606" s="102">
        <v>2015</v>
      </c>
      <c r="O606" s="101">
        <v>76.021599370122203</v>
      </c>
      <c r="P606" s="100">
        <v>14</v>
      </c>
    </row>
    <row r="607" spans="13:16" x14ac:dyDescent="0.2">
      <c r="M607" s="103">
        <v>200.1</v>
      </c>
      <c r="N607" s="102">
        <v>2015</v>
      </c>
      <c r="O607" s="101">
        <v>51.988795580810852</v>
      </c>
      <c r="P607" s="100">
        <v>14</v>
      </c>
    </row>
    <row r="608" spans="13:16" x14ac:dyDescent="0.2">
      <c r="M608" s="103">
        <v>200</v>
      </c>
      <c r="N608" s="102">
        <v>2015</v>
      </c>
      <c r="O608" s="101">
        <v>41.394910456317803</v>
      </c>
      <c r="P608" s="100">
        <v>14</v>
      </c>
    </row>
    <row r="609" spans="13:16" x14ac:dyDescent="0.2">
      <c r="M609" s="103">
        <v>200</v>
      </c>
      <c r="N609" s="102">
        <v>2015</v>
      </c>
      <c r="O609" s="101">
        <v>48.739795202107601</v>
      </c>
      <c r="P609" s="100">
        <v>14</v>
      </c>
    </row>
    <row r="610" spans="13:16" x14ac:dyDescent="0.2">
      <c r="M610" s="103">
        <v>200</v>
      </c>
      <c r="N610" s="102">
        <v>2015</v>
      </c>
      <c r="O610" s="101">
        <v>44.226414628126406</v>
      </c>
      <c r="P610" s="100">
        <v>14</v>
      </c>
    </row>
    <row r="611" spans="13:16" x14ac:dyDescent="0.2">
      <c r="M611" s="103">
        <v>200</v>
      </c>
      <c r="N611" s="102">
        <v>2015</v>
      </c>
      <c r="O611" s="101">
        <v>42.24173829028431</v>
      </c>
      <c r="P611" s="100">
        <v>14</v>
      </c>
    </row>
    <row r="612" spans="13:16" x14ac:dyDescent="0.2">
      <c r="M612" s="103">
        <v>200</v>
      </c>
      <c r="N612" s="102">
        <v>2015</v>
      </c>
      <c r="O612" s="101">
        <v>53.784614263193767</v>
      </c>
      <c r="P612" s="100">
        <v>14</v>
      </c>
    </row>
    <row r="613" spans="13:16" x14ac:dyDescent="0.2">
      <c r="M613" s="103">
        <v>200</v>
      </c>
      <c r="N613" s="102">
        <v>2015</v>
      </c>
      <c r="O613" s="101">
        <v>45.971490900520401</v>
      </c>
      <c r="P613" s="100">
        <v>14</v>
      </c>
    </row>
    <row r="614" spans="13:16" x14ac:dyDescent="0.2">
      <c r="M614" s="103">
        <v>198.7</v>
      </c>
      <c r="N614" s="102">
        <v>2015</v>
      </c>
      <c r="O614" s="101">
        <v>39.567205249471705</v>
      </c>
      <c r="P614" s="100">
        <v>14</v>
      </c>
    </row>
    <row r="615" spans="13:16" x14ac:dyDescent="0.2">
      <c r="M615" s="103">
        <v>194</v>
      </c>
      <c r="N615" s="102">
        <v>2015</v>
      </c>
      <c r="O615" s="101">
        <v>40.008051356097404</v>
      </c>
      <c r="P615" s="100">
        <v>14</v>
      </c>
    </row>
    <row r="616" spans="13:16" x14ac:dyDescent="0.2">
      <c r="M616" s="103">
        <v>180</v>
      </c>
      <c r="N616" s="102">
        <v>2015</v>
      </c>
      <c r="O616" s="101">
        <v>53.309443555200758</v>
      </c>
      <c r="P616" s="100">
        <v>14</v>
      </c>
    </row>
    <row r="617" spans="13:16" x14ac:dyDescent="0.2">
      <c r="M617" s="103">
        <v>175.1</v>
      </c>
      <c r="N617" s="102">
        <v>2015</v>
      </c>
      <c r="O617" s="101">
        <v>53.359584689103507</v>
      </c>
      <c r="P617" s="100">
        <v>14</v>
      </c>
    </row>
    <row r="618" spans="13:16" x14ac:dyDescent="0.2">
      <c r="M618" s="103">
        <v>165</v>
      </c>
      <c r="N618" s="102">
        <v>2015</v>
      </c>
      <c r="O618" s="101">
        <v>69.133478255531358</v>
      </c>
      <c r="P618" s="100">
        <v>14</v>
      </c>
    </row>
    <row r="619" spans="13:16" x14ac:dyDescent="0.2">
      <c r="M619" s="103">
        <v>164.68</v>
      </c>
      <c r="N619" s="102">
        <v>2015</v>
      </c>
      <c r="O619" s="101">
        <v>50.811312742752307</v>
      </c>
      <c r="P619" s="100">
        <v>14</v>
      </c>
    </row>
    <row r="620" spans="13:16" x14ac:dyDescent="0.2">
      <c r="M620" s="103">
        <v>150.36000000000001</v>
      </c>
      <c r="N620" s="102">
        <v>2015</v>
      </c>
      <c r="O620" s="101">
        <v>48.280810393418037</v>
      </c>
      <c r="P620" s="100">
        <v>14</v>
      </c>
    </row>
    <row r="621" spans="13:16" x14ac:dyDescent="0.2">
      <c r="M621" s="103">
        <v>150</v>
      </c>
      <c r="N621" s="102">
        <v>2015</v>
      </c>
      <c r="O621" s="101">
        <v>54.63992278931957</v>
      </c>
      <c r="P621" s="100">
        <v>14</v>
      </c>
    </row>
    <row r="622" spans="13:16" x14ac:dyDescent="0.2">
      <c r="M622" s="103">
        <v>150</v>
      </c>
      <c r="N622" s="102">
        <v>2015</v>
      </c>
      <c r="O622" s="101">
        <v>86.631846282961021</v>
      </c>
      <c r="P622" s="100">
        <v>14</v>
      </c>
    </row>
    <row r="623" spans="13:16" x14ac:dyDescent="0.2">
      <c r="M623" s="103">
        <v>150</v>
      </c>
      <c r="N623" s="102">
        <v>2015</v>
      </c>
      <c r="O623" s="101">
        <v>58.036682852127122</v>
      </c>
      <c r="P623" s="100">
        <v>14</v>
      </c>
    </row>
    <row r="624" spans="13:16" x14ac:dyDescent="0.2">
      <c r="M624" s="103">
        <v>150</v>
      </c>
      <c r="N624" s="102">
        <v>2015</v>
      </c>
      <c r="O624" s="101">
        <v>45.75055382757153</v>
      </c>
      <c r="P624" s="100">
        <v>14</v>
      </c>
    </row>
    <row r="625" spans="13:16" x14ac:dyDescent="0.2">
      <c r="M625" s="103">
        <v>150</v>
      </c>
      <c r="N625" s="102">
        <v>2015</v>
      </c>
      <c r="O625" s="101">
        <v>45.072993183515223</v>
      </c>
      <c r="P625" s="100">
        <v>14</v>
      </c>
    </row>
    <row r="626" spans="13:16" x14ac:dyDescent="0.2">
      <c r="M626" s="103">
        <v>149.6</v>
      </c>
      <c r="N626" s="102">
        <v>2015</v>
      </c>
      <c r="O626" s="101">
        <v>43.368085209324995</v>
      </c>
      <c r="P626" s="100">
        <v>14</v>
      </c>
    </row>
    <row r="627" spans="13:16" x14ac:dyDescent="0.2">
      <c r="M627" s="103">
        <v>149.5</v>
      </c>
      <c r="N627" s="102">
        <v>2015</v>
      </c>
      <c r="O627" s="101">
        <v>73.61814267415545</v>
      </c>
      <c r="P627" s="100">
        <v>14</v>
      </c>
    </row>
    <row r="628" spans="13:16" x14ac:dyDescent="0.2">
      <c r="M628" s="103">
        <v>147.6</v>
      </c>
      <c r="N628" s="102">
        <v>2015</v>
      </c>
      <c r="O628" s="101">
        <v>81.737198823606619</v>
      </c>
      <c r="P628" s="100">
        <v>14</v>
      </c>
    </row>
    <row r="629" spans="13:16" x14ac:dyDescent="0.2">
      <c r="M629" s="103">
        <v>110</v>
      </c>
      <c r="N629" s="102">
        <v>2015</v>
      </c>
      <c r="O629" s="101">
        <v>47.486133288888276</v>
      </c>
      <c r="P629" s="100">
        <v>14</v>
      </c>
    </row>
    <row r="630" spans="13:16" x14ac:dyDescent="0.2">
      <c r="M630" s="103">
        <v>110</v>
      </c>
      <c r="N630" s="102">
        <v>2015</v>
      </c>
      <c r="O630" s="101">
        <v>57.022831245995725</v>
      </c>
      <c r="P630" s="100">
        <v>14</v>
      </c>
    </row>
    <row r="631" spans="13:16" x14ac:dyDescent="0.2">
      <c r="M631" s="103">
        <v>107.5</v>
      </c>
      <c r="N631" s="102">
        <v>2015</v>
      </c>
      <c r="O631" s="101">
        <v>56.917588530746364</v>
      </c>
      <c r="P631" s="100">
        <v>14</v>
      </c>
    </row>
    <row r="632" spans="13:16" x14ac:dyDescent="0.2">
      <c r="M632" s="103">
        <v>100</v>
      </c>
      <c r="N632" s="102">
        <v>2015</v>
      </c>
      <c r="O632" s="101">
        <v>48.602173940614605</v>
      </c>
      <c r="P632" s="100">
        <v>14</v>
      </c>
    </row>
    <row r="633" spans="13:16" x14ac:dyDescent="0.2">
      <c r="M633" s="103">
        <v>99</v>
      </c>
      <c r="N633" s="102">
        <v>2015</v>
      </c>
      <c r="O633" s="101">
        <v>81.017523204410438</v>
      </c>
      <c r="P633" s="100">
        <v>14</v>
      </c>
    </row>
    <row r="634" spans="13:16" x14ac:dyDescent="0.2">
      <c r="M634" s="103">
        <v>98.1</v>
      </c>
      <c r="N634" s="102">
        <v>2015</v>
      </c>
      <c r="O634" s="101">
        <v>46.593984287729356</v>
      </c>
      <c r="P634" s="100">
        <v>14</v>
      </c>
    </row>
    <row r="635" spans="13:16" x14ac:dyDescent="0.2">
      <c r="M635" s="103">
        <v>98</v>
      </c>
      <c r="N635" s="102">
        <v>2015</v>
      </c>
      <c r="O635" s="101">
        <v>47.478865354962572</v>
      </c>
      <c r="P635" s="100">
        <v>14</v>
      </c>
    </row>
    <row r="636" spans="13:16" x14ac:dyDescent="0.2">
      <c r="M636" s="103">
        <v>95</v>
      </c>
      <c r="N636" s="102">
        <v>2015</v>
      </c>
      <c r="O636" s="101">
        <v>48.494743975339922</v>
      </c>
      <c r="P636" s="100">
        <v>14</v>
      </c>
    </row>
    <row r="637" spans="13:16" x14ac:dyDescent="0.2">
      <c r="M637" s="103">
        <v>85.9</v>
      </c>
      <c r="N637" s="102">
        <v>2015</v>
      </c>
      <c r="O637" s="101">
        <v>66.30354340822592</v>
      </c>
      <c r="P637" s="100">
        <v>14</v>
      </c>
    </row>
    <row r="638" spans="13:16" x14ac:dyDescent="0.2">
      <c r="M638" s="103">
        <v>79.55</v>
      </c>
      <c r="N638" s="102">
        <v>2015</v>
      </c>
      <c r="O638" s="101">
        <v>40.200193606591881</v>
      </c>
      <c r="P638" s="100">
        <v>14</v>
      </c>
    </row>
    <row r="639" spans="13:16" x14ac:dyDescent="0.2">
      <c r="M639" s="103">
        <v>78</v>
      </c>
      <c r="N639" s="102">
        <v>2015</v>
      </c>
      <c r="O639" s="101">
        <v>54.633257880791767</v>
      </c>
      <c r="P639" s="100">
        <v>14</v>
      </c>
    </row>
    <row r="640" spans="13:16" x14ac:dyDescent="0.2">
      <c r="M640" s="103">
        <v>74</v>
      </c>
      <c r="N640" s="102">
        <v>2015</v>
      </c>
      <c r="O640" s="101">
        <v>45.192967550405854</v>
      </c>
      <c r="P640" s="100">
        <v>14</v>
      </c>
    </row>
    <row r="641" spans="13:16" x14ac:dyDescent="0.2">
      <c r="M641" s="103">
        <v>73.5</v>
      </c>
      <c r="N641" s="102">
        <v>2015</v>
      </c>
      <c r="O641" s="101">
        <v>43.279287988762022</v>
      </c>
      <c r="P641" s="100">
        <v>14</v>
      </c>
    </row>
    <row r="642" spans="13:16" x14ac:dyDescent="0.2">
      <c r="M642" s="103">
        <v>48.3</v>
      </c>
      <c r="N642" s="102">
        <v>2015</v>
      </c>
      <c r="O642" s="101">
        <v>42.858510839963152</v>
      </c>
      <c r="P642" s="100">
        <v>14</v>
      </c>
    </row>
    <row r="643" spans="13:16" x14ac:dyDescent="0.2">
      <c r="M643" s="103">
        <v>30</v>
      </c>
      <c r="N643" s="102">
        <v>2015</v>
      </c>
      <c r="O643" s="101">
        <v>71.225047417960596</v>
      </c>
      <c r="P643" s="100">
        <v>14</v>
      </c>
    </row>
    <row r="644" spans="13:16" x14ac:dyDescent="0.2">
      <c r="M644" s="103">
        <v>20</v>
      </c>
      <c r="N644" s="102">
        <v>2015</v>
      </c>
      <c r="O644" s="101">
        <v>54.856258327097102</v>
      </c>
      <c r="P644" s="100">
        <v>14</v>
      </c>
    </row>
    <row r="645" spans="13:16" x14ac:dyDescent="0.2">
      <c r="M645" s="103">
        <v>19.8</v>
      </c>
      <c r="N645" s="102">
        <v>2015</v>
      </c>
      <c r="O645" s="101">
        <v>105.37457555849431</v>
      </c>
      <c r="P645" s="100">
        <v>14</v>
      </c>
    </row>
    <row r="646" spans="13:16" x14ac:dyDescent="0.2">
      <c r="M646" s="103">
        <v>18</v>
      </c>
      <c r="N646" s="102">
        <v>2015</v>
      </c>
      <c r="O646" s="101">
        <v>41.50161834126888</v>
      </c>
      <c r="P646" s="100">
        <v>14</v>
      </c>
    </row>
    <row r="647" spans="13:16" x14ac:dyDescent="0.2">
      <c r="M647" s="103">
        <v>14.25</v>
      </c>
      <c r="N647" s="102">
        <v>2015</v>
      </c>
      <c r="O647" s="101">
        <v>169.24667845196475</v>
      </c>
      <c r="P647" s="100">
        <v>14</v>
      </c>
    </row>
    <row r="648" spans="13:16" x14ac:dyDescent="0.2">
      <c r="M648" s="103">
        <v>7.04</v>
      </c>
      <c r="N648" s="102">
        <v>2015</v>
      </c>
      <c r="O648" s="101">
        <v>51.396884782995066</v>
      </c>
      <c r="P648" s="100">
        <v>14</v>
      </c>
    </row>
    <row r="649" spans="13:16" x14ac:dyDescent="0.2">
      <c r="M649" s="103">
        <v>400</v>
      </c>
      <c r="N649" s="102">
        <v>2016</v>
      </c>
      <c r="O649" s="101">
        <v>43.413439272774539</v>
      </c>
      <c r="P649" s="100">
        <v>15</v>
      </c>
    </row>
    <row r="650" spans="13:16" x14ac:dyDescent="0.2">
      <c r="M650" s="103">
        <v>301.06</v>
      </c>
      <c r="N650" s="102">
        <v>2016</v>
      </c>
      <c r="O650" s="101">
        <v>44.891253875641389</v>
      </c>
      <c r="P650" s="100">
        <v>15</v>
      </c>
    </row>
    <row r="651" spans="13:16" x14ac:dyDescent="0.2">
      <c r="M651" s="103">
        <v>300.3</v>
      </c>
      <c r="N651" s="102">
        <v>2016</v>
      </c>
      <c r="O651" s="101">
        <v>43.662767747371092</v>
      </c>
      <c r="P651" s="100">
        <v>15</v>
      </c>
    </row>
    <row r="652" spans="13:16" x14ac:dyDescent="0.2">
      <c r="M652" s="103">
        <v>257.25</v>
      </c>
      <c r="N652" s="102">
        <v>2016</v>
      </c>
      <c r="O652" s="101">
        <v>52.407684768827679</v>
      </c>
      <c r="P652" s="100">
        <v>15</v>
      </c>
    </row>
    <row r="653" spans="13:16" x14ac:dyDescent="0.2">
      <c r="M653" s="103">
        <v>250.26300000000001</v>
      </c>
      <c r="N653" s="102">
        <v>2016</v>
      </c>
      <c r="O653" s="101">
        <v>42.882455145834356</v>
      </c>
      <c r="P653" s="100">
        <v>15</v>
      </c>
    </row>
    <row r="654" spans="13:16" x14ac:dyDescent="0.2">
      <c r="M654" s="103">
        <v>249</v>
      </c>
      <c r="N654" s="102">
        <v>2016</v>
      </c>
      <c r="O654" s="101">
        <v>42.820777639329151</v>
      </c>
      <c r="P654" s="100">
        <v>15</v>
      </c>
    </row>
    <row r="655" spans="13:16" x14ac:dyDescent="0.2">
      <c r="M655" s="103">
        <v>230.4</v>
      </c>
      <c r="N655" s="102">
        <v>2016</v>
      </c>
      <c r="O655" s="101">
        <v>40.69969123355655</v>
      </c>
      <c r="P655" s="100">
        <v>15</v>
      </c>
    </row>
    <row r="656" spans="13:16" x14ac:dyDescent="0.2">
      <c r="M656" s="103">
        <v>230</v>
      </c>
      <c r="N656" s="102">
        <v>2016</v>
      </c>
      <c r="O656" s="101">
        <v>40.345397724274193</v>
      </c>
      <c r="P656" s="100">
        <v>15</v>
      </c>
    </row>
    <row r="657" spans="13:16" x14ac:dyDescent="0.2">
      <c r="M657" s="103">
        <v>230</v>
      </c>
      <c r="N657" s="102">
        <v>2016</v>
      </c>
      <c r="O657" s="101">
        <v>42.402512568028477</v>
      </c>
      <c r="P657" s="100">
        <v>15</v>
      </c>
    </row>
    <row r="658" spans="13:16" x14ac:dyDescent="0.2">
      <c r="M658" s="103">
        <v>225</v>
      </c>
      <c r="N658" s="102">
        <v>2016</v>
      </c>
      <c r="O658" s="101">
        <v>38.1401029381367</v>
      </c>
      <c r="P658" s="100">
        <v>15</v>
      </c>
    </row>
    <row r="659" spans="13:16" x14ac:dyDescent="0.2">
      <c r="M659" s="103">
        <v>208.26499999999999</v>
      </c>
      <c r="N659" s="102">
        <v>2016</v>
      </c>
      <c r="O659" s="101">
        <v>44.465468183066726</v>
      </c>
      <c r="P659" s="100">
        <v>15</v>
      </c>
    </row>
    <row r="660" spans="13:16" x14ac:dyDescent="0.2">
      <c r="M660" s="103">
        <v>206.55</v>
      </c>
      <c r="N660" s="102">
        <v>2016</v>
      </c>
      <c r="O660" s="101">
        <v>38.088024904644733</v>
      </c>
      <c r="P660" s="100">
        <v>15</v>
      </c>
    </row>
    <row r="661" spans="13:16" x14ac:dyDescent="0.2">
      <c r="M661" s="103">
        <v>200.91</v>
      </c>
      <c r="N661" s="102">
        <v>2016</v>
      </c>
      <c r="O661" s="101">
        <v>45.845439720134237</v>
      </c>
      <c r="P661" s="100">
        <v>15</v>
      </c>
    </row>
    <row r="662" spans="13:16" x14ac:dyDescent="0.2">
      <c r="M662" s="103">
        <v>200.48</v>
      </c>
      <c r="N662" s="102">
        <v>2016</v>
      </c>
      <c r="O662" s="101">
        <v>37.261502614593574</v>
      </c>
      <c r="P662" s="100">
        <v>15</v>
      </c>
    </row>
    <row r="663" spans="13:16" x14ac:dyDescent="0.2">
      <c r="M663" s="103">
        <v>200</v>
      </c>
      <c r="N663" s="102">
        <v>2016</v>
      </c>
      <c r="O663" s="101">
        <v>44.277503423221965</v>
      </c>
      <c r="P663" s="100">
        <v>15</v>
      </c>
    </row>
    <row r="664" spans="13:16" x14ac:dyDescent="0.2">
      <c r="M664" s="103">
        <v>200</v>
      </c>
      <c r="N664" s="102">
        <v>2016</v>
      </c>
      <c r="O664" s="101">
        <v>40.720383963907643</v>
      </c>
      <c r="P664" s="100">
        <v>15</v>
      </c>
    </row>
    <row r="665" spans="13:16" x14ac:dyDescent="0.2">
      <c r="M665" s="103">
        <v>200</v>
      </c>
      <c r="N665" s="102">
        <v>2016</v>
      </c>
      <c r="O665" s="101">
        <v>39.235703373413855</v>
      </c>
      <c r="P665" s="100">
        <v>15</v>
      </c>
    </row>
    <row r="666" spans="13:16" x14ac:dyDescent="0.2">
      <c r="M666" s="103">
        <v>200</v>
      </c>
      <c r="N666" s="102">
        <v>2016</v>
      </c>
      <c r="O666" s="101">
        <v>41.756856325023008</v>
      </c>
      <c r="P666" s="100">
        <v>15</v>
      </c>
    </row>
    <row r="667" spans="13:16" x14ac:dyDescent="0.2">
      <c r="M667" s="103">
        <v>200</v>
      </c>
      <c r="N667" s="102">
        <v>2016</v>
      </c>
      <c r="O667" s="101">
        <v>48.958323488172546</v>
      </c>
      <c r="P667" s="100">
        <v>15</v>
      </c>
    </row>
    <row r="668" spans="13:16" x14ac:dyDescent="0.2">
      <c r="M668" s="103">
        <v>199.8</v>
      </c>
      <c r="N668" s="102">
        <v>2016</v>
      </c>
      <c r="O668" s="101">
        <v>53.923547044512347</v>
      </c>
      <c r="P668" s="100">
        <v>15</v>
      </c>
    </row>
    <row r="669" spans="13:16" x14ac:dyDescent="0.2">
      <c r="M669" s="103">
        <v>198</v>
      </c>
      <c r="N669" s="102">
        <v>2016</v>
      </c>
      <c r="O669" s="101">
        <v>41.128810160343328</v>
      </c>
      <c r="P669" s="100">
        <v>15</v>
      </c>
    </row>
    <row r="670" spans="13:16" x14ac:dyDescent="0.2">
      <c r="M670" s="103">
        <v>184.8</v>
      </c>
      <c r="N670" s="102">
        <v>2016</v>
      </c>
      <c r="O670" s="101">
        <v>88.750249409450547</v>
      </c>
      <c r="P670" s="100">
        <v>15</v>
      </c>
    </row>
    <row r="671" spans="13:16" x14ac:dyDescent="0.2">
      <c r="M671" s="103">
        <v>184</v>
      </c>
      <c r="N671" s="102">
        <v>2016</v>
      </c>
      <c r="O671" s="101">
        <v>49.457766676826076</v>
      </c>
      <c r="P671" s="100">
        <v>15</v>
      </c>
    </row>
    <row r="672" spans="13:16" x14ac:dyDescent="0.2">
      <c r="M672" s="103">
        <v>174</v>
      </c>
      <c r="N672" s="102">
        <v>2016</v>
      </c>
      <c r="O672" s="101">
        <v>45.347635636437793</v>
      </c>
      <c r="P672" s="100">
        <v>15</v>
      </c>
    </row>
    <row r="673" spans="13:16" x14ac:dyDescent="0.2">
      <c r="M673" s="103">
        <v>154.28399999999999</v>
      </c>
      <c r="N673" s="102">
        <v>2016</v>
      </c>
      <c r="O673" s="101">
        <v>50.984024630289944</v>
      </c>
      <c r="P673" s="100">
        <v>15</v>
      </c>
    </row>
    <row r="674" spans="13:16" x14ac:dyDescent="0.2">
      <c r="M674" s="103">
        <v>151.80000000000001</v>
      </c>
      <c r="N674" s="102">
        <v>2016</v>
      </c>
      <c r="O674" s="101">
        <v>44.574466564679874</v>
      </c>
      <c r="P674" s="100">
        <v>15</v>
      </c>
    </row>
    <row r="675" spans="13:16" x14ac:dyDescent="0.2">
      <c r="M675" s="103">
        <v>150</v>
      </c>
      <c r="N675" s="102">
        <v>2016</v>
      </c>
      <c r="O675" s="101">
        <v>57.288863783781451</v>
      </c>
      <c r="P675" s="100">
        <v>15</v>
      </c>
    </row>
    <row r="676" spans="13:16" x14ac:dyDescent="0.2">
      <c r="M676" s="103">
        <v>149.72999999999999</v>
      </c>
      <c r="N676" s="102">
        <v>2016</v>
      </c>
      <c r="O676" s="101">
        <v>39.290139192090344</v>
      </c>
      <c r="P676" s="100">
        <v>15</v>
      </c>
    </row>
    <row r="677" spans="13:16" x14ac:dyDescent="0.2">
      <c r="M677" s="103">
        <v>149.03</v>
      </c>
      <c r="N677" s="102">
        <v>2016</v>
      </c>
      <c r="O677" s="101">
        <v>35.747563120977688</v>
      </c>
      <c r="P677" s="100">
        <v>15</v>
      </c>
    </row>
    <row r="678" spans="13:16" x14ac:dyDescent="0.2">
      <c r="M678" s="103">
        <v>147.19999999999999</v>
      </c>
      <c r="N678" s="102">
        <v>2016</v>
      </c>
      <c r="O678" s="101">
        <v>46.791562237984948</v>
      </c>
      <c r="P678" s="100">
        <v>15</v>
      </c>
    </row>
    <row r="679" spans="13:16" x14ac:dyDescent="0.2">
      <c r="M679" s="103">
        <v>125.58</v>
      </c>
      <c r="N679" s="102">
        <v>2016</v>
      </c>
      <c r="O679" s="101">
        <v>54.340612586439889</v>
      </c>
      <c r="P679" s="100">
        <v>15</v>
      </c>
    </row>
    <row r="680" spans="13:16" x14ac:dyDescent="0.2">
      <c r="M680" s="103">
        <v>119.93</v>
      </c>
      <c r="N680" s="102">
        <v>2016</v>
      </c>
      <c r="O680" s="101">
        <v>43.442309254036736</v>
      </c>
      <c r="P680" s="100">
        <v>15</v>
      </c>
    </row>
    <row r="681" spans="13:16" x14ac:dyDescent="0.2">
      <c r="M681" s="103">
        <v>118</v>
      </c>
      <c r="N681" s="102">
        <v>2016</v>
      </c>
      <c r="O681" s="101">
        <v>52.863766181046529</v>
      </c>
      <c r="P681" s="100">
        <v>15</v>
      </c>
    </row>
    <row r="682" spans="13:16" x14ac:dyDescent="0.2">
      <c r="M682" s="103">
        <v>108</v>
      </c>
      <c r="N682" s="102">
        <v>2016</v>
      </c>
      <c r="O682" s="101">
        <v>43.234363120961433</v>
      </c>
      <c r="P682" s="100">
        <v>15</v>
      </c>
    </row>
    <row r="683" spans="13:16" x14ac:dyDescent="0.2">
      <c r="M683" s="103">
        <v>104</v>
      </c>
      <c r="N683" s="102">
        <v>2016</v>
      </c>
      <c r="O683" s="101">
        <v>35.291982218372475</v>
      </c>
      <c r="P683" s="100">
        <v>15</v>
      </c>
    </row>
    <row r="684" spans="13:16" x14ac:dyDescent="0.2">
      <c r="M684" s="103">
        <v>102.5</v>
      </c>
      <c r="N684" s="102">
        <v>2016</v>
      </c>
      <c r="O684" s="101">
        <v>56.340747672617731</v>
      </c>
      <c r="P684" s="100">
        <v>15</v>
      </c>
    </row>
    <row r="685" spans="13:16" x14ac:dyDescent="0.2">
      <c r="M685" s="103">
        <v>100.8</v>
      </c>
      <c r="N685" s="102">
        <v>2016</v>
      </c>
      <c r="O685" s="101">
        <v>63.020041977749798</v>
      </c>
      <c r="P685" s="100">
        <v>15</v>
      </c>
    </row>
    <row r="686" spans="13:16" x14ac:dyDescent="0.2">
      <c r="M686" s="103">
        <v>100</v>
      </c>
      <c r="N686" s="102">
        <v>2016</v>
      </c>
      <c r="O686" s="101">
        <v>57.288863783781451</v>
      </c>
      <c r="P686" s="100">
        <v>15</v>
      </c>
    </row>
    <row r="687" spans="13:16" x14ac:dyDescent="0.2">
      <c r="M687" s="103">
        <v>93</v>
      </c>
      <c r="N687" s="102">
        <v>2016</v>
      </c>
      <c r="O687" s="101">
        <v>76.805978235316374</v>
      </c>
      <c r="P687" s="100">
        <v>15</v>
      </c>
    </row>
    <row r="688" spans="13:16" x14ac:dyDescent="0.2">
      <c r="M688" s="103">
        <v>80</v>
      </c>
      <c r="N688" s="102">
        <v>2016</v>
      </c>
      <c r="O688" s="101">
        <v>60.707247463318751</v>
      </c>
      <c r="P688" s="100">
        <v>15</v>
      </c>
    </row>
    <row r="689" spans="13:16" x14ac:dyDescent="0.2">
      <c r="M689" s="103">
        <v>78</v>
      </c>
      <c r="N689" s="102">
        <v>2016</v>
      </c>
      <c r="O689" s="101">
        <v>46.444131834220414</v>
      </c>
      <c r="P689" s="100">
        <v>15</v>
      </c>
    </row>
    <row r="690" spans="13:16" x14ac:dyDescent="0.2">
      <c r="M690" s="103">
        <v>77.7</v>
      </c>
      <c r="N690" s="102">
        <v>2016</v>
      </c>
      <c r="O690" s="101">
        <v>73.084828171290951</v>
      </c>
      <c r="P690" s="100">
        <v>15</v>
      </c>
    </row>
    <row r="691" spans="13:16" x14ac:dyDescent="0.2">
      <c r="M691" s="103">
        <v>72</v>
      </c>
      <c r="N691" s="102">
        <v>2016</v>
      </c>
      <c r="O691" s="101">
        <v>43.161720010942375</v>
      </c>
      <c r="P691" s="100">
        <v>15</v>
      </c>
    </row>
    <row r="692" spans="13:16" x14ac:dyDescent="0.2">
      <c r="M692" s="103">
        <v>64.8</v>
      </c>
      <c r="N692" s="102">
        <v>2016</v>
      </c>
      <c r="O692" s="101">
        <v>44.815759424081108</v>
      </c>
      <c r="P692" s="100">
        <v>15</v>
      </c>
    </row>
    <row r="693" spans="13:16" x14ac:dyDescent="0.2">
      <c r="M693" s="103">
        <v>62.1</v>
      </c>
      <c r="N693" s="102">
        <v>2016</v>
      </c>
      <c r="O693" s="101">
        <v>67.573582591653363</v>
      </c>
      <c r="P693" s="100">
        <v>15</v>
      </c>
    </row>
    <row r="694" spans="13:16" x14ac:dyDescent="0.2">
      <c r="M694" s="103">
        <v>60.86</v>
      </c>
      <c r="N694" s="102">
        <v>2016</v>
      </c>
      <c r="O694" s="101">
        <v>53.218032698819073</v>
      </c>
      <c r="P694" s="100">
        <v>15</v>
      </c>
    </row>
    <row r="695" spans="13:16" x14ac:dyDescent="0.2">
      <c r="M695" s="103">
        <v>51</v>
      </c>
      <c r="N695" s="102">
        <v>2016</v>
      </c>
      <c r="O695" s="101">
        <v>86.790921089199813</v>
      </c>
      <c r="P695" s="100">
        <v>15</v>
      </c>
    </row>
    <row r="696" spans="13:16" x14ac:dyDescent="0.2">
      <c r="M696" s="103">
        <v>51</v>
      </c>
      <c r="N696" s="102">
        <v>2016</v>
      </c>
      <c r="O696" s="101">
        <v>94.480438125227906</v>
      </c>
      <c r="P696" s="100">
        <v>15</v>
      </c>
    </row>
    <row r="697" spans="13:16" x14ac:dyDescent="0.2">
      <c r="M697" s="103">
        <v>42.9</v>
      </c>
      <c r="N697" s="102">
        <v>2016</v>
      </c>
      <c r="O697" s="101">
        <v>57.098744860268724</v>
      </c>
      <c r="P697" s="100">
        <v>15</v>
      </c>
    </row>
    <row r="698" spans="13:16" x14ac:dyDescent="0.2">
      <c r="M698" s="103">
        <v>39.9</v>
      </c>
      <c r="N698" s="102">
        <v>2016</v>
      </c>
      <c r="O698" s="101">
        <v>78.18026263055603</v>
      </c>
      <c r="P698" s="100">
        <v>15</v>
      </c>
    </row>
    <row r="699" spans="13:16" x14ac:dyDescent="0.2">
      <c r="M699" s="103">
        <v>35.799999999999997</v>
      </c>
      <c r="N699" s="102">
        <v>2016</v>
      </c>
      <c r="O699" s="101">
        <v>44.544416883649973</v>
      </c>
      <c r="P699" s="100">
        <v>15</v>
      </c>
    </row>
    <row r="700" spans="13:16" x14ac:dyDescent="0.2">
      <c r="M700" s="103">
        <v>31.65</v>
      </c>
      <c r="N700" s="102">
        <v>2016</v>
      </c>
      <c r="O700" s="101">
        <v>45.181765241173579</v>
      </c>
      <c r="P700" s="100">
        <v>15</v>
      </c>
    </row>
    <row r="701" spans="13:16" x14ac:dyDescent="0.2">
      <c r="M701" s="103">
        <v>29.9</v>
      </c>
      <c r="N701" s="102">
        <v>2016</v>
      </c>
      <c r="O701" s="101">
        <v>59.358764941966612</v>
      </c>
      <c r="P701" s="100">
        <v>15</v>
      </c>
    </row>
    <row r="702" spans="13:16" x14ac:dyDescent="0.2">
      <c r="M702" s="103">
        <v>29.4</v>
      </c>
      <c r="N702" s="102">
        <v>2016</v>
      </c>
      <c r="O702" s="101">
        <v>60.226308524768442</v>
      </c>
      <c r="P702" s="100">
        <v>15</v>
      </c>
    </row>
    <row r="703" spans="13:16" x14ac:dyDescent="0.2">
      <c r="M703" s="103">
        <v>13</v>
      </c>
      <c r="N703" s="102">
        <v>2016</v>
      </c>
      <c r="O703" s="101">
        <v>40.359303618654842</v>
      </c>
      <c r="P703" s="100">
        <v>15</v>
      </c>
    </row>
    <row r="704" spans="13:16" x14ac:dyDescent="0.2">
      <c r="M704" s="103">
        <v>9.9</v>
      </c>
      <c r="N704" s="102">
        <v>2016</v>
      </c>
      <c r="O704" s="101">
        <v>71.228693699876473</v>
      </c>
      <c r="P704" s="100">
        <v>15</v>
      </c>
    </row>
    <row r="705" spans="13:16" x14ac:dyDescent="0.2">
      <c r="M705" s="103">
        <v>9</v>
      </c>
      <c r="N705" s="102">
        <v>2016</v>
      </c>
      <c r="O705" s="101">
        <v>82.852084396543702</v>
      </c>
      <c r="P705" s="100">
        <v>15</v>
      </c>
    </row>
    <row r="706" spans="13:16" x14ac:dyDescent="0.2">
      <c r="M706" s="103">
        <v>8</v>
      </c>
      <c r="N706" s="102">
        <v>2016</v>
      </c>
      <c r="O706" s="101">
        <v>163.03162414279794</v>
      </c>
      <c r="P706" s="100">
        <v>15</v>
      </c>
    </row>
    <row r="707" spans="13:16" x14ac:dyDescent="0.2">
      <c r="M707" s="103">
        <v>305.8</v>
      </c>
      <c r="N707" s="102">
        <v>2017</v>
      </c>
      <c r="O707" s="101">
        <v>43.153973894047716</v>
      </c>
      <c r="P707" s="100">
        <v>16</v>
      </c>
    </row>
    <row r="708" spans="13:16" x14ac:dyDescent="0.2">
      <c r="M708" s="103">
        <v>300</v>
      </c>
      <c r="N708" s="102">
        <v>2017</v>
      </c>
      <c r="O708" s="101">
        <v>43.317249128613327</v>
      </c>
      <c r="P708" s="100">
        <v>16</v>
      </c>
    </row>
    <row r="709" spans="13:16" x14ac:dyDescent="0.2">
      <c r="M709" s="103">
        <v>299.25</v>
      </c>
      <c r="N709" s="102">
        <v>2017</v>
      </c>
      <c r="O709" s="101">
        <v>42.453194093012307</v>
      </c>
      <c r="P709" s="100">
        <v>16</v>
      </c>
    </row>
    <row r="710" spans="13:16" x14ac:dyDescent="0.2">
      <c r="M710" s="103">
        <v>298.2</v>
      </c>
      <c r="N710" s="102">
        <v>2017</v>
      </c>
      <c r="O710" s="101">
        <v>46.536711299909463</v>
      </c>
      <c r="P710" s="100">
        <v>16</v>
      </c>
    </row>
    <row r="711" spans="13:16" x14ac:dyDescent="0.2">
      <c r="M711" s="103">
        <v>297.8</v>
      </c>
      <c r="N711" s="102">
        <v>2017</v>
      </c>
      <c r="O711" s="101">
        <v>49.023054686146246</v>
      </c>
      <c r="P711" s="100">
        <v>16</v>
      </c>
    </row>
    <row r="712" spans="13:16" x14ac:dyDescent="0.2">
      <c r="M712" s="103">
        <v>280.60000000000002</v>
      </c>
      <c r="N712" s="102">
        <v>2017</v>
      </c>
      <c r="O712" s="101">
        <v>36.539070996937667</v>
      </c>
      <c r="P712" s="100">
        <v>16</v>
      </c>
    </row>
    <row r="713" spans="13:16" x14ac:dyDescent="0.2">
      <c r="M713" s="103">
        <v>276</v>
      </c>
      <c r="N713" s="102">
        <v>2017</v>
      </c>
      <c r="O713" s="101">
        <v>44.304749162488555</v>
      </c>
      <c r="P713" s="100">
        <v>16</v>
      </c>
    </row>
    <row r="714" spans="13:16" x14ac:dyDescent="0.2">
      <c r="M714" s="103">
        <v>253</v>
      </c>
      <c r="N714" s="102">
        <v>2017</v>
      </c>
      <c r="O714" s="101">
        <v>37.772251864644872</v>
      </c>
      <c r="P714" s="100">
        <v>16</v>
      </c>
    </row>
    <row r="715" spans="13:16" x14ac:dyDescent="0.2">
      <c r="M715" s="103">
        <v>250</v>
      </c>
      <c r="N715" s="102">
        <v>2017</v>
      </c>
      <c r="O715" s="101">
        <v>37.870014884550436</v>
      </c>
      <c r="P715" s="100">
        <v>16</v>
      </c>
    </row>
    <row r="716" spans="13:16" x14ac:dyDescent="0.2">
      <c r="M716" s="103">
        <v>249.07499999999999</v>
      </c>
      <c r="N716" s="102">
        <v>2017</v>
      </c>
      <c r="O716" s="101">
        <v>62.16704976964995</v>
      </c>
      <c r="P716" s="100">
        <v>16</v>
      </c>
    </row>
    <row r="717" spans="13:16" x14ac:dyDescent="0.2">
      <c r="M717" s="103">
        <v>228</v>
      </c>
      <c r="N717" s="102">
        <v>2017</v>
      </c>
      <c r="O717" s="101">
        <v>51.217823357297327</v>
      </c>
      <c r="P717" s="100">
        <v>16</v>
      </c>
    </row>
    <row r="718" spans="13:16" x14ac:dyDescent="0.2">
      <c r="M718" s="103">
        <v>208</v>
      </c>
      <c r="N718" s="102">
        <v>2017</v>
      </c>
      <c r="O718" s="101">
        <v>71.70679176645217</v>
      </c>
      <c r="P718" s="100">
        <v>16</v>
      </c>
    </row>
    <row r="719" spans="13:16" x14ac:dyDescent="0.2">
      <c r="M719" s="103">
        <v>200</v>
      </c>
      <c r="N719" s="102">
        <v>2017</v>
      </c>
      <c r="O719" s="101">
        <v>37.873515605806695</v>
      </c>
      <c r="P719" s="100">
        <v>16</v>
      </c>
    </row>
    <row r="720" spans="13:16" x14ac:dyDescent="0.2">
      <c r="M720" s="103">
        <v>200</v>
      </c>
      <c r="N720" s="102">
        <v>2017</v>
      </c>
      <c r="O720" s="101">
        <v>34.84591473364344</v>
      </c>
      <c r="P720" s="100">
        <v>16</v>
      </c>
    </row>
    <row r="721" spans="13:16" x14ac:dyDescent="0.2">
      <c r="M721" s="103">
        <v>196.65</v>
      </c>
      <c r="N721" s="102">
        <v>2017</v>
      </c>
      <c r="O721" s="101">
        <v>44.439917061460399</v>
      </c>
      <c r="P721" s="100">
        <v>16</v>
      </c>
    </row>
    <row r="722" spans="13:16" x14ac:dyDescent="0.2">
      <c r="M722" s="103">
        <v>178.2</v>
      </c>
      <c r="N722" s="102">
        <v>2017</v>
      </c>
      <c r="O722" s="101">
        <v>39.970928394947684</v>
      </c>
      <c r="P722" s="100">
        <v>16</v>
      </c>
    </row>
    <row r="723" spans="13:16" x14ac:dyDescent="0.2">
      <c r="M723" s="103">
        <v>170</v>
      </c>
      <c r="N723" s="102">
        <v>2017</v>
      </c>
      <c r="O723" s="101">
        <v>38.969096714791611</v>
      </c>
      <c r="P723" s="100">
        <v>16</v>
      </c>
    </row>
    <row r="724" spans="13:16" x14ac:dyDescent="0.2">
      <c r="M724" s="103">
        <v>164</v>
      </c>
      <c r="N724" s="102">
        <v>2017</v>
      </c>
      <c r="O724" s="101">
        <v>40.894365058647708</v>
      </c>
      <c r="P724" s="100">
        <v>16</v>
      </c>
    </row>
    <row r="725" spans="13:16" x14ac:dyDescent="0.2">
      <c r="M725" s="103">
        <v>163.19999999999999</v>
      </c>
      <c r="N725" s="102">
        <v>2017</v>
      </c>
      <c r="O725" s="101">
        <v>44.797095180538477</v>
      </c>
      <c r="P725" s="100">
        <v>16</v>
      </c>
    </row>
    <row r="726" spans="13:16" x14ac:dyDescent="0.2">
      <c r="M726" s="103">
        <v>155.4</v>
      </c>
      <c r="N726" s="102">
        <v>2017</v>
      </c>
      <c r="O726" s="101">
        <v>40.995342450538175</v>
      </c>
      <c r="P726" s="100">
        <v>16</v>
      </c>
    </row>
    <row r="727" spans="13:16" x14ac:dyDescent="0.2">
      <c r="M727" s="103">
        <v>154.57499999999999</v>
      </c>
      <c r="N727" s="102">
        <v>2017</v>
      </c>
      <c r="O727" s="101">
        <v>58.688520751109415</v>
      </c>
      <c r="P727" s="100">
        <v>16</v>
      </c>
    </row>
    <row r="728" spans="13:16" x14ac:dyDescent="0.2">
      <c r="M728" s="103">
        <v>151.19999999999999</v>
      </c>
      <c r="N728" s="102">
        <v>2017</v>
      </c>
      <c r="O728" s="101">
        <v>36.416490700788302</v>
      </c>
      <c r="P728" s="100">
        <v>16</v>
      </c>
    </row>
    <row r="729" spans="13:16" x14ac:dyDescent="0.2">
      <c r="M729" s="103">
        <v>150</v>
      </c>
      <c r="N729" s="102">
        <v>2017</v>
      </c>
      <c r="O729" s="101">
        <v>39.3044302986712</v>
      </c>
      <c r="P729" s="100">
        <v>16</v>
      </c>
    </row>
    <row r="730" spans="13:16" x14ac:dyDescent="0.2">
      <c r="M730" s="103">
        <v>149</v>
      </c>
      <c r="N730" s="102">
        <v>2017</v>
      </c>
      <c r="O730" s="101">
        <v>52.598998685863492</v>
      </c>
      <c r="P730" s="100">
        <v>16</v>
      </c>
    </row>
    <row r="731" spans="13:16" x14ac:dyDescent="0.2">
      <c r="M731" s="103">
        <v>142.6</v>
      </c>
      <c r="N731" s="102">
        <v>2017</v>
      </c>
      <c r="O731" s="101">
        <v>42.842981351618384</v>
      </c>
      <c r="P731" s="100">
        <v>16</v>
      </c>
    </row>
    <row r="732" spans="13:16" x14ac:dyDescent="0.2">
      <c r="M732" s="103">
        <v>119.7</v>
      </c>
      <c r="N732" s="102">
        <v>2017</v>
      </c>
      <c r="O732" s="101">
        <v>44.810720638248071</v>
      </c>
      <c r="P732" s="100">
        <v>16</v>
      </c>
    </row>
    <row r="733" spans="13:16" x14ac:dyDescent="0.2">
      <c r="M733" s="103">
        <v>100.05</v>
      </c>
      <c r="N733" s="102">
        <v>2017</v>
      </c>
      <c r="O733" s="101">
        <v>41.330179388990949</v>
      </c>
      <c r="P733" s="100">
        <v>16</v>
      </c>
    </row>
    <row r="734" spans="13:16" x14ac:dyDescent="0.2">
      <c r="M734" s="103">
        <v>100.05</v>
      </c>
      <c r="N734" s="102">
        <v>2017</v>
      </c>
      <c r="O734" s="101">
        <v>62.000532951926459</v>
      </c>
      <c r="P734" s="100">
        <v>16</v>
      </c>
    </row>
    <row r="735" spans="13:16" x14ac:dyDescent="0.2">
      <c r="M735" s="103">
        <v>100</v>
      </c>
      <c r="N735" s="102">
        <v>2017</v>
      </c>
      <c r="O735" s="101">
        <v>49.416403137094626</v>
      </c>
      <c r="P735" s="100">
        <v>16</v>
      </c>
    </row>
    <row r="736" spans="13:16" x14ac:dyDescent="0.2">
      <c r="M736" s="103">
        <v>99.25</v>
      </c>
      <c r="N736" s="102">
        <v>2017</v>
      </c>
      <c r="O736" s="101">
        <v>35.092696639621735</v>
      </c>
      <c r="P736" s="100">
        <v>16</v>
      </c>
    </row>
    <row r="737" spans="13:16" x14ac:dyDescent="0.2">
      <c r="M737" s="103">
        <v>99.1</v>
      </c>
      <c r="N737" s="102">
        <v>2017</v>
      </c>
      <c r="O737" s="101">
        <v>42.314233208020219</v>
      </c>
      <c r="P737" s="100">
        <v>16</v>
      </c>
    </row>
    <row r="738" spans="13:16" x14ac:dyDescent="0.2">
      <c r="M738" s="103">
        <v>98.9</v>
      </c>
      <c r="N738" s="102">
        <v>2017</v>
      </c>
      <c r="O738" s="101">
        <v>37.056972372935874</v>
      </c>
      <c r="P738" s="100">
        <v>16</v>
      </c>
    </row>
    <row r="739" spans="13:16" x14ac:dyDescent="0.2">
      <c r="M739" s="103">
        <v>98</v>
      </c>
      <c r="N739" s="102">
        <v>2017</v>
      </c>
      <c r="O739" s="101">
        <v>40.985313704516514</v>
      </c>
      <c r="P739" s="100">
        <v>16</v>
      </c>
    </row>
    <row r="740" spans="13:16" x14ac:dyDescent="0.2">
      <c r="M740" s="103">
        <v>89.96</v>
      </c>
      <c r="N740" s="102">
        <v>2017</v>
      </c>
      <c r="O740" s="101">
        <v>31.285733876062107</v>
      </c>
      <c r="P740" s="100">
        <v>16</v>
      </c>
    </row>
    <row r="741" spans="13:16" x14ac:dyDescent="0.2">
      <c r="M741" s="103">
        <v>82.8</v>
      </c>
      <c r="N741" s="102">
        <v>2017</v>
      </c>
      <c r="O741" s="101">
        <v>37.056972372935874</v>
      </c>
      <c r="P741" s="100">
        <v>16</v>
      </c>
    </row>
    <row r="742" spans="13:16" x14ac:dyDescent="0.2">
      <c r="M742" s="103">
        <v>75</v>
      </c>
      <c r="N742" s="102">
        <v>2017</v>
      </c>
      <c r="O742" s="101">
        <v>40.31925540965527</v>
      </c>
      <c r="P742" s="100">
        <v>16</v>
      </c>
    </row>
    <row r="743" spans="13:16" x14ac:dyDescent="0.2">
      <c r="M743" s="103">
        <v>66</v>
      </c>
      <c r="N743" s="102">
        <v>2017</v>
      </c>
      <c r="O743" s="101">
        <v>51.145828439112307</v>
      </c>
      <c r="P743" s="100">
        <v>16</v>
      </c>
    </row>
    <row r="744" spans="13:16" x14ac:dyDescent="0.2">
      <c r="M744" s="103">
        <v>50.4</v>
      </c>
      <c r="N744" s="102">
        <v>2017</v>
      </c>
      <c r="O744" s="101">
        <v>42.043412751836023</v>
      </c>
      <c r="P744" s="100">
        <v>16</v>
      </c>
    </row>
    <row r="745" spans="13:16" x14ac:dyDescent="0.2">
      <c r="M745" s="103">
        <v>46</v>
      </c>
      <c r="N745" s="102">
        <v>2017</v>
      </c>
      <c r="O745" s="101">
        <v>54.164343423568916</v>
      </c>
      <c r="P745" s="100">
        <v>16</v>
      </c>
    </row>
    <row r="746" spans="13:16" x14ac:dyDescent="0.2">
      <c r="M746" s="103">
        <v>30</v>
      </c>
      <c r="N746" s="102">
        <v>2017</v>
      </c>
      <c r="O746" s="101">
        <v>53.201418468456517</v>
      </c>
      <c r="P746" s="100">
        <v>16</v>
      </c>
    </row>
    <row r="747" spans="13:16" x14ac:dyDescent="0.2">
      <c r="M747" s="103">
        <v>22.8</v>
      </c>
      <c r="N747" s="102">
        <v>2017</v>
      </c>
      <c r="O747" s="101">
        <v>73.4838550807724</v>
      </c>
      <c r="P747" s="100">
        <v>16</v>
      </c>
    </row>
    <row r="748" spans="13:16" x14ac:dyDescent="0.2">
      <c r="M748" s="103">
        <v>10</v>
      </c>
      <c r="N748" s="102">
        <v>2017</v>
      </c>
      <c r="O748" s="101">
        <v>71.943048797723719</v>
      </c>
      <c r="P748" s="100">
        <v>16</v>
      </c>
    </row>
    <row r="749" spans="13:16" x14ac:dyDescent="0.2">
      <c r="M749" s="103">
        <v>10</v>
      </c>
      <c r="N749" s="102">
        <v>2017</v>
      </c>
      <c r="O749" s="101">
        <v>78.348930393565652</v>
      </c>
      <c r="P749" s="100">
        <v>16</v>
      </c>
    </row>
    <row r="750" spans="13:16" x14ac:dyDescent="0.2">
      <c r="M750" s="103">
        <v>10</v>
      </c>
      <c r="N750" s="102">
        <v>2017</v>
      </c>
      <c r="O750" s="101">
        <v>84.883877450365603</v>
      </c>
      <c r="P750" s="100">
        <v>16</v>
      </c>
    </row>
    <row r="751" spans="13:16" x14ac:dyDescent="0.2">
      <c r="M751" s="103">
        <v>10</v>
      </c>
      <c r="N751" s="102">
        <v>2017</v>
      </c>
      <c r="O751" s="101">
        <v>81.665093832284313</v>
      </c>
      <c r="P751" s="100">
        <v>16</v>
      </c>
    </row>
    <row r="752" spans="13:16" x14ac:dyDescent="0.2">
      <c r="M752" s="103">
        <v>10</v>
      </c>
      <c r="N752" s="102">
        <v>2017</v>
      </c>
      <c r="O752" s="101">
        <v>79.867189229676214</v>
      </c>
      <c r="P752" s="100">
        <v>16</v>
      </c>
    </row>
    <row r="753" spans="13:16" x14ac:dyDescent="0.2">
      <c r="M753" s="103">
        <v>6.9</v>
      </c>
      <c r="N753" s="102">
        <v>2017</v>
      </c>
      <c r="O753" s="101">
        <v>44.148253999790832</v>
      </c>
      <c r="P753" s="100">
        <v>16</v>
      </c>
    </row>
    <row r="754" spans="13:16" x14ac:dyDescent="0.2">
      <c r="M754" s="103">
        <v>400</v>
      </c>
      <c r="N754" s="102">
        <v>2018</v>
      </c>
      <c r="O754" s="101">
        <v>36.597086180544494</v>
      </c>
      <c r="P754" s="100">
        <v>17</v>
      </c>
    </row>
    <row r="755" spans="13:16" x14ac:dyDescent="0.2">
      <c r="M755" s="103">
        <v>318.14999999999998</v>
      </c>
      <c r="N755" s="102">
        <v>2018</v>
      </c>
      <c r="O755" s="101">
        <v>38.141713620020184</v>
      </c>
      <c r="P755" s="100">
        <v>17</v>
      </c>
    </row>
    <row r="756" spans="13:16" x14ac:dyDescent="0.2">
      <c r="M756" s="103">
        <v>300</v>
      </c>
      <c r="N756" s="102">
        <v>2018</v>
      </c>
      <c r="O756" s="101">
        <v>34.689229364135791</v>
      </c>
      <c r="P756" s="100">
        <v>17</v>
      </c>
    </row>
    <row r="757" spans="13:16" x14ac:dyDescent="0.2">
      <c r="M757" s="103">
        <v>300</v>
      </c>
      <c r="N757" s="102">
        <v>2018</v>
      </c>
      <c r="O757" s="101">
        <v>30.436424164188704</v>
      </c>
      <c r="P757" s="100">
        <v>17</v>
      </c>
    </row>
    <row r="758" spans="13:16" x14ac:dyDescent="0.2">
      <c r="M758" s="103">
        <v>300</v>
      </c>
      <c r="N758" s="102">
        <v>2018</v>
      </c>
      <c r="O758" s="101">
        <v>30.971440846376129</v>
      </c>
      <c r="P758" s="100">
        <v>17</v>
      </c>
    </row>
    <row r="759" spans="13:16" x14ac:dyDescent="0.2">
      <c r="M759" s="103">
        <v>299.25</v>
      </c>
      <c r="N759" s="102">
        <v>2018</v>
      </c>
      <c r="O759" s="101">
        <v>33.428275708384874</v>
      </c>
      <c r="P759" s="100">
        <v>17</v>
      </c>
    </row>
    <row r="760" spans="13:16" x14ac:dyDescent="0.2">
      <c r="M760" s="103">
        <v>250</v>
      </c>
      <c r="N760" s="102">
        <v>2018</v>
      </c>
      <c r="O760" s="101">
        <v>34.62392311782812</v>
      </c>
      <c r="P760" s="100">
        <v>17</v>
      </c>
    </row>
    <row r="761" spans="13:16" x14ac:dyDescent="0.2">
      <c r="M761" s="103">
        <v>247.27500000000001</v>
      </c>
      <c r="N761" s="102">
        <v>2018</v>
      </c>
      <c r="O761" s="101">
        <v>33.428792729184515</v>
      </c>
      <c r="P761" s="100">
        <v>17</v>
      </c>
    </row>
    <row r="762" spans="13:16" x14ac:dyDescent="0.2">
      <c r="M762" s="103">
        <v>243.8</v>
      </c>
      <c r="N762" s="102">
        <v>2018</v>
      </c>
      <c r="O762" s="101">
        <v>28.74941215692704</v>
      </c>
      <c r="P762" s="100">
        <v>17</v>
      </c>
    </row>
    <row r="763" spans="13:16" x14ac:dyDescent="0.2">
      <c r="M763" s="103">
        <v>212</v>
      </c>
      <c r="N763" s="102">
        <v>2018</v>
      </c>
      <c r="O763" s="101">
        <v>36.259944686345627</v>
      </c>
      <c r="P763" s="100">
        <v>17</v>
      </c>
    </row>
    <row r="764" spans="13:16" x14ac:dyDescent="0.2">
      <c r="M764" s="103">
        <v>202.5</v>
      </c>
      <c r="N764" s="102">
        <v>2018</v>
      </c>
      <c r="O764" s="101">
        <v>29.278276082446745</v>
      </c>
      <c r="P764" s="100">
        <v>17</v>
      </c>
    </row>
    <row r="765" spans="13:16" x14ac:dyDescent="0.2">
      <c r="M765" s="103">
        <v>201</v>
      </c>
      <c r="N765" s="102">
        <v>2018</v>
      </c>
      <c r="O765" s="101">
        <v>39.096049362779048</v>
      </c>
      <c r="P765" s="100">
        <v>17</v>
      </c>
    </row>
    <row r="766" spans="13:16" x14ac:dyDescent="0.2">
      <c r="M766" s="103">
        <v>200.4</v>
      </c>
      <c r="N766" s="102">
        <v>2018</v>
      </c>
      <c r="O766" s="101">
        <v>44.075461564688098</v>
      </c>
      <c r="P766" s="100">
        <v>17</v>
      </c>
    </row>
    <row r="767" spans="13:16" x14ac:dyDescent="0.2">
      <c r="M767" s="103">
        <v>200</v>
      </c>
      <c r="N767" s="102">
        <v>2018</v>
      </c>
      <c r="O767" s="101">
        <v>36.597086180544494</v>
      </c>
      <c r="P767" s="100">
        <v>17</v>
      </c>
    </row>
    <row r="768" spans="13:16" x14ac:dyDescent="0.2">
      <c r="M768" s="103">
        <v>200</v>
      </c>
      <c r="N768" s="102">
        <v>2018</v>
      </c>
      <c r="O768" s="101">
        <v>35.295173632040061</v>
      </c>
      <c r="P768" s="100">
        <v>17</v>
      </c>
    </row>
    <row r="769" spans="13:16" x14ac:dyDescent="0.2">
      <c r="M769" s="103">
        <v>200</v>
      </c>
      <c r="N769" s="102">
        <v>2018</v>
      </c>
      <c r="O769" s="101">
        <v>36.642765059048067</v>
      </c>
      <c r="P769" s="100">
        <v>17</v>
      </c>
    </row>
    <row r="770" spans="13:16" x14ac:dyDescent="0.2">
      <c r="M770" s="103">
        <v>199.5</v>
      </c>
      <c r="N770" s="102">
        <v>2018</v>
      </c>
      <c r="O770" s="101">
        <v>29.666788849284313</v>
      </c>
      <c r="P770" s="100">
        <v>17</v>
      </c>
    </row>
    <row r="771" spans="13:16" x14ac:dyDescent="0.2">
      <c r="M771" s="103">
        <v>199.2</v>
      </c>
      <c r="N771" s="102">
        <v>2018</v>
      </c>
      <c r="O771" s="101">
        <v>37.541620452754671</v>
      </c>
      <c r="P771" s="100">
        <v>17</v>
      </c>
    </row>
    <row r="772" spans="13:16" x14ac:dyDescent="0.2">
      <c r="M772" s="103">
        <v>198.6</v>
      </c>
      <c r="N772" s="102">
        <v>2018</v>
      </c>
      <c r="O772" s="101">
        <v>31.75907197085332</v>
      </c>
      <c r="P772" s="100">
        <v>17</v>
      </c>
    </row>
    <row r="773" spans="13:16" x14ac:dyDescent="0.2">
      <c r="M773" s="103">
        <v>193.5</v>
      </c>
      <c r="N773" s="102">
        <v>2018</v>
      </c>
      <c r="O773" s="101">
        <v>44.765786341834925</v>
      </c>
      <c r="P773" s="100">
        <v>17</v>
      </c>
    </row>
    <row r="774" spans="13:16" x14ac:dyDescent="0.2">
      <c r="M774" s="103">
        <v>185</v>
      </c>
      <c r="N774" s="102">
        <v>2018</v>
      </c>
      <c r="O774" s="101">
        <v>49.474174283789665</v>
      </c>
      <c r="P774" s="100">
        <v>17</v>
      </c>
    </row>
    <row r="775" spans="13:16" x14ac:dyDescent="0.2">
      <c r="M775" s="103">
        <v>170</v>
      </c>
      <c r="N775" s="102">
        <v>2018</v>
      </c>
      <c r="O775" s="101">
        <v>33.067295068787587</v>
      </c>
      <c r="P775" s="100">
        <v>17</v>
      </c>
    </row>
    <row r="776" spans="13:16" x14ac:dyDescent="0.2">
      <c r="M776" s="103">
        <v>160</v>
      </c>
      <c r="N776" s="102">
        <v>2018</v>
      </c>
      <c r="O776" s="101">
        <v>39.89633554484859</v>
      </c>
      <c r="P776" s="100">
        <v>17</v>
      </c>
    </row>
    <row r="777" spans="13:16" x14ac:dyDescent="0.2">
      <c r="M777" s="103">
        <v>150.59</v>
      </c>
      <c r="N777" s="102">
        <v>2018</v>
      </c>
      <c r="O777" s="101">
        <v>30.288623884335252</v>
      </c>
      <c r="P777" s="100">
        <v>17</v>
      </c>
    </row>
    <row r="778" spans="13:16" x14ac:dyDescent="0.2">
      <c r="M778" s="103">
        <v>148.35</v>
      </c>
      <c r="N778" s="102">
        <v>2018</v>
      </c>
      <c r="O778" s="101">
        <v>44.013826083492589</v>
      </c>
      <c r="P778" s="100">
        <v>17</v>
      </c>
    </row>
    <row r="779" spans="13:16" x14ac:dyDescent="0.2">
      <c r="M779" s="103">
        <v>148.35</v>
      </c>
      <c r="N779" s="102">
        <v>2018</v>
      </c>
      <c r="O779" s="101">
        <v>33.388955007308695</v>
      </c>
      <c r="P779" s="100">
        <v>17</v>
      </c>
    </row>
    <row r="780" spans="13:16" x14ac:dyDescent="0.2">
      <c r="M780" s="103">
        <v>132.1</v>
      </c>
      <c r="N780" s="102">
        <v>2018</v>
      </c>
      <c r="O780" s="101">
        <v>38.406116556285916</v>
      </c>
      <c r="P780" s="100">
        <v>17</v>
      </c>
    </row>
    <row r="781" spans="13:16" x14ac:dyDescent="0.2">
      <c r="M781" s="103">
        <v>131.1</v>
      </c>
      <c r="N781" s="102">
        <v>2018</v>
      </c>
      <c r="O781" s="101">
        <v>60.263281459634229</v>
      </c>
      <c r="P781" s="100">
        <v>17</v>
      </c>
    </row>
    <row r="782" spans="13:16" x14ac:dyDescent="0.2">
      <c r="M782" s="103">
        <v>129.88</v>
      </c>
      <c r="N782" s="102">
        <v>2018</v>
      </c>
      <c r="O782" s="101">
        <v>29.091587266128801</v>
      </c>
      <c r="P782" s="100">
        <v>17</v>
      </c>
    </row>
    <row r="783" spans="13:16" x14ac:dyDescent="0.2">
      <c r="M783" s="103">
        <v>105</v>
      </c>
      <c r="N783" s="102">
        <v>2018</v>
      </c>
      <c r="O783" s="101">
        <v>56.999871670449352</v>
      </c>
      <c r="P783" s="100">
        <v>17</v>
      </c>
    </row>
    <row r="784" spans="13:16" x14ac:dyDescent="0.2">
      <c r="M784" s="103">
        <v>103.5</v>
      </c>
      <c r="N784" s="102">
        <v>2018</v>
      </c>
      <c r="O784" s="101">
        <v>32.664093132865432</v>
      </c>
      <c r="P784" s="100">
        <v>17</v>
      </c>
    </row>
    <row r="785" spans="13:16" x14ac:dyDescent="0.2">
      <c r="M785" s="103">
        <v>102</v>
      </c>
      <c r="N785" s="102">
        <v>2018</v>
      </c>
      <c r="O785" s="101">
        <v>35.094249100414153</v>
      </c>
      <c r="P785" s="100">
        <v>17</v>
      </c>
    </row>
    <row r="786" spans="13:16" x14ac:dyDescent="0.2">
      <c r="M786" s="103">
        <v>100.05</v>
      </c>
      <c r="N786" s="102">
        <v>2018</v>
      </c>
      <c r="O786" s="101">
        <v>34.517595464838379</v>
      </c>
      <c r="P786" s="100">
        <v>17</v>
      </c>
    </row>
    <row r="787" spans="13:16" x14ac:dyDescent="0.2">
      <c r="M787" s="103">
        <v>99.36</v>
      </c>
      <c r="N787" s="102">
        <v>2018</v>
      </c>
      <c r="O787" s="101">
        <v>30.177356328449168</v>
      </c>
      <c r="P787" s="100">
        <v>17</v>
      </c>
    </row>
    <row r="788" spans="13:16" x14ac:dyDescent="0.2">
      <c r="M788" s="103">
        <v>90.825000000000003</v>
      </c>
      <c r="N788" s="102">
        <v>2018</v>
      </c>
      <c r="O788" s="101">
        <v>35.570881564254762</v>
      </c>
      <c r="P788" s="100">
        <v>17</v>
      </c>
    </row>
    <row r="789" spans="13:16" x14ac:dyDescent="0.2">
      <c r="M789" s="103">
        <v>80.459999999999994</v>
      </c>
      <c r="N789" s="102">
        <v>2018</v>
      </c>
      <c r="O789" s="101">
        <v>29.109143696107211</v>
      </c>
      <c r="P789" s="100">
        <v>17</v>
      </c>
    </row>
    <row r="790" spans="13:16" x14ac:dyDescent="0.2">
      <c r="M790" s="103">
        <v>80</v>
      </c>
      <c r="N790" s="102">
        <v>2018</v>
      </c>
      <c r="O790" s="101">
        <v>56.892577417004674</v>
      </c>
      <c r="P790" s="100">
        <v>17</v>
      </c>
    </row>
    <row r="791" spans="13:16" x14ac:dyDescent="0.2">
      <c r="M791" s="103">
        <v>79.75</v>
      </c>
      <c r="N791" s="102">
        <v>2018</v>
      </c>
      <c r="O791" s="101">
        <v>36.222731170475051</v>
      </c>
      <c r="P791" s="100">
        <v>17</v>
      </c>
    </row>
    <row r="792" spans="13:16" x14ac:dyDescent="0.2">
      <c r="M792" s="103">
        <v>78.400000000000006</v>
      </c>
      <c r="N792" s="102">
        <v>2018</v>
      </c>
      <c r="O792" s="101">
        <v>58.614296113597149</v>
      </c>
      <c r="P792" s="100">
        <v>17</v>
      </c>
    </row>
    <row r="793" spans="13:16" x14ac:dyDescent="0.2">
      <c r="M793" s="103">
        <v>50.9</v>
      </c>
      <c r="N793" s="102">
        <v>2018</v>
      </c>
      <c r="O793" s="101">
        <v>38.871284738071971</v>
      </c>
      <c r="P793" s="100">
        <v>17</v>
      </c>
    </row>
    <row r="794" spans="13:16" x14ac:dyDescent="0.2">
      <c r="M794" s="103">
        <v>48</v>
      </c>
      <c r="N794" s="102">
        <v>2018</v>
      </c>
      <c r="O794" s="101">
        <v>42.980089767732352</v>
      </c>
      <c r="P794" s="100">
        <v>17</v>
      </c>
    </row>
    <row r="795" spans="13:16" x14ac:dyDescent="0.2">
      <c r="M795" s="103">
        <v>44.6</v>
      </c>
      <c r="N795" s="102">
        <v>2018</v>
      </c>
      <c r="O795" s="101">
        <v>41.918260680590876</v>
      </c>
      <c r="P795" s="100">
        <v>17</v>
      </c>
    </row>
    <row r="796" spans="13:16" x14ac:dyDescent="0.2">
      <c r="M796" s="103">
        <v>43.7</v>
      </c>
      <c r="N796" s="102">
        <v>2018</v>
      </c>
      <c r="O796" s="101">
        <v>52.341330073067056</v>
      </c>
      <c r="P796" s="100">
        <v>17</v>
      </c>
    </row>
    <row r="797" spans="13:16" x14ac:dyDescent="0.2">
      <c r="M797" s="103">
        <v>30</v>
      </c>
      <c r="N797" s="102">
        <v>2018</v>
      </c>
      <c r="O797" s="101">
        <v>32.855693518791206</v>
      </c>
      <c r="P797" s="100">
        <v>17</v>
      </c>
    </row>
    <row r="798" spans="13:16" x14ac:dyDescent="0.2">
      <c r="M798" s="103">
        <v>25.06</v>
      </c>
      <c r="N798" s="102">
        <v>2018</v>
      </c>
      <c r="O798" s="101">
        <v>40.873421599780464</v>
      </c>
      <c r="P798" s="100">
        <v>17</v>
      </c>
    </row>
    <row r="799" spans="13:16" x14ac:dyDescent="0.2">
      <c r="M799" s="103">
        <v>20.7</v>
      </c>
      <c r="N799" s="102">
        <v>2018</v>
      </c>
      <c r="O799" s="101">
        <v>33.049142687534768</v>
      </c>
      <c r="P799" s="100">
        <v>17</v>
      </c>
    </row>
    <row r="800" spans="13:16" x14ac:dyDescent="0.2">
      <c r="M800" s="103">
        <v>20.7</v>
      </c>
      <c r="N800" s="102">
        <v>2018</v>
      </c>
      <c r="O800" s="101">
        <v>33.969498689455499</v>
      </c>
      <c r="P800" s="100">
        <v>17</v>
      </c>
    </row>
    <row r="801" spans="13:16" x14ac:dyDescent="0.2">
      <c r="M801" s="103">
        <v>6.9</v>
      </c>
      <c r="N801" s="102">
        <v>2018</v>
      </c>
      <c r="O801" s="101">
        <v>37.948394887600351</v>
      </c>
      <c r="P801" s="100">
        <v>17</v>
      </c>
    </row>
    <row r="802" spans="13:16" x14ac:dyDescent="0.2">
      <c r="M802" s="103">
        <v>478</v>
      </c>
      <c r="N802" s="102">
        <v>2019</v>
      </c>
      <c r="O802" s="101">
        <v>33.11311227625994</v>
      </c>
      <c r="P802" s="100">
        <v>18</v>
      </c>
    </row>
    <row r="803" spans="13:16" x14ac:dyDescent="0.2">
      <c r="M803" s="103">
        <v>449.935</v>
      </c>
      <c r="N803" s="102">
        <v>2019</v>
      </c>
      <c r="O803" s="101">
        <v>52.787241020486448</v>
      </c>
      <c r="P803" s="100">
        <v>18</v>
      </c>
    </row>
    <row r="804" spans="13:16" x14ac:dyDescent="0.2">
      <c r="M804" s="103">
        <v>398.8</v>
      </c>
      <c r="N804" s="102">
        <v>2019</v>
      </c>
      <c r="O804" s="101">
        <v>32.055305266626831</v>
      </c>
      <c r="P804" s="100">
        <v>18</v>
      </c>
    </row>
    <row r="805" spans="13:16" x14ac:dyDescent="0.2">
      <c r="M805" s="103">
        <v>350.28</v>
      </c>
      <c r="N805" s="102">
        <v>2019</v>
      </c>
      <c r="O805" s="101">
        <v>38.799982700236683</v>
      </c>
      <c r="P805" s="100">
        <v>18</v>
      </c>
    </row>
    <row r="806" spans="13:16" x14ac:dyDescent="0.2">
      <c r="M806" s="103">
        <v>307.45999999999998</v>
      </c>
      <c r="N806" s="102">
        <v>2019</v>
      </c>
      <c r="O806" s="101">
        <v>43.333940152137245</v>
      </c>
      <c r="P806" s="100">
        <v>18</v>
      </c>
    </row>
    <row r="807" spans="13:16" x14ac:dyDescent="0.2">
      <c r="M807" s="103">
        <v>300</v>
      </c>
      <c r="N807" s="102">
        <v>2019</v>
      </c>
      <c r="O807" s="101">
        <v>34.68374545275347</v>
      </c>
      <c r="P807" s="100">
        <v>18</v>
      </c>
    </row>
    <row r="808" spans="13:16" x14ac:dyDescent="0.2">
      <c r="M808" s="103">
        <v>299.3</v>
      </c>
      <c r="N808" s="102">
        <v>2019</v>
      </c>
      <c r="O808" s="101">
        <v>37.965184467468575</v>
      </c>
      <c r="P808" s="100">
        <v>18</v>
      </c>
    </row>
    <row r="809" spans="13:16" x14ac:dyDescent="0.2">
      <c r="M809" s="103">
        <v>275.625</v>
      </c>
      <c r="N809" s="102">
        <v>2019</v>
      </c>
      <c r="O809" s="101">
        <v>33.536962359648165</v>
      </c>
      <c r="P809" s="100">
        <v>18</v>
      </c>
    </row>
    <row r="810" spans="13:16" x14ac:dyDescent="0.2">
      <c r="M810" s="103">
        <v>250</v>
      </c>
      <c r="N810" s="102">
        <v>2019</v>
      </c>
      <c r="O810" s="101">
        <v>32.33090044385186</v>
      </c>
      <c r="P810" s="100">
        <v>18</v>
      </c>
    </row>
    <row r="811" spans="13:16" x14ac:dyDescent="0.2">
      <c r="M811" s="103">
        <v>237.6</v>
      </c>
      <c r="N811" s="102">
        <v>2019</v>
      </c>
      <c r="O811" s="101">
        <v>46.781941739547158</v>
      </c>
      <c r="P811" s="100">
        <v>18</v>
      </c>
    </row>
    <row r="812" spans="13:16" x14ac:dyDescent="0.2">
      <c r="M812" s="103">
        <v>226.05</v>
      </c>
      <c r="N812" s="102">
        <v>2019</v>
      </c>
      <c r="O812" s="101">
        <v>46.246876726530942</v>
      </c>
      <c r="P812" s="100">
        <v>18</v>
      </c>
    </row>
    <row r="813" spans="13:16" x14ac:dyDescent="0.2">
      <c r="M813" s="103">
        <v>220.5</v>
      </c>
      <c r="N813" s="102">
        <v>2019</v>
      </c>
      <c r="O813" s="101">
        <v>37.925661996999729</v>
      </c>
      <c r="P813" s="100">
        <v>18</v>
      </c>
    </row>
    <row r="814" spans="13:16" x14ac:dyDescent="0.2">
      <c r="M814" s="103">
        <v>216.44</v>
      </c>
      <c r="N814" s="102">
        <v>2019</v>
      </c>
      <c r="O814" s="101">
        <v>36.632239368802381</v>
      </c>
      <c r="P814" s="100">
        <v>18</v>
      </c>
    </row>
    <row r="815" spans="13:16" x14ac:dyDescent="0.2">
      <c r="M815" s="103">
        <v>212.04</v>
      </c>
      <c r="N815" s="102">
        <v>2019</v>
      </c>
      <c r="O815" s="101">
        <v>29.038487089596988</v>
      </c>
      <c r="P815" s="100">
        <v>18</v>
      </c>
    </row>
    <row r="816" spans="13:16" x14ac:dyDescent="0.2">
      <c r="M816" s="103">
        <v>209.44</v>
      </c>
      <c r="N816" s="102">
        <v>2019</v>
      </c>
      <c r="O816" s="101">
        <v>35.005044393201395</v>
      </c>
      <c r="P816" s="100">
        <v>18</v>
      </c>
    </row>
    <row r="817" spans="13:16" x14ac:dyDescent="0.2">
      <c r="M817" s="103">
        <v>205.2</v>
      </c>
      <c r="N817" s="102">
        <v>2019</v>
      </c>
      <c r="O817" s="101">
        <v>38.238720469814602</v>
      </c>
      <c r="P817" s="100">
        <v>18</v>
      </c>
    </row>
    <row r="818" spans="13:16" x14ac:dyDescent="0.2">
      <c r="M818" s="103">
        <v>202.36</v>
      </c>
      <c r="N818" s="102">
        <v>2019</v>
      </c>
      <c r="O818" s="101">
        <v>27.855643507061885</v>
      </c>
      <c r="P818" s="100">
        <v>18</v>
      </c>
    </row>
    <row r="819" spans="13:16" x14ac:dyDescent="0.2">
      <c r="M819" s="103">
        <v>201.6</v>
      </c>
      <c r="N819" s="102">
        <v>2019</v>
      </c>
      <c r="O819" s="101">
        <v>61.467018702026259</v>
      </c>
      <c r="P819" s="100">
        <v>18</v>
      </c>
    </row>
    <row r="820" spans="13:16" x14ac:dyDescent="0.2">
      <c r="M820" s="103">
        <v>200.85</v>
      </c>
      <c r="N820" s="102">
        <v>2019</v>
      </c>
      <c r="O820" s="101">
        <v>52.577049103349182</v>
      </c>
      <c r="P820" s="100">
        <v>18</v>
      </c>
    </row>
    <row r="821" spans="13:16" x14ac:dyDescent="0.2">
      <c r="M821" s="103">
        <v>200.2</v>
      </c>
      <c r="N821" s="102">
        <v>2019</v>
      </c>
      <c r="O821" s="101">
        <v>30.630007004120145</v>
      </c>
      <c r="P821" s="100">
        <v>18</v>
      </c>
    </row>
    <row r="822" spans="13:16" x14ac:dyDescent="0.2">
      <c r="M822" s="103">
        <v>200.1</v>
      </c>
      <c r="N822" s="102">
        <v>2019</v>
      </c>
      <c r="O822" s="101">
        <v>34.726424541449205</v>
      </c>
      <c r="P822" s="100">
        <v>18</v>
      </c>
    </row>
    <row r="823" spans="13:16" x14ac:dyDescent="0.2">
      <c r="M823" s="103">
        <v>200.1</v>
      </c>
      <c r="N823" s="102">
        <v>2019</v>
      </c>
      <c r="O823" s="101">
        <v>27.936471333742276</v>
      </c>
      <c r="P823" s="100">
        <v>18</v>
      </c>
    </row>
    <row r="824" spans="13:16" x14ac:dyDescent="0.2">
      <c r="M824" s="103">
        <v>199.27500000000001</v>
      </c>
      <c r="N824" s="102">
        <v>2019</v>
      </c>
      <c r="O824" s="101">
        <v>45.841580511421867</v>
      </c>
      <c r="P824" s="100">
        <v>18</v>
      </c>
    </row>
    <row r="825" spans="13:16" x14ac:dyDescent="0.2">
      <c r="M825" s="103">
        <v>194.25</v>
      </c>
      <c r="N825" s="102">
        <v>2019</v>
      </c>
      <c r="O825" s="101">
        <v>43.558503791803666</v>
      </c>
      <c r="P825" s="100">
        <v>18</v>
      </c>
    </row>
    <row r="826" spans="13:16" x14ac:dyDescent="0.2">
      <c r="M826" s="103">
        <v>183.75</v>
      </c>
      <c r="N826" s="102">
        <v>2019</v>
      </c>
      <c r="O826" s="101">
        <v>30.133890817467293</v>
      </c>
      <c r="P826" s="100">
        <v>18</v>
      </c>
    </row>
    <row r="827" spans="13:16" x14ac:dyDescent="0.2">
      <c r="M827" s="103">
        <v>170.3</v>
      </c>
      <c r="N827" s="102">
        <v>2019</v>
      </c>
      <c r="O827" s="101">
        <v>42.534998552882335</v>
      </c>
      <c r="P827" s="100">
        <v>18</v>
      </c>
    </row>
    <row r="828" spans="13:16" x14ac:dyDescent="0.2">
      <c r="M828" s="103">
        <v>162.85499999999999</v>
      </c>
      <c r="N828" s="102">
        <v>2019</v>
      </c>
      <c r="O828" s="101">
        <v>54.34260640966496</v>
      </c>
      <c r="P828" s="100">
        <v>18</v>
      </c>
    </row>
    <row r="829" spans="13:16" x14ac:dyDescent="0.2">
      <c r="M829" s="103">
        <v>161.30000000000001</v>
      </c>
      <c r="N829" s="102">
        <v>2019</v>
      </c>
      <c r="O829" s="101">
        <v>57.922669904756809</v>
      </c>
      <c r="P829" s="100">
        <v>18</v>
      </c>
    </row>
    <row r="830" spans="13:16" x14ac:dyDescent="0.2">
      <c r="M830" s="103">
        <v>160.02000000000001</v>
      </c>
      <c r="N830" s="102">
        <v>2019</v>
      </c>
      <c r="O830" s="101">
        <v>29.233715269338603</v>
      </c>
      <c r="P830" s="100">
        <v>18</v>
      </c>
    </row>
    <row r="831" spans="13:16" x14ac:dyDescent="0.2">
      <c r="M831" s="103">
        <v>158</v>
      </c>
      <c r="N831" s="102">
        <v>2019</v>
      </c>
      <c r="O831" s="101">
        <v>37.46708842530559</v>
      </c>
      <c r="P831" s="100">
        <v>18</v>
      </c>
    </row>
    <row r="832" spans="13:16" x14ac:dyDescent="0.2">
      <c r="M832" s="103">
        <v>150</v>
      </c>
      <c r="N832" s="102">
        <v>2019</v>
      </c>
      <c r="O832" s="101">
        <v>38.7337281633624</v>
      </c>
      <c r="P832" s="100">
        <v>18</v>
      </c>
    </row>
    <row r="833" spans="13:16" x14ac:dyDescent="0.2">
      <c r="M833" s="103">
        <v>144.9</v>
      </c>
      <c r="N833" s="102">
        <v>2019</v>
      </c>
      <c r="O833" s="101">
        <v>53.908092479354387</v>
      </c>
      <c r="P833" s="100">
        <v>18</v>
      </c>
    </row>
    <row r="834" spans="13:16" x14ac:dyDescent="0.2">
      <c r="M834" s="103">
        <v>140</v>
      </c>
      <c r="N834" s="102">
        <v>2019</v>
      </c>
      <c r="O834" s="101">
        <v>37.020919332634399</v>
      </c>
      <c r="P834" s="100">
        <v>18</v>
      </c>
    </row>
    <row r="835" spans="13:16" x14ac:dyDescent="0.2">
      <c r="M835" s="103">
        <v>131.1</v>
      </c>
      <c r="N835" s="102">
        <v>2019</v>
      </c>
      <c r="O835" s="101">
        <v>56.456650657819033</v>
      </c>
      <c r="P835" s="100">
        <v>18</v>
      </c>
    </row>
    <row r="836" spans="13:16" x14ac:dyDescent="0.2">
      <c r="M836" s="103">
        <v>106.7</v>
      </c>
      <c r="N836" s="102">
        <v>2019</v>
      </c>
      <c r="O836" s="101">
        <v>34.634644823024892</v>
      </c>
      <c r="P836" s="100">
        <v>18</v>
      </c>
    </row>
    <row r="837" spans="13:16" x14ac:dyDescent="0.2">
      <c r="M837" s="103">
        <v>100.75</v>
      </c>
      <c r="N837" s="102">
        <v>2019</v>
      </c>
      <c r="O837" s="101">
        <v>36.646556582554339</v>
      </c>
      <c r="P837" s="100">
        <v>18</v>
      </c>
    </row>
    <row r="838" spans="13:16" x14ac:dyDescent="0.2">
      <c r="M838" s="103">
        <v>100.05</v>
      </c>
      <c r="N838" s="102">
        <v>2019</v>
      </c>
      <c r="O838" s="101">
        <v>47.854654739947627</v>
      </c>
      <c r="P838" s="100">
        <v>18</v>
      </c>
    </row>
    <row r="839" spans="13:16" x14ac:dyDescent="0.2">
      <c r="M839" s="103">
        <v>96.7</v>
      </c>
      <c r="N839" s="102">
        <v>2019</v>
      </c>
      <c r="O839" s="101">
        <v>38.681221598281056</v>
      </c>
      <c r="P839" s="100">
        <v>18</v>
      </c>
    </row>
    <row r="840" spans="13:16" x14ac:dyDescent="0.2">
      <c r="M840" s="103">
        <v>90</v>
      </c>
      <c r="N840" s="102">
        <v>2019</v>
      </c>
      <c r="O840" s="101">
        <v>46.433241916045581</v>
      </c>
      <c r="P840" s="100">
        <v>18</v>
      </c>
    </row>
    <row r="841" spans="13:16" x14ac:dyDescent="0.2">
      <c r="M841" s="103">
        <v>75.900000000000006</v>
      </c>
      <c r="N841" s="102">
        <v>2019</v>
      </c>
      <c r="O841" s="101">
        <v>51.154657152366319</v>
      </c>
      <c r="P841" s="100">
        <v>18</v>
      </c>
    </row>
    <row r="842" spans="13:16" x14ac:dyDescent="0.2">
      <c r="M842" s="103">
        <v>66</v>
      </c>
      <c r="N842" s="102">
        <v>2019</v>
      </c>
      <c r="O842" s="101">
        <v>34.92819329405296</v>
      </c>
      <c r="P842" s="100">
        <v>18</v>
      </c>
    </row>
    <row r="843" spans="13:16" x14ac:dyDescent="0.2">
      <c r="M843" s="103">
        <v>59.4</v>
      </c>
      <c r="N843" s="102">
        <v>2019</v>
      </c>
      <c r="O843" s="101">
        <v>39.652882713671993</v>
      </c>
      <c r="P843" s="100">
        <v>18</v>
      </c>
    </row>
    <row r="844" spans="13:16" x14ac:dyDescent="0.2">
      <c r="M844" s="103">
        <v>48.8</v>
      </c>
      <c r="N844" s="102">
        <v>2019</v>
      </c>
      <c r="O844" s="101">
        <v>47.917023743318893</v>
      </c>
      <c r="P844" s="100">
        <v>18</v>
      </c>
    </row>
    <row r="845" spans="13:16" x14ac:dyDescent="0.2">
      <c r="M845" s="103">
        <v>30.24</v>
      </c>
      <c r="N845" s="102">
        <v>2019</v>
      </c>
      <c r="O845" s="101">
        <v>30.541153063662382</v>
      </c>
      <c r="P845" s="100">
        <v>18</v>
      </c>
    </row>
    <row r="846" spans="13:16" x14ac:dyDescent="0.2">
      <c r="M846" s="103">
        <v>28.8</v>
      </c>
      <c r="N846" s="102">
        <v>2019</v>
      </c>
      <c r="O846" s="101">
        <v>67.118876155122919</v>
      </c>
      <c r="P846" s="100">
        <v>18</v>
      </c>
    </row>
    <row r="847" spans="13:16" x14ac:dyDescent="0.2">
      <c r="M847" s="103">
        <v>522.79999999999995</v>
      </c>
      <c r="N847" s="102">
        <v>2020</v>
      </c>
      <c r="O847" s="101">
        <v>34.259789422830188</v>
      </c>
      <c r="P847" s="100">
        <v>19</v>
      </c>
    </row>
    <row r="848" spans="13:16" x14ac:dyDescent="0.2">
      <c r="M848" s="103">
        <v>496.4</v>
      </c>
      <c r="N848" s="102">
        <v>2020</v>
      </c>
      <c r="O848" s="101">
        <v>31.058046029892363</v>
      </c>
      <c r="P848" s="100">
        <v>19</v>
      </c>
    </row>
    <row r="849" spans="13:16" x14ac:dyDescent="0.2">
      <c r="M849" s="103">
        <v>491.6</v>
      </c>
      <c r="N849" s="102">
        <v>2020</v>
      </c>
      <c r="O849" s="101">
        <v>52.396433735131474</v>
      </c>
      <c r="P849" s="100">
        <v>19</v>
      </c>
    </row>
    <row r="850" spans="13:16" x14ac:dyDescent="0.2">
      <c r="M850" s="103">
        <v>418.9</v>
      </c>
      <c r="N850" s="102">
        <v>2020</v>
      </c>
      <c r="O850" s="101">
        <v>38.357243319056479</v>
      </c>
      <c r="P850" s="100">
        <v>19</v>
      </c>
    </row>
    <row r="851" spans="13:16" x14ac:dyDescent="0.2">
      <c r="M851" s="103">
        <v>400</v>
      </c>
      <c r="N851" s="102">
        <v>2020</v>
      </c>
      <c r="O851" s="101">
        <v>58.321839649184305</v>
      </c>
      <c r="P851" s="100">
        <v>19</v>
      </c>
    </row>
    <row r="852" spans="13:16" x14ac:dyDescent="0.2">
      <c r="M852" s="103">
        <v>398.6</v>
      </c>
      <c r="N852" s="102">
        <v>2020</v>
      </c>
      <c r="O852" s="101">
        <v>36.581337706583646</v>
      </c>
      <c r="P852" s="100">
        <v>19</v>
      </c>
    </row>
    <row r="853" spans="13:16" x14ac:dyDescent="0.2">
      <c r="M853" s="103">
        <v>350</v>
      </c>
      <c r="N853" s="102">
        <v>2020</v>
      </c>
      <c r="O853" s="101">
        <v>40.695262774490736</v>
      </c>
      <c r="P853" s="100">
        <v>19</v>
      </c>
    </row>
    <row r="854" spans="13:16" x14ac:dyDescent="0.2">
      <c r="M854" s="103">
        <v>310.64</v>
      </c>
      <c r="N854" s="102">
        <v>2020</v>
      </c>
      <c r="O854" s="101">
        <v>38.637471765426923</v>
      </c>
      <c r="P854" s="100">
        <v>19</v>
      </c>
    </row>
    <row r="855" spans="13:16" x14ac:dyDescent="0.2">
      <c r="M855" s="103">
        <v>300</v>
      </c>
      <c r="N855" s="102">
        <v>2020</v>
      </c>
      <c r="O855" s="101">
        <v>50.751244883162364</v>
      </c>
      <c r="P855" s="100">
        <v>19</v>
      </c>
    </row>
    <row r="856" spans="13:16" x14ac:dyDescent="0.2">
      <c r="M856" s="103">
        <v>300</v>
      </c>
      <c r="N856" s="102">
        <v>2020</v>
      </c>
      <c r="O856" s="101">
        <v>33.575519456575144</v>
      </c>
      <c r="P856" s="100">
        <v>19</v>
      </c>
    </row>
    <row r="857" spans="13:16" x14ac:dyDescent="0.2">
      <c r="M857" s="103">
        <v>299.54000000000002</v>
      </c>
      <c r="N857" s="102">
        <v>2020</v>
      </c>
      <c r="O857" s="101">
        <v>50.382777939924871</v>
      </c>
      <c r="P857" s="100">
        <v>19</v>
      </c>
    </row>
    <row r="858" spans="13:16" x14ac:dyDescent="0.2">
      <c r="M858" s="103">
        <v>299.36</v>
      </c>
      <c r="N858" s="102">
        <v>2020</v>
      </c>
      <c r="O858" s="101">
        <v>35.615970282989139</v>
      </c>
      <c r="P858" s="100">
        <v>19</v>
      </c>
    </row>
    <row r="859" spans="13:16" x14ac:dyDescent="0.2">
      <c r="M859" s="103">
        <v>260.92</v>
      </c>
      <c r="N859" s="102">
        <v>2020</v>
      </c>
      <c r="O859" s="101">
        <v>36.971695854090946</v>
      </c>
      <c r="P859" s="100">
        <v>19</v>
      </c>
    </row>
    <row r="860" spans="13:16" x14ac:dyDescent="0.2">
      <c r="M860" s="103">
        <v>250.9</v>
      </c>
      <c r="N860" s="102">
        <v>2020</v>
      </c>
      <c r="O860" s="101">
        <v>32.182915404708766</v>
      </c>
      <c r="P860" s="100">
        <v>19</v>
      </c>
    </row>
    <row r="861" spans="13:16" x14ac:dyDescent="0.2">
      <c r="M861" s="103">
        <v>250.9</v>
      </c>
      <c r="N861" s="102">
        <v>2020</v>
      </c>
      <c r="O861" s="101">
        <v>38.33489868309767</v>
      </c>
      <c r="P861" s="100">
        <v>19</v>
      </c>
    </row>
    <row r="862" spans="13:16" x14ac:dyDescent="0.2">
      <c r="M862" s="103">
        <v>250.4</v>
      </c>
      <c r="N862" s="102">
        <v>2020</v>
      </c>
      <c r="O862" s="101">
        <v>29.171011516109569</v>
      </c>
      <c r="P862" s="100">
        <v>19</v>
      </c>
    </row>
    <row r="863" spans="13:16" x14ac:dyDescent="0.2">
      <c r="M863" s="103">
        <v>250.24</v>
      </c>
      <c r="N863" s="102">
        <v>2020</v>
      </c>
      <c r="O863" s="101">
        <v>30.152869698899394</v>
      </c>
      <c r="P863" s="100">
        <v>19</v>
      </c>
    </row>
    <row r="864" spans="13:16" x14ac:dyDescent="0.2">
      <c r="M864" s="103">
        <v>250</v>
      </c>
      <c r="N864" s="102">
        <v>2020</v>
      </c>
      <c r="O864" s="101">
        <v>39.884370032866912</v>
      </c>
      <c r="P864" s="100">
        <v>19</v>
      </c>
    </row>
    <row r="865" spans="13:16" x14ac:dyDescent="0.2">
      <c r="M865" s="103">
        <v>248.2</v>
      </c>
      <c r="N865" s="102">
        <v>2020</v>
      </c>
      <c r="O865" s="101">
        <v>41.487115500593795</v>
      </c>
      <c r="P865" s="100">
        <v>19</v>
      </c>
    </row>
    <row r="866" spans="13:16" x14ac:dyDescent="0.2">
      <c r="M866" s="103">
        <v>247.39500000000001</v>
      </c>
      <c r="N866" s="102">
        <v>2020</v>
      </c>
      <c r="O866" s="101">
        <v>52.187267147024365</v>
      </c>
      <c r="P866" s="100">
        <v>19</v>
      </c>
    </row>
    <row r="867" spans="13:16" x14ac:dyDescent="0.2">
      <c r="M867" s="103">
        <v>242.8</v>
      </c>
      <c r="N867" s="102">
        <v>2020</v>
      </c>
      <c r="O867" s="101">
        <v>35.048574838080405</v>
      </c>
      <c r="P867" s="100">
        <v>19</v>
      </c>
    </row>
    <row r="868" spans="13:16" x14ac:dyDescent="0.2">
      <c r="M868" s="103">
        <v>242</v>
      </c>
      <c r="N868" s="102">
        <v>2020</v>
      </c>
      <c r="O868" s="101">
        <v>50.292961356037885</v>
      </c>
      <c r="P868" s="100">
        <v>19</v>
      </c>
    </row>
    <row r="869" spans="13:16" x14ac:dyDescent="0.2">
      <c r="M869" s="103">
        <v>236.5</v>
      </c>
      <c r="N869" s="102">
        <v>2020</v>
      </c>
      <c r="O869" s="101">
        <v>36.026253982640654</v>
      </c>
      <c r="P869" s="100">
        <v>19</v>
      </c>
    </row>
    <row r="870" spans="13:16" x14ac:dyDescent="0.2">
      <c r="M870" s="103">
        <v>230</v>
      </c>
      <c r="N870" s="102">
        <v>2020</v>
      </c>
      <c r="O870" s="101">
        <v>27.845937010301533</v>
      </c>
      <c r="P870" s="100">
        <v>19</v>
      </c>
    </row>
    <row r="871" spans="13:16" x14ac:dyDescent="0.2">
      <c r="M871" s="103">
        <v>226.56</v>
      </c>
      <c r="N871" s="102">
        <v>2020</v>
      </c>
      <c r="O871" s="101">
        <v>28.692697482036735</v>
      </c>
      <c r="P871" s="100">
        <v>19</v>
      </c>
    </row>
    <row r="872" spans="13:16" x14ac:dyDescent="0.2">
      <c r="M872" s="103">
        <v>220</v>
      </c>
      <c r="N872" s="102">
        <v>2020</v>
      </c>
      <c r="O872" s="101">
        <v>40.843825895651214</v>
      </c>
      <c r="P872" s="100">
        <v>19</v>
      </c>
    </row>
    <row r="873" spans="13:16" x14ac:dyDescent="0.2">
      <c r="M873" s="103">
        <v>216.6</v>
      </c>
      <c r="N873" s="102">
        <v>2020</v>
      </c>
      <c r="O873" s="101">
        <v>33.13746704395983</v>
      </c>
      <c r="P873" s="100">
        <v>19</v>
      </c>
    </row>
    <row r="874" spans="13:16" x14ac:dyDescent="0.2">
      <c r="M874" s="103">
        <v>202.22</v>
      </c>
      <c r="N874" s="102">
        <v>2020</v>
      </c>
      <c r="O874" s="101">
        <v>40.717478909752472</v>
      </c>
      <c r="P874" s="100">
        <v>19</v>
      </c>
    </row>
    <row r="875" spans="13:16" x14ac:dyDescent="0.2">
      <c r="M875" s="103">
        <v>202</v>
      </c>
      <c r="N875" s="102">
        <v>2020</v>
      </c>
      <c r="O875" s="101">
        <v>44.700105563952086</v>
      </c>
      <c r="P875" s="100">
        <v>19</v>
      </c>
    </row>
    <row r="876" spans="13:16" x14ac:dyDescent="0.2">
      <c r="M876" s="103">
        <v>202</v>
      </c>
      <c r="N876" s="102">
        <v>2020</v>
      </c>
      <c r="O876" s="101">
        <v>36.013229211136277</v>
      </c>
      <c r="P876" s="100">
        <v>19</v>
      </c>
    </row>
    <row r="877" spans="13:16" x14ac:dyDescent="0.2">
      <c r="M877" s="103">
        <v>201.6</v>
      </c>
      <c r="N877" s="102">
        <v>2020</v>
      </c>
      <c r="O877" s="101">
        <v>40.694232601941643</v>
      </c>
      <c r="P877" s="100">
        <v>19</v>
      </c>
    </row>
    <row r="878" spans="13:16" x14ac:dyDescent="0.2">
      <c r="M878" s="103">
        <v>201.26</v>
      </c>
      <c r="N878" s="102">
        <v>2020</v>
      </c>
      <c r="O878" s="101">
        <v>32.522908484821649</v>
      </c>
      <c r="P878" s="100">
        <v>19</v>
      </c>
    </row>
    <row r="879" spans="13:16" x14ac:dyDescent="0.2">
      <c r="M879" s="103">
        <v>200.6</v>
      </c>
      <c r="N879" s="102">
        <v>2020</v>
      </c>
      <c r="O879" s="101">
        <v>31.804265443367985</v>
      </c>
      <c r="P879" s="100">
        <v>19</v>
      </c>
    </row>
    <row r="880" spans="13:16" x14ac:dyDescent="0.2">
      <c r="M880" s="103">
        <v>200.1</v>
      </c>
      <c r="N880" s="102">
        <v>2020</v>
      </c>
      <c r="O880" s="101">
        <v>33.492916503104567</v>
      </c>
      <c r="P880" s="100">
        <v>19</v>
      </c>
    </row>
    <row r="881" spans="13:16" x14ac:dyDescent="0.2">
      <c r="M881" s="103">
        <v>200</v>
      </c>
      <c r="N881" s="102">
        <v>2020</v>
      </c>
      <c r="O881" s="101">
        <v>32.458547270331451</v>
      </c>
      <c r="P881" s="100">
        <v>19</v>
      </c>
    </row>
    <row r="882" spans="13:16" x14ac:dyDescent="0.2">
      <c r="M882" s="103">
        <v>200</v>
      </c>
      <c r="N882" s="102">
        <v>2020</v>
      </c>
      <c r="O882" s="101">
        <v>34.367642291723698</v>
      </c>
      <c r="P882" s="100">
        <v>19</v>
      </c>
    </row>
    <row r="883" spans="13:16" x14ac:dyDescent="0.2">
      <c r="M883" s="103">
        <v>200</v>
      </c>
      <c r="N883" s="102">
        <v>2020</v>
      </c>
      <c r="O883" s="101">
        <v>26.684696616418336</v>
      </c>
      <c r="P883" s="100">
        <v>19</v>
      </c>
    </row>
    <row r="884" spans="13:16" x14ac:dyDescent="0.2">
      <c r="M884" s="103">
        <v>199.82</v>
      </c>
      <c r="N884" s="102">
        <v>2020</v>
      </c>
      <c r="O884" s="101">
        <v>32.35868984660771</v>
      </c>
      <c r="P884" s="100">
        <v>19</v>
      </c>
    </row>
    <row r="885" spans="13:16" x14ac:dyDescent="0.2">
      <c r="M885" s="103">
        <v>199.4</v>
      </c>
      <c r="N885" s="102">
        <v>2020</v>
      </c>
      <c r="O885" s="101">
        <v>30.419639983475339</v>
      </c>
      <c r="P885" s="100">
        <v>19</v>
      </c>
    </row>
    <row r="886" spans="13:16" x14ac:dyDescent="0.2">
      <c r="M886" s="103">
        <v>198.84</v>
      </c>
      <c r="N886" s="102">
        <v>2020</v>
      </c>
      <c r="O886" s="101">
        <v>30.876980912462326</v>
      </c>
      <c r="P886" s="100">
        <v>19</v>
      </c>
    </row>
    <row r="887" spans="13:16" x14ac:dyDescent="0.2">
      <c r="M887" s="103">
        <v>195.84</v>
      </c>
      <c r="N887" s="102">
        <v>2020</v>
      </c>
      <c r="O887" s="101">
        <v>27.013677382681486</v>
      </c>
      <c r="P887" s="100">
        <v>19</v>
      </c>
    </row>
    <row r="888" spans="13:16" x14ac:dyDescent="0.2">
      <c r="M888" s="103">
        <v>193.24</v>
      </c>
      <c r="N888" s="102">
        <v>2020</v>
      </c>
      <c r="O888" s="101">
        <v>29.451837964637988</v>
      </c>
      <c r="P888" s="100">
        <v>19</v>
      </c>
    </row>
    <row r="889" spans="13:16" x14ac:dyDescent="0.2">
      <c r="M889" s="103">
        <v>179.88</v>
      </c>
      <c r="N889" s="102">
        <v>2020</v>
      </c>
      <c r="O889" s="101">
        <v>34.085134391497498</v>
      </c>
      <c r="P889" s="100">
        <v>19</v>
      </c>
    </row>
    <row r="890" spans="13:16" x14ac:dyDescent="0.2">
      <c r="M890" s="103">
        <v>171.7</v>
      </c>
      <c r="N890" s="102">
        <v>2020</v>
      </c>
      <c r="O890" s="101">
        <v>31.608965262448997</v>
      </c>
      <c r="P890" s="100">
        <v>19</v>
      </c>
    </row>
    <row r="891" spans="13:16" x14ac:dyDescent="0.2">
      <c r="M891" s="103">
        <v>168.8</v>
      </c>
      <c r="N891" s="102">
        <v>2020</v>
      </c>
      <c r="O891" s="101">
        <v>29.009687393985548</v>
      </c>
      <c r="P891" s="100">
        <v>19</v>
      </c>
    </row>
    <row r="892" spans="13:16" x14ac:dyDescent="0.2">
      <c r="M892" s="103">
        <v>168.6</v>
      </c>
      <c r="N892" s="102">
        <v>2020</v>
      </c>
      <c r="O892" s="101">
        <v>45.967483064387288</v>
      </c>
      <c r="P892" s="100">
        <v>19</v>
      </c>
    </row>
    <row r="893" spans="13:16" x14ac:dyDescent="0.2">
      <c r="M893" s="103">
        <v>162.25</v>
      </c>
      <c r="N893" s="102">
        <v>2020</v>
      </c>
      <c r="O893" s="101">
        <v>35.871706114521153</v>
      </c>
      <c r="P893" s="100">
        <v>19</v>
      </c>
    </row>
    <row r="894" spans="13:16" x14ac:dyDescent="0.2">
      <c r="M894" s="103">
        <v>162.15</v>
      </c>
      <c r="N894" s="102">
        <v>2020</v>
      </c>
      <c r="O894" s="101">
        <v>34.181101075119592</v>
      </c>
      <c r="P894" s="100">
        <v>19</v>
      </c>
    </row>
    <row r="895" spans="13:16" x14ac:dyDescent="0.2">
      <c r="M895" s="103">
        <v>160.74</v>
      </c>
      <c r="N895" s="102">
        <v>2020</v>
      </c>
      <c r="O895" s="101">
        <v>29.655792217018668</v>
      </c>
      <c r="P895" s="100">
        <v>19</v>
      </c>
    </row>
    <row r="896" spans="13:16" x14ac:dyDescent="0.2">
      <c r="M896" s="103">
        <v>152.19999999999999</v>
      </c>
      <c r="N896" s="102">
        <v>2020</v>
      </c>
      <c r="O896" s="101">
        <v>32.161871799977995</v>
      </c>
      <c r="P896" s="100">
        <v>19</v>
      </c>
    </row>
    <row r="897" spans="13:16" x14ac:dyDescent="0.2">
      <c r="M897" s="103">
        <v>151.19999999999999</v>
      </c>
      <c r="N897" s="102">
        <v>2020</v>
      </c>
      <c r="O897" s="101">
        <v>43.544741881677645</v>
      </c>
      <c r="P897" s="100">
        <v>19</v>
      </c>
    </row>
    <row r="898" spans="13:16" x14ac:dyDescent="0.2">
      <c r="M898" s="103">
        <v>150</v>
      </c>
      <c r="N898" s="102">
        <v>2020</v>
      </c>
      <c r="O898" s="101">
        <v>33.120489332505052</v>
      </c>
      <c r="P898" s="100">
        <v>19</v>
      </c>
    </row>
    <row r="899" spans="13:16" x14ac:dyDescent="0.2">
      <c r="M899" s="103">
        <v>150</v>
      </c>
      <c r="N899" s="102">
        <v>2020</v>
      </c>
      <c r="O899" s="101">
        <v>37.942393611924295</v>
      </c>
      <c r="P899" s="100">
        <v>19</v>
      </c>
    </row>
    <row r="900" spans="13:16" x14ac:dyDescent="0.2">
      <c r="M900" s="103">
        <v>150</v>
      </c>
      <c r="N900" s="102">
        <v>2020</v>
      </c>
      <c r="O900" s="101">
        <v>41.646988970907486</v>
      </c>
      <c r="P900" s="100">
        <v>19</v>
      </c>
    </row>
    <row r="901" spans="13:16" x14ac:dyDescent="0.2">
      <c r="M901" s="103">
        <v>150</v>
      </c>
      <c r="N901" s="102">
        <v>2020</v>
      </c>
      <c r="O901" s="101">
        <v>37.730363504429441</v>
      </c>
      <c r="P901" s="100">
        <v>19</v>
      </c>
    </row>
    <row r="902" spans="13:16" x14ac:dyDescent="0.2">
      <c r="M902" s="103">
        <v>149.9</v>
      </c>
      <c r="N902" s="102">
        <v>2020</v>
      </c>
      <c r="O902" s="101">
        <v>51.875798069967402</v>
      </c>
      <c r="P902" s="100">
        <v>19</v>
      </c>
    </row>
    <row r="903" spans="13:16" x14ac:dyDescent="0.2">
      <c r="M903" s="103">
        <v>149.66</v>
      </c>
      <c r="N903" s="102">
        <v>2020</v>
      </c>
      <c r="O903" s="101">
        <v>53.001330941971133</v>
      </c>
      <c r="P903" s="100">
        <v>19</v>
      </c>
    </row>
    <row r="904" spans="13:16" x14ac:dyDescent="0.2">
      <c r="M904" s="103">
        <v>149.4</v>
      </c>
      <c r="N904" s="102">
        <v>2020</v>
      </c>
      <c r="O904" s="101">
        <v>43.363255280707527</v>
      </c>
      <c r="P904" s="100">
        <v>19</v>
      </c>
    </row>
    <row r="905" spans="13:16" x14ac:dyDescent="0.2">
      <c r="M905" s="103">
        <v>148.4</v>
      </c>
      <c r="N905" s="102">
        <v>2020</v>
      </c>
      <c r="O905" s="101">
        <v>30.450579350697517</v>
      </c>
      <c r="P905" s="100">
        <v>19</v>
      </c>
    </row>
    <row r="906" spans="13:16" x14ac:dyDescent="0.2">
      <c r="M906" s="103">
        <v>146.63999999999999</v>
      </c>
      <c r="N906" s="102">
        <v>2020</v>
      </c>
      <c r="O906" s="101">
        <v>46.264097620082467</v>
      </c>
      <c r="P906" s="100">
        <v>19</v>
      </c>
    </row>
    <row r="907" spans="13:16" x14ac:dyDescent="0.2">
      <c r="M907" s="103">
        <v>144.9</v>
      </c>
      <c r="N907" s="102">
        <v>2020</v>
      </c>
      <c r="O907" s="101">
        <v>50.25978796361494</v>
      </c>
      <c r="P907" s="100">
        <v>19</v>
      </c>
    </row>
    <row r="908" spans="13:16" x14ac:dyDescent="0.2">
      <c r="M908" s="103">
        <v>136.80000000000001</v>
      </c>
      <c r="N908" s="102">
        <v>2020</v>
      </c>
      <c r="O908" s="101">
        <v>66.555509230735183</v>
      </c>
      <c r="P908" s="100">
        <v>19</v>
      </c>
    </row>
    <row r="909" spans="13:16" x14ac:dyDescent="0.2">
      <c r="M909" s="103">
        <v>133.28</v>
      </c>
      <c r="N909" s="102">
        <v>2020</v>
      </c>
      <c r="O909" s="101">
        <v>26.468496554166606</v>
      </c>
      <c r="P909" s="100">
        <v>19</v>
      </c>
    </row>
    <row r="910" spans="13:16" x14ac:dyDescent="0.2">
      <c r="M910" s="103">
        <v>131.30000000000001</v>
      </c>
      <c r="N910" s="102">
        <v>2020</v>
      </c>
      <c r="O910" s="101">
        <v>37.509665268281786</v>
      </c>
      <c r="P910" s="100">
        <v>19</v>
      </c>
    </row>
    <row r="911" spans="13:16" x14ac:dyDescent="0.2">
      <c r="M911" s="103">
        <v>130.91999999999999</v>
      </c>
      <c r="N911" s="102">
        <v>2020</v>
      </c>
      <c r="O911" s="101">
        <v>36.918675482349542</v>
      </c>
      <c r="P911" s="100">
        <v>19</v>
      </c>
    </row>
    <row r="912" spans="13:16" x14ac:dyDescent="0.2">
      <c r="M912" s="103">
        <v>130</v>
      </c>
      <c r="N912" s="102">
        <v>2020</v>
      </c>
      <c r="O912" s="101">
        <v>54.963603914543647</v>
      </c>
      <c r="P912" s="100">
        <v>19</v>
      </c>
    </row>
    <row r="913" spans="13:16" x14ac:dyDescent="0.2">
      <c r="M913" s="103">
        <v>126</v>
      </c>
      <c r="N913" s="102">
        <v>2020</v>
      </c>
      <c r="O913" s="101">
        <v>34.818116528761969</v>
      </c>
      <c r="P913" s="100">
        <v>19</v>
      </c>
    </row>
    <row r="914" spans="13:16" x14ac:dyDescent="0.2">
      <c r="M914" s="103">
        <v>122.8</v>
      </c>
      <c r="N914" s="102">
        <v>2020</v>
      </c>
      <c r="O914" s="101">
        <v>37.509665268281779</v>
      </c>
      <c r="P914" s="100">
        <v>19</v>
      </c>
    </row>
    <row r="915" spans="13:16" x14ac:dyDescent="0.2">
      <c r="M915" s="103">
        <v>112.42</v>
      </c>
      <c r="N915" s="102">
        <v>2020</v>
      </c>
      <c r="O915" s="101">
        <v>48.837869191098946</v>
      </c>
      <c r="P915" s="100">
        <v>19</v>
      </c>
    </row>
    <row r="916" spans="13:16" x14ac:dyDescent="0.2">
      <c r="M916" s="103">
        <v>106.4</v>
      </c>
      <c r="N916" s="102">
        <v>2020</v>
      </c>
      <c r="O916" s="101">
        <v>32.322090707891633</v>
      </c>
      <c r="P916" s="100">
        <v>19</v>
      </c>
    </row>
    <row r="917" spans="13:16" x14ac:dyDescent="0.2">
      <c r="M917" s="103">
        <v>102</v>
      </c>
      <c r="N917" s="102">
        <v>2020</v>
      </c>
      <c r="O917" s="101">
        <v>45.375683789899384</v>
      </c>
      <c r="P917" s="100">
        <v>19</v>
      </c>
    </row>
    <row r="918" spans="13:16" x14ac:dyDescent="0.2">
      <c r="M918" s="103">
        <v>100</v>
      </c>
      <c r="N918" s="102">
        <v>2020</v>
      </c>
      <c r="O918" s="101">
        <v>50.382777939924871</v>
      </c>
      <c r="P918" s="100">
        <v>19</v>
      </c>
    </row>
    <row r="919" spans="13:16" x14ac:dyDescent="0.2">
      <c r="M919" s="103">
        <v>90</v>
      </c>
      <c r="N919" s="102">
        <v>2020</v>
      </c>
      <c r="O919" s="101">
        <v>26.30760853305441</v>
      </c>
      <c r="P919" s="100">
        <v>19</v>
      </c>
    </row>
    <row r="920" spans="13:16" x14ac:dyDescent="0.2">
      <c r="M920" s="103">
        <v>83.7</v>
      </c>
      <c r="N920" s="102">
        <v>2020</v>
      </c>
      <c r="O920" s="101">
        <v>29.009687393985548</v>
      </c>
      <c r="P920" s="100">
        <v>19</v>
      </c>
    </row>
    <row r="921" spans="13:16" x14ac:dyDescent="0.2">
      <c r="M921" s="103">
        <v>79.900000000000006</v>
      </c>
      <c r="N921" s="102">
        <v>2020</v>
      </c>
      <c r="O921" s="101">
        <v>36.309593836848435</v>
      </c>
      <c r="P921" s="100">
        <v>19</v>
      </c>
    </row>
    <row r="922" spans="13:16" x14ac:dyDescent="0.2">
      <c r="M922" s="103">
        <v>79</v>
      </c>
      <c r="N922" s="102">
        <v>2020</v>
      </c>
      <c r="O922" s="101">
        <v>38.218386305991643</v>
      </c>
      <c r="P922" s="100">
        <v>19</v>
      </c>
    </row>
    <row r="923" spans="13:16" x14ac:dyDescent="0.2">
      <c r="M923" s="103">
        <v>72.599999999999994</v>
      </c>
      <c r="N923" s="102">
        <v>2020</v>
      </c>
      <c r="O923" s="101">
        <v>60.552242584833266</v>
      </c>
      <c r="P923" s="100">
        <v>19</v>
      </c>
    </row>
    <row r="924" spans="13:16" x14ac:dyDescent="0.2">
      <c r="M924" s="103">
        <v>72.45</v>
      </c>
      <c r="N924" s="102">
        <v>2020</v>
      </c>
      <c r="O924" s="101">
        <v>53.181831130013457</v>
      </c>
      <c r="P924" s="100">
        <v>19</v>
      </c>
    </row>
    <row r="925" spans="13:16" x14ac:dyDescent="0.2">
      <c r="M925" s="103">
        <v>60.4</v>
      </c>
      <c r="N925" s="102">
        <v>2020</v>
      </c>
      <c r="O925" s="101">
        <v>37.224451426599963</v>
      </c>
      <c r="P925" s="100">
        <v>19</v>
      </c>
    </row>
    <row r="926" spans="13:16" x14ac:dyDescent="0.2">
      <c r="M926" s="103">
        <v>59.22</v>
      </c>
      <c r="N926" s="102">
        <v>2020</v>
      </c>
      <c r="O926" s="101">
        <v>32.696291232634266</v>
      </c>
      <c r="P926" s="100">
        <v>19</v>
      </c>
    </row>
    <row r="927" spans="13:16" x14ac:dyDescent="0.2">
      <c r="M927" s="103">
        <v>56.2</v>
      </c>
      <c r="N927" s="102">
        <v>2020</v>
      </c>
      <c r="O927" s="101">
        <v>57.783270032539029</v>
      </c>
      <c r="P927" s="100">
        <v>19</v>
      </c>
    </row>
    <row r="928" spans="13:16" x14ac:dyDescent="0.2">
      <c r="M928" s="103">
        <v>50.6</v>
      </c>
      <c r="N928" s="102">
        <v>2020</v>
      </c>
      <c r="O928" s="101">
        <v>52.838746042175892</v>
      </c>
      <c r="P928" s="100">
        <v>19</v>
      </c>
    </row>
    <row r="929" spans="13:16" x14ac:dyDescent="0.2">
      <c r="M929" s="103">
        <v>50.4</v>
      </c>
      <c r="N929" s="102">
        <v>2020</v>
      </c>
      <c r="O929" s="101">
        <v>51.562073897322762</v>
      </c>
      <c r="P929" s="100">
        <v>19</v>
      </c>
    </row>
    <row r="930" spans="13:16" x14ac:dyDescent="0.2">
      <c r="M930" s="103">
        <v>36.799999999999997</v>
      </c>
      <c r="N930" s="102">
        <v>2020</v>
      </c>
      <c r="O930" s="101">
        <v>24.643633878732441</v>
      </c>
      <c r="P930" s="100">
        <v>19</v>
      </c>
    </row>
    <row r="931" spans="13:16" x14ac:dyDescent="0.2">
      <c r="M931" s="103">
        <v>10</v>
      </c>
      <c r="N931" s="102">
        <v>2020</v>
      </c>
      <c r="O931" s="101">
        <v>103.50169816743202</v>
      </c>
      <c r="P931" s="100">
        <v>19</v>
      </c>
    </row>
    <row r="932" spans="13:16" x14ac:dyDescent="0.2">
      <c r="M932" s="103">
        <v>10</v>
      </c>
      <c r="N932" s="102">
        <v>2020</v>
      </c>
      <c r="O932" s="101">
        <v>110.92913354809734</v>
      </c>
      <c r="P932" s="100">
        <v>19</v>
      </c>
    </row>
    <row r="933" spans="13:16" x14ac:dyDescent="0.2">
      <c r="M933" s="103">
        <v>10</v>
      </c>
      <c r="N933" s="102">
        <v>2020</v>
      </c>
      <c r="O933" s="101">
        <v>122.22423612867176</v>
      </c>
      <c r="P933" s="100">
        <v>19</v>
      </c>
    </row>
    <row r="934" spans="13:16" x14ac:dyDescent="0.2">
      <c r="M934" s="103">
        <v>10</v>
      </c>
      <c r="N934" s="102">
        <v>2020</v>
      </c>
      <c r="O934" s="101">
        <v>114.94023605964811</v>
      </c>
      <c r="P934" s="100">
        <v>19</v>
      </c>
    </row>
    <row r="935" spans="13:16" x14ac:dyDescent="0.2">
      <c r="M935" s="103">
        <v>7.5</v>
      </c>
      <c r="N935" s="102">
        <v>2020</v>
      </c>
      <c r="O935" s="101">
        <v>35.129174058770531</v>
      </c>
      <c r="P935" s="100">
        <v>19</v>
      </c>
    </row>
    <row r="936" spans="13:16" x14ac:dyDescent="0.2">
      <c r="M936" s="103">
        <v>383.52</v>
      </c>
      <c r="N936" s="102">
        <v>2021</v>
      </c>
      <c r="O936" s="101">
        <v>63.368541045899811</v>
      </c>
      <c r="P936" s="100">
        <v>20</v>
      </c>
    </row>
    <row r="937" spans="13:16" x14ac:dyDescent="0.2">
      <c r="M937" s="103">
        <v>304.67500000000001</v>
      </c>
      <c r="N937" s="102">
        <v>2021</v>
      </c>
      <c r="O937" s="101">
        <v>35.279094645890765</v>
      </c>
      <c r="P937" s="100">
        <v>20</v>
      </c>
    </row>
    <row r="938" spans="13:16" x14ac:dyDescent="0.2">
      <c r="M938" s="103">
        <v>303.2</v>
      </c>
      <c r="N938" s="102">
        <v>2021</v>
      </c>
      <c r="O938" s="101">
        <v>36.400973713898615</v>
      </c>
      <c r="P938" s="100">
        <v>20</v>
      </c>
    </row>
    <row r="939" spans="13:16" x14ac:dyDescent="0.2">
      <c r="M939" s="103">
        <v>302.39999999999998</v>
      </c>
      <c r="N939" s="102">
        <v>2021</v>
      </c>
      <c r="O939" s="101">
        <v>48.519356366874348</v>
      </c>
      <c r="P939" s="100">
        <v>20</v>
      </c>
    </row>
    <row r="940" spans="13:16" x14ac:dyDescent="0.2">
      <c r="M940" s="103">
        <v>301.14</v>
      </c>
      <c r="N940" s="102">
        <v>2021</v>
      </c>
      <c r="O940" s="101">
        <v>31.376291295503663</v>
      </c>
      <c r="P940" s="100">
        <v>20</v>
      </c>
    </row>
    <row r="941" spans="13:16" x14ac:dyDescent="0.2">
      <c r="M941" s="103">
        <v>301.10000000000002</v>
      </c>
      <c r="N941" s="102">
        <v>2021</v>
      </c>
      <c r="O941" s="101">
        <v>36.964347098440143</v>
      </c>
      <c r="P941" s="100">
        <v>20</v>
      </c>
    </row>
    <row r="942" spans="13:16" x14ac:dyDescent="0.2">
      <c r="M942" s="103">
        <v>298.8</v>
      </c>
      <c r="N942" s="102">
        <v>2021</v>
      </c>
      <c r="O942" s="101">
        <v>32.741171276135248</v>
      </c>
      <c r="P942" s="100">
        <v>20</v>
      </c>
    </row>
    <row r="943" spans="13:16" x14ac:dyDescent="0.2">
      <c r="M943" s="103">
        <v>298.60000000000002</v>
      </c>
      <c r="N943" s="102">
        <v>2021</v>
      </c>
      <c r="O943" s="101">
        <v>41.759020264766015</v>
      </c>
      <c r="P943" s="100">
        <v>20</v>
      </c>
    </row>
    <row r="944" spans="13:16" x14ac:dyDescent="0.2">
      <c r="M944" s="103">
        <v>286.62</v>
      </c>
      <c r="N944" s="102">
        <v>2021</v>
      </c>
      <c r="O944" s="101">
        <v>35.725129189730005</v>
      </c>
      <c r="P944" s="100">
        <v>20</v>
      </c>
    </row>
    <row r="945" spans="13:16" x14ac:dyDescent="0.2">
      <c r="M945" s="103">
        <v>247</v>
      </c>
      <c r="N945" s="102">
        <v>2021</v>
      </c>
      <c r="O945" s="101">
        <v>50.119198007685853</v>
      </c>
      <c r="P945" s="100">
        <v>20</v>
      </c>
    </row>
    <row r="946" spans="13:16" x14ac:dyDescent="0.2">
      <c r="M946" s="103">
        <v>239.8</v>
      </c>
      <c r="N946" s="102">
        <v>2021</v>
      </c>
      <c r="O946" s="101">
        <v>38.845312489773342</v>
      </c>
      <c r="P946" s="100">
        <v>20</v>
      </c>
    </row>
    <row r="947" spans="13:16" x14ac:dyDescent="0.2">
      <c r="M947" s="103">
        <v>225.6</v>
      </c>
      <c r="N947" s="102">
        <v>2021</v>
      </c>
      <c r="O947" s="101">
        <v>29.43719425274822</v>
      </c>
      <c r="P947" s="100">
        <v>20</v>
      </c>
    </row>
    <row r="948" spans="13:16" x14ac:dyDescent="0.2">
      <c r="M948" s="103">
        <v>218</v>
      </c>
      <c r="N948" s="102">
        <v>2021</v>
      </c>
      <c r="O948" s="101">
        <v>33.787019818716928</v>
      </c>
      <c r="P948" s="100">
        <v>20</v>
      </c>
    </row>
    <row r="949" spans="13:16" x14ac:dyDescent="0.2">
      <c r="M949" s="103">
        <v>218</v>
      </c>
      <c r="N949" s="102">
        <v>2021</v>
      </c>
      <c r="O949" s="101">
        <v>36.735757412116492</v>
      </c>
      <c r="P949" s="100">
        <v>20</v>
      </c>
    </row>
    <row r="950" spans="13:16" x14ac:dyDescent="0.2">
      <c r="M950" s="103">
        <v>209.4</v>
      </c>
      <c r="N950" s="102">
        <v>2021</v>
      </c>
      <c r="O950" s="101">
        <v>78.412040615370771</v>
      </c>
      <c r="P950" s="100">
        <v>20</v>
      </c>
    </row>
    <row r="951" spans="13:16" x14ac:dyDescent="0.2">
      <c r="M951" s="103">
        <v>202.74</v>
      </c>
      <c r="N951" s="102">
        <v>2021</v>
      </c>
      <c r="O951" s="101">
        <v>34.407877903285296</v>
      </c>
      <c r="P951" s="100">
        <v>20</v>
      </c>
    </row>
    <row r="952" spans="13:16" x14ac:dyDescent="0.2">
      <c r="M952" s="103">
        <v>199.4</v>
      </c>
      <c r="N952" s="102">
        <v>2021</v>
      </c>
      <c r="O952" s="101">
        <v>32.582388420596196</v>
      </c>
      <c r="P952" s="100">
        <v>20</v>
      </c>
    </row>
    <row r="953" spans="13:16" x14ac:dyDescent="0.2">
      <c r="M953" s="103">
        <v>198</v>
      </c>
      <c r="N953" s="102">
        <v>2021</v>
      </c>
      <c r="O953" s="101">
        <v>42.39409283488677</v>
      </c>
      <c r="P953" s="100">
        <v>20</v>
      </c>
    </row>
    <row r="954" spans="13:16" x14ac:dyDescent="0.2">
      <c r="M954" s="103">
        <v>197.4</v>
      </c>
      <c r="N954" s="102">
        <v>2021</v>
      </c>
      <c r="O954" s="101">
        <v>33.820213571652296</v>
      </c>
      <c r="P954" s="100">
        <v>20</v>
      </c>
    </row>
    <row r="955" spans="13:16" x14ac:dyDescent="0.2">
      <c r="M955" s="103">
        <v>184.9</v>
      </c>
      <c r="N955" s="102">
        <v>2021</v>
      </c>
      <c r="O955" s="101">
        <v>35.921204730132828</v>
      </c>
      <c r="P955" s="100">
        <v>20</v>
      </c>
    </row>
    <row r="956" spans="13:16" x14ac:dyDescent="0.2">
      <c r="M956" s="103">
        <v>180.07499999999999</v>
      </c>
      <c r="N956" s="102">
        <v>2021</v>
      </c>
      <c r="O956" s="101">
        <v>37.50838840414503</v>
      </c>
      <c r="P956" s="100">
        <v>20</v>
      </c>
    </row>
    <row r="957" spans="13:16" x14ac:dyDescent="0.2">
      <c r="M957" s="103">
        <v>166.08</v>
      </c>
      <c r="N957" s="102">
        <v>2021</v>
      </c>
      <c r="O957" s="101">
        <v>48.413705473128573</v>
      </c>
      <c r="P957" s="100">
        <v>20</v>
      </c>
    </row>
    <row r="958" spans="13:16" x14ac:dyDescent="0.2">
      <c r="M958" s="103">
        <v>155</v>
      </c>
      <c r="N958" s="102">
        <v>2021</v>
      </c>
      <c r="O958" s="101">
        <v>28.138169605329015</v>
      </c>
      <c r="P958" s="100">
        <v>20</v>
      </c>
    </row>
    <row r="959" spans="13:16" x14ac:dyDescent="0.2">
      <c r="M959" s="103">
        <v>153.6</v>
      </c>
      <c r="N959" s="102">
        <v>2021</v>
      </c>
      <c r="O959" s="101">
        <v>34.859413450931939</v>
      </c>
      <c r="P959" s="100">
        <v>20</v>
      </c>
    </row>
    <row r="960" spans="13:16" x14ac:dyDescent="0.2">
      <c r="M960" s="103">
        <v>140</v>
      </c>
      <c r="N960" s="102">
        <v>2021</v>
      </c>
      <c r="O960" s="101">
        <v>33.251391140126387</v>
      </c>
      <c r="P960" s="100">
        <v>20</v>
      </c>
    </row>
    <row r="961" spans="13:16" x14ac:dyDescent="0.2">
      <c r="M961" s="103">
        <v>137.75</v>
      </c>
      <c r="N961" s="102">
        <v>2021</v>
      </c>
      <c r="O961" s="101">
        <v>29.297116986633103</v>
      </c>
      <c r="P961" s="100">
        <v>20</v>
      </c>
    </row>
    <row r="962" spans="13:16" x14ac:dyDescent="0.2">
      <c r="M962" s="103">
        <v>125.47499999999999</v>
      </c>
      <c r="N962" s="102">
        <v>2021</v>
      </c>
      <c r="O962" s="101">
        <v>58.470717528509581</v>
      </c>
      <c r="P962" s="100">
        <v>20</v>
      </c>
    </row>
    <row r="963" spans="13:16" x14ac:dyDescent="0.2">
      <c r="M963" s="103">
        <v>118.1</v>
      </c>
      <c r="N963" s="102">
        <v>2021</v>
      </c>
      <c r="O963" s="101">
        <v>33.092840007993061</v>
      </c>
      <c r="P963" s="100">
        <v>20</v>
      </c>
    </row>
    <row r="964" spans="13:16" x14ac:dyDescent="0.2">
      <c r="M964" s="103">
        <v>100.8</v>
      </c>
      <c r="N964" s="102">
        <v>2021</v>
      </c>
      <c r="O964" s="101">
        <v>34.850545372914475</v>
      </c>
      <c r="P964" s="100">
        <v>20</v>
      </c>
    </row>
    <row r="965" spans="13:16" x14ac:dyDescent="0.2">
      <c r="M965" s="103">
        <v>99.8</v>
      </c>
      <c r="N965" s="102">
        <v>2021</v>
      </c>
      <c r="O965" s="101">
        <v>52.67532010710633</v>
      </c>
      <c r="P965" s="100">
        <v>20</v>
      </c>
    </row>
    <row r="966" spans="13:16" x14ac:dyDescent="0.2">
      <c r="M966" s="103">
        <v>93.06</v>
      </c>
      <c r="N966" s="102">
        <v>2021</v>
      </c>
      <c r="O966" s="101">
        <v>36.202868645950588</v>
      </c>
      <c r="P966" s="100">
        <v>20</v>
      </c>
    </row>
    <row r="967" spans="13:16" x14ac:dyDescent="0.2">
      <c r="M967" s="103">
        <v>996.4</v>
      </c>
      <c r="N967" s="102">
        <v>2022</v>
      </c>
      <c r="O967" s="101">
        <v>29.001077335481906</v>
      </c>
      <c r="P967" s="100">
        <v>21</v>
      </c>
    </row>
    <row r="968" spans="13:16" x14ac:dyDescent="0.2">
      <c r="M968" s="103">
        <v>393.6</v>
      </c>
      <c r="N968" s="102">
        <v>2022</v>
      </c>
      <c r="O968" s="101">
        <v>29.422104232746484</v>
      </c>
      <c r="P968" s="100">
        <v>21</v>
      </c>
    </row>
    <row r="969" spans="13:16" x14ac:dyDescent="0.2">
      <c r="M969" s="103">
        <v>335.99999999999989</v>
      </c>
      <c r="N969" s="102">
        <v>2022</v>
      </c>
      <c r="O969" s="101">
        <v>33.010984156647005</v>
      </c>
      <c r="P969" s="100">
        <v>21</v>
      </c>
    </row>
    <row r="970" spans="13:16" x14ac:dyDescent="0.2">
      <c r="M970" s="103">
        <v>304.00000000000034</v>
      </c>
      <c r="N970" s="102">
        <v>2022</v>
      </c>
      <c r="O970" s="101">
        <v>31.250584169283911</v>
      </c>
      <c r="P970" s="100">
        <v>21</v>
      </c>
    </row>
    <row r="971" spans="13:16" x14ac:dyDescent="0.2">
      <c r="M971" s="103">
        <v>302.40000000000038</v>
      </c>
      <c r="N971" s="102">
        <v>2022</v>
      </c>
      <c r="O971" s="101">
        <v>30.163250428324282</v>
      </c>
      <c r="P971" s="100">
        <v>21</v>
      </c>
    </row>
    <row r="972" spans="13:16" x14ac:dyDescent="0.2">
      <c r="M972" s="103">
        <v>299.35999999999967</v>
      </c>
      <c r="N972" s="102">
        <v>2022</v>
      </c>
      <c r="O972" s="101">
        <v>31.716678050800667</v>
      </c>
      <c r="P972" s="100">
        <v>21</v>
      </c>
    </row>
    <row r="973" spans="13:16" x14ac:dyDescent="0.2">
      <c r="M973" s="103">
        <v>264</v>
      </c>
      <c r="N973" s="102">
        <v>2022</v>
      </c>
      <c r="O973" s="101">
        <v>29.584566569092953</v>
      </c>
      <c r="P973" s="100">
        <v>21</v>
      </c>
    </row>
    <row r="974" spans="13:16" x14ac:dyDescent="0.2">
      <c r="M974" s="103">
        <v>201.30000000000007</v>
      </c>
      <c r="N974" s="102">
        <v>2022</v>
      </c>
      <c r="O974" s="101">
        <v>52.69306642307248</v>
      </c>
      <c r="P974" s="100">
        <v>21</v>
      </c>
    </row>
    <row r="975" spans="13:16" x14ac:dyDescent="0.2">
      <c r="M975" s="103">
        <v>120.39999999999992</v>
      </c>
      <c r="N975" s="102">
        <v>2022</v>
      </c>
      <c r="O975" s="101">
        <v>39.871900070747273</v>
      </c>
      <c r="P975" s="100">
        <v>21</v>
      </c>
    </row>
    <row r="976" spans="13:16" x14ac:dyDescent="0.2">
      <c r="M976" s="103">
        <v>72.450000000000031</v>
      </c>
      <c r="N976" s="102">
        <v>2022</v>
      </c>
      <c r="O976" s="101">
        <v>47.977857890573496</v>
      </c>
      <c r="P976" s="100">
        <v>21</v>
      </c>
    </row>
    <row r="977" spans="13:16" x14ac:dyDescent="0.2">
      <c r="M977" s="103">
        <v>21.76</v>
      </c>
      <c r="N977" s="102">
        <v>2022</v>
      </c>
      <c r="O977" s="101">
        <v>34.838187497384446</v>
      </c>
      <c r="P977" s="100">
        <v>21</v>
      </c>
    </row>
    <row r="978" spans="13:16" x14ac:dyDescent="0.2">
      <c r="M978" s="103">
        <v>20</v>
      </c>
      <c r="N978" s="102">
        <v>2022</v>
      </c>
      <c r="O978" s="101">
        <v>55.068443184819998</v>
      </c>
      <c r="P978" s="100">
        <v>21</v>
      </c>
    </row>
    <row r="979" spans="13:16" x14ac:dyDescent="0.2">
      <c r="M979" s="99">
        <v>5.64</v>
      </c>
      <c r="N979" s="98">
        <v>2022</v>
      </c>
      <c r="O979" s="97">
        <v>85.227590053868809</v>
      </c>
      <c r="P979" s="96">
        <v>21</v>
      </c>
    </row>
  </sheetData>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9AFD5-40AA-4911-9642-CD5351E1DB17}">
  <sheetPr codeName="Sheet8">
    <tabColor theme="8" tint="0.39997558519241921"/>
  </sheetPr>
  <dimension ref="A1:E18"/>
  <sheetViews>
    <sheetView workbookViewId="0"/>
  </sheetViews>
  <sheetFormatPr defaultRowHeight="15" x14ac:dyDescent="0.25"/>
  <cols>
    <col min="1" max="1" width="5" style="3" bestFit="1" customWidth="1"/>
    <col min="2" max="2" width="21.7109375" style="3" bestFit="1" customWidth="1"/>
    <col min="3" max="3" width="20.42578125" style="3" bestFit="1" customWidth="1"/>
    <col min="4" max="4" width="22.7109375" style="3" bestFit="1" customWidth="1"/>
    <col min="5" max="5" width="21.5703125" style="3" bestFit="1" customWidth="1"/>
    <col min="6" max="16384" width="9.140625" style="3"/>
  </cols>
  <sheetData>
    <row r="1" spans="1:5" x14ac:dyDescent="0.25">
      <c r="A1" s="31" t="s">
        <v>200</v>
      </c>
    </row>
    <row r="3" spans="1:5" x14ac:dyDescent="0.25">
      <c r="B3" s="265" t="s">
        <v>121</v>
      </c>
      <c r="C3" s="265" t="s">
        <v>120</v>
      </c>
      <c r="D3" s="265" t="s">
        <v>119</v>
      </c>
      <c r="E3" s="265" t="s">
        <v>118</v>
      </c>
    </row>
    <row r="4" spans="1:5" x14ac:dyDescent="0.25">
      <c r="A4" s="265">
        <v>2030</v>
      </c>
      <c r="B4" s="7">
        <v>1030</v>
      </c>
      <c r="C4" s="7">
        <v>430</v>
      </c>
      <c r="D4" s="7">
        <v>20</v>
      </c>
      <c r="E4" s="7">
        <v>20</v>
      </c>
    </row>
    <row r="5" spans="1:5" x14ac:dyDescent="0.25">
      <c r="A5" s="265">
        <f t="shared" ref="A5:A10" si="0">1+A4</f>
        <v>2031</v>
      </c>
      <c r="B5" s="7">
        <v>1050</v>
      </c>
      <c r="C5" s="7">
        <v>450</v>
      </c>
      <c r="D5" s="7">
        <v>0</v>
      </c>
      <c r="E5" s="7">
        <v>0</v>
      </c>
    </row>
    <row r="6" spans="1:5" x14ac:dyDescent="0.25">
      <c r="A6" s="265">
        <f t="shared" si="0"/>
        <v>2032</v>
      </c>
      <c r="B6" s="7">
        <v>700</v>
      </c>
      <c r="C6" s="7">
        <v>300</v>
      </c>
      <c r="D6" s="7">
        <v>0</v>
      </c>
      <c r="E6" s="7">
        <v>0</v>
      </c>
    </row>
    <row r="7" spans="1:5" x14ac:dyDescent="0.25">
      <c r="A7" s="265">
        <f t="shared" si="0"/>
        <v>2033</v>
      </c>
      <c r="B7" s="7">
        <v>700</v>
      </c>
      <c r="C7" s="7">
        <v>300</v>
      </c>
      <c r="D7" s="7">
        <v>0</v>
      </c>
      <c r="E7" s="7">
        <v>0</v>
      </c>
    </row>
    <row r="8" spans="1:5" x14ac:dyDescent="0.25">
      <c r="A8" s="265">
        <f t="shared" si="0"/>
        <v>2034</v>
      </c>
      <c r="B8" s="7">
        <v>875</v>
      </c>
      <c r="C8" s="7">
        <v>375</v>
      </c>
      <c r="D8" s="7">
        <v>0</v>
      </c>
      <c r="E8" s="7">
        <v>0</v>
      </c>
    </row>
    <row r="9" spans="1:5" x14ac:dyDescent="0.25">
      <c r="A9" s="265">
        <f t="shared" si="0"/>
        <v>2035</v>
      </c>
      <c r="B9" s="7">
        <v>875</v>
      </c>
      <c r="C9" s="7">
        <v>375</v>
      </c>
      <c r="D9" s="7">
        <v>0</v>
      </c>
      <c r="E9" s="7">
        <v>0</v>
      </c>
    </row>
    <row r="10" spans="1:5" x14ac:dyDescent="0.25">
      <c r="A10" s="265">
        <f t="shared" si="0"/>
        <v>2036</v>
      </c>
      <c r="B10" s="7"/>
      <c r="C10" s="7"/>
      <c r="D10" s="7"/>
      <c r="E10" s="7"/>
    </row>
    <row r="11" spans="1:5" x14ac:dyDescent="0.25">
      <c r="A11" s="265"/>
      <c r="B11" s="7" t="s">
        <v>121</v>
      </c>
      <c r="C11" s="7" t="s">
        <v>120</v>
      </c>
      <c r="D11" s="7" t="s">
        <v>119</v>
      </c>
      <c r="E11" s="7" t="s">
        <v>118</v>
      </c>
    </row>
    <row r="12" spans="1:5" x14ac:dyDescent="0.25">
      <c r="A12" s="265">
        <v>2030</v>
      </c>
      <c r="B12" s="7">
        <f>B4</f>
        <v>1030</v>
      </c>
      <c r="C12" s="7">
        <f>C4</f>
        <v>430</v>
      </c>
      <c r="D12" s="7">
        <f>D4</f>
        <v>20</v>
      </c>
      <c r="E12" s="7">
        <f>E4</f>
        <v>20</v>
      </c>
    </row>
    <row r="13" spans="1:5" x14ac:dyDescent="0.25">
      <c r="A13" s="265">
        <f t="shared" ref="A13:A18" si="1">1+A12</f>
        <v>2031</v>
      </c>
      <c r="B13" s="7">
        <f t="shared" ref="B13:E18" si="2">B12+B5</f>
        <v>2080</v>
      </c>
      <c r="C13" s="7">
        <f t="shared" si="2"/>
        <v>880</v>
      </c>
      <c r="D13" s="7">
        <f t="shared" si="2"/>
        <v>20</v>
      </c>
      <c r="E13" s="7">
        <f t="shared" si="2"/>
        <v>20</v>
      </c>
    </row>
    <row r="14" spans="1:5" x14ac:dyDescent="0.25">
      <c r="A14" s="265">
        <f t="shared" si="1"/>
        <v>2032</v>
      </c>
      <c r="B14" s="7">
        <f t="shared" si="2"/>
        <v>2780</v>
      </c>
      <c r="C14" s="7">
        <f t="shared" si="2"/>
        <v>1180</v>
      </c>
      <c r="D14" s="7">
        <f t="shared" si="2"/>
        <v>20</v>
      </c>
      <c r="E14" s="7">
        <f t="shared" si="2"/>
        <v>20</v>
      </c>
    </row>
    <row r="15" spans="1:5" x14ac:dyDescent="0.25">
      <c r="A15" s="265">
        <f t="shared" si="1"/>
        <v>2033</v>
      </c>
      <c r="B15" s="7">
        <f t="shared" si="2"/>
        <v>3480</v>
      </c>
      <c r="C15" s="7">
        <f t="shared" si="2"/>
        <v>1480</v>
      </c>
      <c r="D15" s="7">
        <f t="shared" si="2"/>
        <v>20</v>
      </c>
      <c r="E15" s="7">
        <f t="shared" si="2"/>
        <v>20</v>
      </c>
    </row>
    <row r="16" spans="1:5" x14ac:dyDescent="0.25">
      <c r="A16" s="265">
        <f t="shared" si="1"/>
        <v>2034</v>
      </c>
      <c r="B16" s="7">
        <f t="shared" si="2"/>
        <v>4355</v>
      </c>
      <c r="C16" s="7">
        <f t="shared" si="2"/>
        <v>1855</v>
      </c>
      <c r="D16" s="7">
        <f t="shared" si="2"/>
        <v>20</v>
      </c>
      <c r="E16" s="7">
        <f t="shared" si="2"/>
        <v>20</v>
      </c>
    </row>
    <row r="17" spans="1:5" x14ac:dyDescent="0.25">
      <c r="A17" s="265">
        <f t="shared" si="1"/>
        <v>2035</v>
      </c>
      <c r="B17" s="7">
        <f t="shared" si="2"/>
        <v>5230</v>
      </c>
      <c r="C17" s="7">
        <f t="shared" si="2"/>
        <v>2230</v>
      </c>
      <c r="D17" s="7">
        <f t="shared" si="2"/>
        <v>20</v>
      </c>
      <c r="E17" s="7">
        <f t="shared" si="2"/>
        <v>20</v>
      </c>
    </row>
    <row r="18" spans="1:5" x14ac:dyDescent="0.25">
      <c r="A18" s="265">
        <f t="shared" si="1"/>
        <v>2036</v>
      </c>
      <c r="B18" s="7">
        <f t="shared" si="2"/>
        <v>5230</v>
      </c>
      <c r="C18" s="7">
        <f t="shared" si="2"/>
        <v>2230</v>
      </c>
      <c r="D18" s="7">
        <f t="shared" si="2"/>
        <v>20</v>
      </c>
      <c r="E18" s="7">
        <f t="shared" si="2"/>
        <v>20</v>
      </c>
    </row>
  </sheetData>
  <printOptions horizontalCentered="1" verticalCentered="1"/>
  <pageMargins left="0.2" right="0.2"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51013-3C01-452B-9E2F-74633C0FE00B}">
  <sheetPr codeName="Sheet12">
    <tabColor theme="8" tint="0.39997558519241921"/>
  </sheetPr>
  <dimension ref="A1:G16"/>
  <sheetViews>
    <sheetView zoomScale="115" zoomScaleNormal="115" workbookViewId="0"/>
  </sheetViews>
  <sheetFormatPr defaultRowHeight="15" x14ac:dyDescent="0.25"/>
  <cols>
    <col min="1" max="2" width="15.5703125" style="3" bestFit="1" customWidth="1"/>
    <col min="3" max="3" width="17.140625" style="3" bestFit="1" customWidth="1"/>
    <col min="4" max="4" width="17.140625" style="3" customWidth="1"/>
    <col min="5" max="5" width="13.5703125" style="3" bestFit="1" customWidth="1"/>
    <col min="6" max="6" width="12.7109375" style="3" bestFit="1" customWidth="1"/>
    <col min="7" max="16384" width="9.140625" style="3"/>
  </cols>
  <sheetData>
    <row r="1" spans="1:7" x14ac:dyDescent="0.25">
      <c r="A1" s="31" t="s">
        <v>0</v>
      </c>
      <c r="B1" s="31" t="s">
        <v>1</v>
      </c>
    </row>
    <row r="2" spans="1:7" x14ac:dyDescent="0.25">
      <c r="A2" s="183" t="s">
        <v>2</v>
      </c>
      <c r="B2" s="183" t="s">
        <v>3</v>
      </c>
      <c r="C2" s="183" t="s">
        <v>4</v>
      </c>
      <c r="D2" s="183" t="s">
        <v>5</v>
      </c>
      <c r="F2" s="183" t="s">
        <v>6</v>
      </c>
      <c r="G2" s="183" t="s">
        <v>98</v>
      </c>
    </row>
    <row r="3" spans="1:7" x14ac:dyDescent="0.25">
      <c r="A3" s="3" t="s">
        <v>7</v>
      </c>
      <c r="B3" s="185">
        <f>OSW_Annual!C42</f>
        <v>558103700</v>
      </c>
      <c r="C3" s="185">
        <f>OSW_Annual!D42</f>
        <v>173668988.98928574</v>
      </c>
      <c r="D3" s="185">
        <f>OSW_Annual!E42</f>
        <v>301629349.16261959</v>
      </c>
      <c r="F3" s="185">
        <f>OSW_Annual!F42</f>
        <v>13665744</v>
      </c>
    </row>
    <row r="4" spans="1:7" x14ac:dyDescent="0.25">
      <c r="A4" s="3" t="s">
        <v>8</v>
      </c>
      <c r="B4" s="185">
        <f>Storage_Annual!C42</f>
        <v>3082900181</v>
      </c>
      <c r="C4" s="185">
        <f>Storage_Annual!D42</f>
        <v>22127646396.603523</v>
      </c>
      <c r="D4" s="185">
        <f>Storage_Annual!E42</f>
        <v>739110575.09748173</v>
      </c>
      <c r="F4" s="185">
        <f>Storage_Annual!F42</f>
        <v>160849316.70999998</v>
      </c>
    </row>
    <row r="5" spans="1:7" x14ac:dyDescent="0.25">
      <c r="A5" s="3" t="s">
        <v>9</v>
      </c>
      <c r="B5" s="185">
        <f>SooGreen_Annual!C42</f>
        <v>9348274901.6864071</v>
      </c>
      <c r="C5" s="185">
        <f>SooGreen_Annual!D42</f>
        <v>7072805576.7458887</v>
      </c>
      <c r="D5" s="185">
        <f>SooGreen_Annual!E42</f>
        <v>5858041972.2655802</v>
      </c>
      <c r="F5" s="185">
        <f>SooGreen_Annual!F42</f>
        <v>256891147.98508731</v>
      </c>
      <c r="G5" s="3" t="s">
        <v>97</v>
      </c>
    </row>
    <row r="6" spans="1:7" x14ac:dyDescent="0.25">
      <c r="A6" s="3" t="s">
        <v>10</v>
      </c>
      <c r="B6" s="185">
        <f>All_Annual!C42</f>
        <v>13023447455.496407</v>
      </c>
      <c r="C6" s="185">
        <f>All_Annual!D42</f>
        <v>29374120962.338699</v>
      </c>
      <c r="D6" s="185">
        <f>All_Annual!E42</f>
        <v>6224719018.3999214</v>
      </c>
      <c r="F6" s="185">
        <f>All_Annual!F42</f>
        <v>430468682.02775735</v>
      </c>
      <c r="G6" s="3" t="s">
        <v>97</v>
      </c>
    </row>
    <row r="7" spans="1:7" x14ac:dyDescent="0.25">
      <c r="A7" s="183"/>
    </row>
    <row r="8" spans="1:7" x14ac:dyDescent="0.25">
      <c r="A8" s="31"/>
      <c r="B8" s="31" t="s">
        <v>11</v>
      </c>
    </row>
    <row r="9" spans="1:7" x14ac:dyDescent="0.25">
      <c r="A9" s="183" t="s">
        <v>2</v>
      </c>
      <c r="B9" s="183" t="s">
        <v>3</v>
      </c>
      <c r="C9" s="183" t="s">
        <v>4</v>
      </c>
      <c r="D9" s="183" t="s">
        <v>5</v>
      </c>
      <c r="E9" s="182" t="s">
        <v>531</v>
      </c>
      <c r="F9" s="183" t="s">
        <v>12</v>
      </c>
      <c r="G9" s="31" t="s">
        <v>99</v>
      </c>
    </row>
    <row r="10" spans="1:7" x14ac:dyDescent="0.25">
      <c r="A10" s="3" t="s">
        <v>7</v>
      </c>
      <c r="B10" s="236">
        <f t="shared" ref="B10:D11" si="0">B3/$F3</f>
        <v>40.839613269500731</v>
      </c>
      <c r="C10" s="236">
        <f t="shared" si="0"/>
        <v>12.708344967481151</v>
      </c>
      <c r="D10" s="236">
        <f>D3/$F3</f>
        <v>22.071930307096313</v>
      </c>
      <c r="E10" s="236">
        <f>'REC Spend projected'!AE40</f>
        <v>48.108774678790496</v>
      </c>
      <c r="F10" s="236">
        <f>SUM(B10:E10)</f>
        <v>123.72866322286869</v>
      </c>
      <c r="G10" s="268">
        <f>OSW_Annual!L43</f>
        <v>126.62391816935524</v>
      </c>
    </row>
    <row r="11" spans="1:7" x14ac:dyDescent="0.25">
      <c r="A11" s="3" t="s">
        <v>8</v>
      </c>
      <c r="B11" s="236">
        <f t="shared" si="0"/>
        <v>19.166386553933908</v>
      </c>
      <c r="C11" s="236">
        <f t="shared" si="0"/>
        <v>137.56754986095535</v>
      </c>
      <c r="D11" s="236">
        <f t="shared" si="0"/>
        <v>4.5950495172450507</v>
      </c>
      <c r="E11" s="236"/>
      <c r="F11" s="236">
        <f t="shared" ref="F11:F12" si="1">SUM(B11:E11)</f>
        <v>161.32898593213432</v>
      </c>
      <c r="G11" s="268">
        <f>Storage_Annual!L43</f>
        <v>210.85742856861495</v>
      </c>
    </row>
    <row r="12" spans="1:7" x14ac:dyDescent="0.25">
      <c r="A12" s="3" t="s">
        <v>9</v>
      </c>
      <c r="B12" s="236">
        <f>B5/$F5</f>
        <v>36.390023459387869</v>
      </c>
      <c r="C12" s="236">
        <f t="shared" ref="C12:C13" si="2">C5/$F5</f>
        <v>27.532305539607265</v>
      </c>
      <c r="D12" s="236">
        <f>D5/$F5</f>
        <v>22.803596068657232</v>
      </c>
      <c r="E12" s="236"/>
      <c r="F12" s="236">
        <f t="shared" si="1"/>
        <v>86.725925067652369</v>
      </c>
      <c r="G12" s="268">
        <f>SooGreen_Annual!M43</f>
        <v>115.39146964788118</v>
      </c>
    </row>
    <row r="13" spans="1:7" x14ac:dyDescent="0.25">
      <c r="A13" s="3" t="s">
        <v>10</v>
      </c>
      <c r="B13" s="236">
        <f>B6/$F6</f>
        <v>30.254111388889918</v>
      </c>
      <c r="C13" s="236">
        <f t="shared" si="2"/>
        <v>68.237533155651505</v>
      </c>
      <c r="D13" s="236">
        <f>D6/$F6</f>
        <v>14.460329585599309</v>
      </c>
      <c r="E13" s="236"/>
      <c r="F13" s="236">
        <f>SUM(B13:E13)</f>
        <v>112.95197413014074</v>
      </c>
      <c r="G13" s="269">
        <f>All_Annual!L43</f>
        <v>152.93667919005605</v>
      </c>
    </row>
    <row r="16" spans="1:7" x14ac:dyDescent="0.25">
      <c r="G16" s="270"/>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9F818-6C32-4C1A-8C50-809A005BF66E}">
  <sheetPr codeName="Sheet13">
    <tabColor theme="8" tint="0.39997558519241921"/>
  </sheetPr>
  <dimension ref="A1:G16"/>
  <sheetViews>
    <sheetView workbookViewId="0"/>
  </sheetViews>
  <sheetFormatPr defaultRowHeight="15" x14ac:dyDescent="0.25"/>
  <cols>
    <col min="1" max="1" width="15.5703125" style="3" bestFit="1" customWidth="1"/>
    <col min="2" max="7" width="20.85546875" style="7" customWidth="1"/>
    <col min="8" max="16384" width="9.140625" style="3"/>
  </cols>
  <sheetData>
    <row r="1" spans="1:7" x14ac:dyDescent="0.25">
      <c r="A1" s="31" t="s">
        <v>0</v>
      </c>
      <c r="B1" s="442" t="s">
        <v>14</v>
      </c>
      <c r="G1" s="442"/>
    </row>
    <row r="2" spans="1:7" x14ac:dyDescent="0.25">
      <c r="A2" s="183" t="s">
        <v>2</v>
      </c>
      <c r="B2" s="182" t="s">
        <v>3</v>
      </c>
      <c r="C2" s="182" t="s">
        <v>4</v>
      </c>
      <c r="D2" s="182" t="s">
        <v>5</v>
      </c>
      <c r="E2" s="182"/>
      <c r="F2" s="182" t="s">
        <v>6</v>
      </c>
      <c r="G2" s="182" t="s">
        <v>13</v>
      </c>
    </row>
    <row r="3" spans="1:7" x14ac:dyDescent="0.25">
      <c r="A3" s="3" t="s">
        <v>7</v>
      </c>
      <c r="B3" s="170">
        <f>OSW_Annual!G42</f>
        <v>352359950.56768531</v>
      </c>
      <c r="C3" s="170">
        <f>OSW_Annual!H42</f>
        <v>104581523.36618562</v>
      </c>
      <c r="D3" s="170">
        <f>OSW_Annual!I42</f>
        <v>177504642.4517839</v>
      </c>
      <c r="E3" s="170"/>
      <c r="F3" s="170">
        <f>OSW_Annual!J42</f>
        <v>13665744</v>
      </c>
      <c r="G3" s="170">
        <f>OSW_Annual!O42</f>
        <v>1098454108.6406276</v>
      </c>
    </row>
    <row r="4" spans="1:7" x14ac:dyDescent="0.25">
      <c r="A4" s="3" t="s">
        <v>8</v>
      </c>
      <c r="B4" s="170">
        <f>Storage_Annual!G42</f>
        <v>1925517789.6515417</v>
      </c>
      <c r="C4" s="170">
        <f>Storage_Annual!H42</f>
        <v>13380498086.199961</v>
      </c>
      <c r="D4" s="170">
        <f>Storage_Annual!I42</f>
        <v>452328709.44430816</v>
      </c>
      <c r="E4" s="170"/>
      <c r="F4" s="170">
        <f>Storage_Annual!J42</f>
        <v>160849316.70999998</v>
      </c>
      <c r="G4" s="170">
        <f>Storage_Annual!O42</f>
        <v>21003199135.454369</v>
      </c>
    </row>
    <row r="5" spans="1:7" x14ac:dyDescent="0.25">
      <c r="A5" s="3" t="s">
        <v>9</v>
      </c>
      <c r="B5" s="170">
        <f>SooGreen_Annual!G42</f>
        <v>5919798508.0397139</v>
      </c>
      <c r="C5" s="170">
        <f>SooGreen_Annual!H42</f>
        <v>4259164436.8619652</v>
      </c>
      <c r="D5" s="170">
        <f>SooGreen_Annual!I42</f>
        <v>3566109981.6709867</v>
      </c>
      <c r="E5" s="170"/>
      <c r="F5" s="170">
        <f>SooGreen_Annual!J42</f>
        <v>256891147.98508731</v>
      </c>
      <c r="G5" s="170">
        <f>SooGreen_Annual!P42</f>
        <v>19170014150.089909</v>
      </c>
    </row>
    <row r="6" spans="1:7" x14ac:dyDescent="0.25">
      <c r="A6" s="3" t="s">
        <v>10</v>
      </c>
      <c r="B6" s="170">
        <f>All_Annual!G42</f>
        <v>8223378785.0413322</v>
      </c>
      <c r="C6" s="170">
        <f>All_Annual!H42</f>
        <v>17744244046.428112</v>
      </c>
      <c r="D6" s="170">
        <f>All_Annual!I42</f>
        <v>3769808091.3193884</v>
      </c>
      <c r="E6" s="170"/>
      <c r="F6" s="170">
        <f>All_Annual!J42</f>
        <v>430468682.02775735</v>
      </c>
      <c r="G6" s="170">
        <f>All_Annual!O42</f>
        <v>41271667394.184906</v>
      </c>
    </row>
    <row r="7" spans="1:7" x14ac:dyDescent="0.25">
      <c r="A7" s="183"/>
    </row>
    <row r="8" spans="1:7" x14ac:dyDescent="0.25">
      <c r="A8" s="31"/>
      <c r="B8" s="184" t="s">
        <v>11</v>
      </c>
      <c r="G8" s="184"/>
    </row>
    <row r="9" spans="1:7" x14ac:dyDescent="0.25">
      <c r="A9" s="183" t="s">
        <v>2</v>
      </c>
      <c r="B9" s="182" t="s">
        <v>3</v>
      </c>
      <c r="C9" s="182" t="s">
        <v>4</v>
      </c>
      <c r="D9" s="182" t="s">
        <v>5</v>
      </c>
      <c r="E9" s="182" t="s">
        <v>531</v>
      </c>
      <c r="F9" s="182" t="s">
        <v>12</v>
      </c>
      <c r="G9" s="182" t="s">
        <v>13</v>
      </c>
    </row>
    <row r="10" spans="1:7" x14ac:dyDescent="0.25">
      <c r="A10" s="3" t="s">
        <v>7</v>
      </c>
      <c r="B10" s="269">
        <f t="shared" ref="B10:D13" si="0">B3/$F3</f>
        <v>25.784176153723156</v>
      </c>
      <c r="C10" s="269">
        <f t="shared" si="0"/>
        <v>7.6528232466659425</v>
      </c>
      <c r="D10" s="269">
        <f t="shared" si="0"/>
        <v>12.989021486995798</v>
      </c>
      <c r="E10" s="269">
        <f>'REC Spend projected'!AF40</f>
        <v>30.686721579158732</v>
      </c>
      <c r="F10" s="269">
        <f>SUM(B10:D10)</f>
        <v>46.426020887384894</v>
      </c>
      <c r="G10" s="580">
        <f>OSW_Annual!O43</f>
        <v>80.380117514321043</v>
      </c>
    </row>
    <row r="11" spans="1:7" x14ac:dyDescent="0.25">
      <c r="A11" s="3" t="s">
        <v>8</v>
      </c>
      <c r="B11" s="269">
        <f t="shared" si="0"/>
        <v>11.970941680300172</v>
      </c>
      <c r="C11" s="269">
        <f t="shared" si="0"/>
        <v>83.186539799382913</v>
      </c>
      <c r="D11" s="269">
        <f t="shared" si="0"/>
        <v>2.8121270186047793</v>
      </c>
      <c r="E11" s="269"/>
      <c r="F11" s="269">
        <f>SUM(B11:D11)</f>
        <v>97.969608498287869</v>
      </c>
      <c r="G11" s="580">
        <f>Storage_Annual!O43</f>
        <v>130.57686265041249</v>
      </c>
    </row>
    <row r="12" spans="1:7" x14ac:dyDescent="0.25">
      <c r="A12" s="3" t="s">
        <v>9</v>
      </c>
      <c r="B12" s="269">
        <f t="shared" si="0"/>
        <v>23.043995694173791</v>
      </c>
      <c r="C12" s="269">
        <f t="shared" si="0"/>
        <v>16.579646555626791</v>
      </c>
      <c r="D12" s="269">
        <f t="shared" si="0"/>
        <v>13.881793941292214</v>
      </c>
      <c r="E12" s="269"/>
      <c r="F12" s="269">
        <f>SUM(B12:D12)</f>
        <v>53.505436191092798</v>
      </c>
      <c r="G12" s="269">
        <f>SooGreen_Annual!P43</f>
        <v>74.623101264675498</v>
      </c>
    </row>
    <row r="13" spans="1:7" x14ac:dyDescent="0.25">
      <c r="A13" s="3" t="s">
        <v>10</v>
      </c>
      <c r="B13" s="269">
        <f t="shared" si="0"/>
        <v>19.10331489460382</v>
      </c>
      <c r="C13" s="269">
        <f t="shared" si="0"/>
        <v>41.220754928889193</v>
      </c>
      <c r="D13" s="269">
        <f t="shared" si="0"/>
        <v>8.7574503063995373</v>
      </c>
      <c r="E13" s="269"/>
      <c r="F13" s="269">
        <f>SUM(B13:D13)</f>
        <v>69.081520129892553</v>
      </c>
      <c r="G13" s="580">
        <f>All_Annual!O43</f>
        <v>95.876120882409836</v>
      </c>
    </row>
    <row r="14" spans="1:7" x14ac:dyDescent="0.25">
      <c r="A14" s="31"/>
    </row>
    <row r="16" spans="1:7" x14ac:dyDescent="0.25">
      <c r="G16" s="269"/>
    </row>
  </sheetData>
  <autoFilter ref="A2:F6" xr:uid="{7AD51013-3C01-452B-9E2F-74633C0FE00B}"/>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88FA9-A875-4C70-B96F-47F49FBDB8F4}">
  <sheetPr codeName="Sheet14">
    <tabColor theme="8" tint="0.39997558519241921"/>
  </sheetPr>
  <dimension ref="A1:G30"/>
  <sheetViews>
    <sheetView workbookViewId="0"/>
  </sheetViews>
  <sheetFormatPr defaultRowHeight="15" x14ac:dyDescent="0.25"/>
  <cols>
    <col min="1" max="1" width="15.5703125" style="3" bestFit="1" customWidth="1"/>
    <col min="2" max="7" width="20.85546875" style="7" customWidth="1"/>
    <col min="8" max="16384" width="9.140625" style="3"/>
  </cols>
  <sheetData>
    <row r="1" spans="1:7" x14ac:dyDescent="0.25">
      <c r="A1" s="31" t="s">
        <v>0</v>
      </c>
      <c r="B1" s="442" t="s">
        <v>602</v>
      </c>
      <c r="G1" s="442"/>
    </row>
    <row r="2" spans="1:7" x14ac:dyDescent="0.25">
      <c r="A2" s="183" t="s">
        <v>2</v>
      </c>
      <c r="B2" s="182" t="s">
        <v>3</v>
      </c>
      <c r="C2" s="182" t="s">
        <v>4</v>
      </c>
      <c r="D2" s="182" t="s">
        <v>5</v>
      </c>
      <c r="E2" s="182"/>
      <c r="F2" s="182" t="s">
        <v>6</v>
      </c>
      <c r="G2" s="182" t="s">
        <v>13</v>
      </c>
    </row>
    <row r="3" spans="1:7" x14ac:dyDescent="0.25">
      <c r="A3" s="3" t="s">
        <v>7</v>
      </c>
      <c r="B3" s="170">
        <f>OSW_Annual!R42</f>
        <v>286902230.13393039</v>
      </c>
      <c r="C3" s="170">
        <f>OSW_Annual!S42</f>
        <v>81635250.601908922</v>
      </c>
      <c r="D3" s="170">
        <f>OSW_Annual!T42</f>
        <v>136763543.29752338</v>
      </c>
      <c r="E3" s="170"/>
      <c r="F3" s="170">
        <f>OSW_Annual!J42</f>
        <v>13665744</v>
      </c>
      <c r="G3" s="170">
        <f>OSW_Annual!X42</f>
        <v>898064956.97680271</v>
      </c>
    </row>
    <row r="4" spans="1:7" x14ac:dyDescent="0.25">
      <c r="A4" s="3" t="s">
        <v>8</v>
      </c>
      <c r="B4" s="170">
        <f>Storage_Annual!R42</f>
        <v>1550301686.2004967</v>
      </c>
      <c r="C4" s="170">
        <f>Storage_Annual!S42</f>
        <v>10477570867.947382</v>
      </c>
      <c r="D4" s="170">
        <f>Storage_Annual!T42</f>
        <v>361789694.96971083</v>
      </c>
      <c r="E4" s="170"/>
      <c r="F4" s="170">
        <f>Storage_Annual!J42</f>
        <v>160849316.70999998</v>
      </c>
      <c r="G4" s="170">
        <f>Storage_Annual!X42</f>
        <v>16791358010.745703</v>
      </c>
    </row>
    <row r="5" spans="1:7" x14ac:dyDescent="0.25">
      <c r="A5" s="3" t="s">
        <v>9</v>
      </c>
      <c r="B5" s="170">
        <f>SooGreen_Annual!S42</f>
        <v>4832008134.0046158</v>
      </c>
      <c r="C5" s="170">
        <f>SooGreen_Annual!T42</f>
        <v>3324659509.3143024</v>
      </c>
      <c r="D5" s="170">
        <f>SooGreen_Annual!U42</f>
        <v>2819380975.8313966</v>
      </c>
      <c r="E5" s="170"/>
      <c r="F5" s="170">
        <f>SooGreen_Annual!J42</f>
        <v>256891147.98508731</v>
      </c>
      <c r="G5" s="170">
        <f>SooGreen_Annual!X42</f>
        <v>15677405215.942236</v>
      </c>
    </row>
    <row r="6" spans="1:7" x14ac:dyDescent="0.25">
      <c r="A6" s="3" t="s">
        <v>10</v>
      </c>
      <c r="B6" s="170">
        <f>All_Annual!R42</f>
        <v>6692303934.4876404</v>
      </c>
      <c r="C6" s="170">
        <f>All_Annual!S42</f>
        <v>13883865627.863592</v>
      </c>
      <c r="D6" s="170">
        <f>All_Annual!T42</f>
        <v>2971765731.5415072</v>
      </c>
      <c r="E6" s="170"/>
      <c r="F6" s="170">
        <f>All_Annual!J42</f>
        <v>430468682.02775735</v>
      </c>
      <c r="G6" s="170">
        <f>All_Annual!X42</f>
        <v>33366828183.664742</v>
      </c>
    </row>
    <row r="7" spans="1:7" x14ac:dyDescent="0.25">
      <c r="A7" s="183"/>
    </row>
    <row r="8" spans="1:7" x14ac:dyDescent="0.25">
      <c r="A8" s="31"/>
      <c r="B8" s="184" t="s">
        <v>11</v>
      </c>
      <c r="G8" s="184"/>
    </row>
    <row r="9" spans="1:7" x14ac:dyDescent="0.25">
      <c r="A9" s="183" t="s">
        <v>2</v>
      </c>
      <c r="B9" s="182" t="s">
        <v>3</v>
      </c>
      <c r="C9" s="182" t="s">
        <v>4</v>
      </c>
      <c r="D9" s="182" t="s">
        <v>5</v>
      </c>
      <c r="E9" s="182" t="s">
        <v>531</v>
      </c>
      <c r="F9" s="182" t="s">
        <v>12</v>
      </c>
      <c r="G9" s="182" t="s">
        <v>13</v>
      </c>
    </row>
    <row r="10" spans="1:7" x14ac:dyDescent="0.25">
      <c r="A10" s="3" t="s">
        <v>7</v>
      </c>
      <c r="B10" s="269">
        <f t="shared" ref="B10:D13" si="0">B3/$F3</f>
        <v>20.994263476173003</v>
      </c>
      <c r="C10" s="269">
        <f t="shared" si="0"/>
        <v>5.9737143182185264</v>
      </c>
      <c r="D10" s="269">
        <f t="shared" si="0"/>
        <v>10.007764180093186</v>
      </c>
      <c r="E10" s="269">
        <f>'REC Spend projected'!AG40</f>
        <v>25.145785807611038</v>
      </c>
      <c r="F10" s="269">
        <f>SUM(B10:D10)</f>
        <v>36.97574197448472</v>
      </c>
      <c r="G10" s="580">
        <f>OSW_Annual!X43</f>
        <v>65.71650668831515</v>
      </c>
    </row>
    <row r="11" spans="1:7" x14ac:dyDescent="0.25">
      <c r="A11" s="3" t="s">
        <v>8</v>
      </c>
      <c r="B11" s="269">
        <f t="shared" si="0"/>
        <v>9.638223636321575</v>
      </c>
      <c r="C11" s="269">
        <f t="shared" si="0"/>
        <v>65.139044928849188</v>
      </c>
      <c r="D11" s="269">
        <f t="shared" si="0"/>
        <v>2.2492460793103164</v>
      </c>
      <c r="E11" s="269"/>
      <c r="F11" s="269">
        <f>SUM(B11:D11)</f>
        <v>77.026514644481068</v>
      </c>
      <c r="G11" s="580">
        <f>Storage_Annual!X43</f>
        <v>104.3918516671062</v>
      </c>
    </row>
    <row r="12" spans="1:7" x14ac:dyDescent="0.25">
      <c r="A12" s="3" t="s">
        <v>9</v>
      </c>
      <c r="B12" s="269">
        <f t="shared" si="0"/>
        <v>18.809554832481489</v>
      </c>
      <c r="C12" s="269">
        <f t="shared" si="0"/>
        <v>12.941899848987015</v>
      </c>
      <c r="D12" s="269">
        <f t="shared" si="0"/>
        <v>10.975002439535455</v>
      </c>
      <c r="E12" s="269"/>
      <c r="F12" s="269">
        <f>SUM(B12:D12)</f>
        <v>42.726457121003961</v>
      </c>
      <c r="G12" s="269">
        <f>SooGreen_Annual!X43</f>
        <v>61.027424801933307</v>
      </c>
    </row>
    <row r="13" spans="1:7" x14ac:dyDescent="0.25">
      <c r="A13" s="3" t="s">
        <v>10</v>
      </c>
      <c r="B13" s="269">
        <f t="shared" si="0"/>
        <v>15.546552429698265</v>
      </c>
      <c r="C13" s="269">
        <f t="shared" si="0"/>
        <v>32.252905280966147</v>
      </c>
      <c r="D13" s="269">
        <f t="shared" si="0"/>
        <v>6.9035585063767373</v>
      </c>
      <c r="E13" s="269"/>
      <c r="F13" s="269">
        <f>SUM(B13:D13)</f>
        <v>54.703016217041153</v>
      </c>
      <c r="G13" s="580">
        <f>All_Annual!X43</f>
        <v>77.512789145281403</v>
      </c>
    </row>
    <row r="14" spans="1:7" x14ac:dyDescent="0.25">
      <c r="A14" s="31"/>
    </row>
    <row r="15" spans="1:7" x14ac:dyDescent="0.25">
      <c r="B15" s="170"/>
      <c r="C15" s="170"/>
      <c r="D15" s="170"/>
      <c r="E15" s="170"/>
      <c r="F15" s="170"/>
      <c r="G15" s="170"/>
    </row>
    <row r="16" spans="1:7" x14ac:dyDescent="0.25">
      <c r="B16" s="170"/>
      <c r="C16" s="170"/>
      <c r="D16" s="170"/>
      <c r="E16" s="170"/>
      <c r="F16" s="170"/>
      <c r="G16" s="170"/>
    </row>
    <row r="17" spans="2:7" x14ac:dyDescent="0.25">
      <c r="B17" s="170"/>
      <c r="C17" s="170"/>
      <c r="D17" s="170"/>
      <c r="E17" s="170"/>
      <c r="F17" s="170"/>
      <c r="G17" s="170"/>
    </row>
    <row r="18" spans="2:7" x14ac:dyDescent="0.25">
      <c r="B18" s="170"/>
      <c r="C18" s="170"/>
      <c r="D18" s="170"/>
      <c r="E18" s="170"/>
      <c r="F18" s="170"/>
      <c r="G18" s="170"/>
    </row>
    <row r="19" spans="2:7" x14ac:dyDescent="0.25">
      <c r="B19" s="170"/>
      <c r="C19" s="170"/>
      <c r="D19" s="170"/>
      <c r="E19" s="170"/>
      <c r="F19" s="170"/>
      <c r="G19" s="170"/>
    </row>
    <row r="20" spans="2:7" x14ac:dyDescent="0.25">
      <c r="B20" s="170"/>
      <c r="C20" s="170"/>
      <c r="D20" s="170"/>
      <c r="E20" s="170"/>
      <c r="F20" s="170"/>
      <c r="G20" s="170"/>
    </row>
    <row r="21" spans="2:7" x14ac:dyDescent="0.25">
      <c r="B21" s="170"/>
      <c r="C21" s="170"/>
      <c r="D21" s="170"/>
      <c r="E21" s="170"/>
      <c r="F21" s="170"/>
      <c r="G21" s="170"/>
    </row>
    <row r="22" spans="2:7" x14ac:dyDescent="0.25">
      <c r="B22" s="170"/>
      <c r="C22" s="170"/>
      <c r="D22" s="170"/>
      <c r="E22" s="170"/>
      <c r="F22" s="170"/>
      <c r="G22" s="170"/>
    </row>
    <row r="23" spans="2:7" x14ac:dyDescent="0.25">
      <c r="B23" s="170"/>
      <c r="C23" s="170"/>
      <c r="D23" s="170"/>
      <c r="E23" s="170"/>
      <c r="F23" s="170"/>
      <c r="G23" s="170"/>
    </row>
    <row r="24" spans="2:7" x14ac:dyDescent="0.25">
      <c r="B24" s="170"/>
      <c r="C24" s="170"/>
      <c r="D24" s="170"/>
      <c r="E24" s="170"/>
      <c r="F24" s="170"/>
      <c r="G24" s="170"/>
    </row>
    <row r="25" spans="2:7" x14ac:dyDescent="0.25">
      <c r="B25" s="170"/>
      <c r="C25" s="170"/>
      <c r="D25" s="170"/>
      <c r="E25" s="170"/>
      <c r="F25" s="170"/>
      <c r="G25" s="170"/>
    </row>
    <row r="26" spans="2:7" x14ac:dyDescent="0.25">
      <c r="B26" s="170"/>
      <c r="C26" s="170"/>
      <c r="D26" s="170"/>
      <c r="E26" s="170"/>
      <c r="F26" s="170"/>
      <c r="G26" s="170"/>
    </row>
    <row r="27" spans="2:7" x14ac:dyDescent="0.25">
      <c r="B27" s="170"/>
      <c r="C27" s="170"/>
      <c r="D27" s="170"/>
      <c r="E27" s="170"/>
      <c r="F27" s="170"/>
      <c r="G27" s="170"/>
    </row>
    <row r="28" spans="2:7" x14ac:dyDescent="0.25">
      <c r="B28" s="170"/>
      <c r="C28" s="170"/>
      <c r="D28" s="170"/>
      <c r="E28" s="170"/>
      <c r="F28" s="170"/>
      <c r="G28" s="170"/>
    </row>
    <row r="29" spans="2:7" x14ac:dyDescent="0.25">
      <c r="B29" s="170"/>
      <c r="C29" s="170"/>
      <c r="D29" s="170"/>
      <c r="E29" s="170"/>
      <c r="F29" s="170"/>
      <c r="G29" s="170"/>
    </row>
    <row r="30" spans="2:7" x14ac:dyDescent="0.25">
      <c r="B30" s="170"/>
      <c r="C30" s="170"/>
      <c r="D30" s="170"/>
      <c r="E30" s="170"/>
      <c r="F30" s="170"/>
      <c r="G30" s="170"/>
    </row>
  </sheetData>
  <autoFilter ref="A2:F6" xr:uid="{7AD51013-3C01-452B-9E2F-74633C0FE00B}"/>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56</vt:i4>
      </vt:variant>
      <vt:variant>
        <vt:lpstr>Charts</vt:lpstr>
      </vt:variant>
      <vt:variant>
        <vt:i4>4</vt:i4>
      </vt:variant>
      <vt:variant>
        <vt:lpstr>Named Ranges</vt:lpstr>
      </vt:variant>
      <vt:variant>
        <vt:i4>81</vt:i4>
      </vt:variant>
    </vt:vector>
  </HeadingPairs>
  <TitlesOfParts>
    <vt:vector size="141" baseType="lpstr">
      <vt:lpstr>TOC</vt:lpstr>
      <vt:lpstr>Aurora Output==&gt;</vt:lpstr>
      <vt:lpstr>Energy Mkt Benefits</vt:lpstr>
      <vt:lpstr>Energy Revenue</vt:lpstr>
      <vt:lpstr>Cap Revenue</vt:lpstr>
      <vt:lpstr>Report_Figure 7 Graph Data</vt:lpstr>
      <vt:lpstr>Report_Figure 23_Data</vt:lpstr>
      <vt:lpstr>Report_Figure 24_Data</vt:lpstr>
      <vt:lpstr>Report_Figure 25_Data</vt:lpstr>
      <vt:lpstr>Report_Table 2</vt:lpstr>
      <vt:lpstr>Report_Table 6</vt:lpstr>
      <vt:lpstr>Report_Table 7</vt:lpstr>
      <vt:lpstr>OSW_Annual</vt:lpstr>
      <vt:lpstr>OSW_Backup</vt:lpstr>
      <vt:lpstr>Storage_Annual</vt:lpstr>
      <vt:lpstr>Storage_Backup</vt:lpstr>
      <vt:lpstr>SooGreen_Annual</vt:lpstr>
      <vt:lpstr>Soo Green_Backup</vt:lpstr>
      <vt:lpstr>All_Annual</vt:lpstr>
      <vt:lpstr>REC Spend projected</vt:lpstr>
      <vt:lpstr>Assumptions</vt:lpstr>
      <vt:lpstr>CCR_BTM</vt:lpstr>
      <vt:lpstr>CCR_Utility-Scale</vt:lpstr>
      <vt:lpstr>CCR_OSW</vt:lpstr>
      <vt:lpstr>Report Table 6 Backup==&gt;</vt:lpstr>
      <vt:lpstr>Battery_Comm_Resi_Annual</vt:lpstr>
      <vt:lpstr>Com_Res_MW Breakdown</vt:lpstr>
      <vt:lpstr>BTM_Storage_Backup</vt:lpstr>
      <vt:lpstr>Storage Cost Analysis==&gt;</vt:lpstr>
      <vt:lpstr>Batteries_Utility</vt:lpstr>
      <vt:lpstr>Batteries_Comm_Resi</vt:lpstr>
      <vt:lpstr>ModelFactors</vt:lpstr>
      <vt:lpstr>Data=&gt;</vt:lpstr>
      <vt:lpstr>Storage_Ann_Development</vt:lpstr>
      <vt:lpstr>NREL 2023 ATB==&gt;</vt:lpstr>
      <vt:lpstr>Utility-Scale Battery Storage</vt:lpstr>
      <vt:lpstr>Comm Battery Storage</vt:lpstr>
      <vt:lpstr>Resi Battery Storage</vt:lpstr>
      <vt:lpstr>FRED Graph_22Oct2023</vt:lpstr>
      <vt:lpstr>EIA AEO 2023==&gt;</vt:lpstr>
      <vt:lpstr>EIA_AEO_2023_Table 3</vt:lpstr>
      <vt:lpstr>EIA_AEO_2023_Table 4</vt:lpstr>
      <vt:lpstr>OSW==&gt;</vt:lpstr>
      <vt:lpstr>OSW_Input</vt:lpstr>
      <vt:lpstr>OSW_Data==&gt;</vt:lpstr>
      <vt:lpstr>OSW Learning Scalers</vt:lpstr>
      <vt:lpstr>Table 10</vt:lpstr>
      <vt:lpstr>Table 12_OpEx</vt:lpstr>
      <vt:lpstr>Soo Green==&gt;</vt:lpstr>
      <vt:lpstr>LBNL Solar==&gt;</vt:lpstr>
      <vt:lpstr>Introduction</vt:lpstr>
      <vt:lpstr>LCOE of Utility-Scale PV</vt:lpstr>
      <vt:lpstr>LCOE vs. PPA Price</vt:lpstr>
      <vt:lpstr>LBNL Wind==&gt;</vt:lpstr>
      <vt:lpstr>Introduction_Wind</vt:lpstr>
      <vt:lpstr>Wind LCOE Over Time</vt:lpstr>
      <vt:lpstr>Report_Figure 7</vt:lpstr>
      <vt:lpstr>Report_Figure 23_Nominal</vt:lpstr>
      <vt:lpstr>Report_Figure 24_Real</vt:lpstr>
      <vt:lpstr>Report_Figure 25_NPV</vt:lpstr>
      <vt:lpstr>CCR_BTM!BL</vt:lpstr>
      <vt:lpstr>CCR_OSW!BL</vt:lpstr>
      <vt:lpstr>'CCR_Utility-Scale'!BL</vt:lpstr>
      <vt:lpstr>CCR</vt:lpstr>
      <vt:lpstr>Date_of_Operation</vt:lpstr>
      <vt:lpstr>CCR_BTM!DBR</vt:lpstr>
      <vt:lpstr>CCR_OSW!DBR</vt:lpstr>
      <vt:lpstr>'CCR_Utility-Scale'!DBR</vt:lpstr>
      <vt:lpstr>CCR_BTM!DbtRt</vt:lpstr>
      <vt:lpstr>CCR_OSW!DbtRt</vt:lpstr>
      <vt:lpstr>'CCR_Utility-Scale'!DbtRt</vt:lpstr>
      <vt:lpstr>discount_rate</vt:lpstr>
      <vt:lpstr>CCR_BTM!EITR</vt:lpstr>
      <vt:lpstr>CCR_OSW!EITR</vt:lpstr>
      <vt:lpstr>'CCR_Utility-Scale'!EITR</vt:lpstr>
      <vt:lpstr>CCR_BTM!EqRet</vt:lpstr>
      <vt:lpstr>CCR_OSW!EqRet</vt:lpstr>
      <vt:lpstr>'CCR_Utility-Scale'!EqRet</vt:lpstr>
      <vt:lpstr>Expense_Scale</vt:lpstr>
      <vt:lpstr>CCR_BTM!FITR</vt:lpstr>
      <vt:lpstr>CCR_OSW!FITR</vt:lpstr>
      <vt:lpstr>'CCR_Utility-Scale'!FITR</vt:lpstr>
      <vt:lpstr>CCR_BTM!Inf</vt:lpstr>
      <vt:lpstr>CCR_OSW!Inf</vt:lpstr>
      <vt:lpstr>'CCR_Utility-Scale'!Inf</vt:lpstr>
      <vt:lpstr>CCR_BTM!Int</vt:lpstr>
      <vt:lpstr>CCR_OSW!Int</vt:lpstr>
      <vt:lpstr>'CCR_Utility-Scale'!Int</vt:lpstr>
      <vt:lpstr>CCR_BTM!ITCR</vt:lpstr>
      <vt:lpstr>CCR_OSW!ITCR</vt:lpstr>
      <vt:lpstr>'CCR_Utility-Scale'!ITCR</vt:lpstr>
      <vt:lpstr>million</vt:lpstr>
      <vt:lpstr>CCR_BTM!NCCR</vt:lpstr>
      <vt:lpstr>CCR_OSW!NCCR</vt:lpstr>
      <vt:lpstr>'CCR_Utility-Scale'!NCCR</vt:lpstr>
      <vt:lpstr>CCR_BTM!NWACC</vt:lpstr>
      <vt:lpstr>CCR_OSW!NWACC</vt:lpstr>
      <vt:lpstr>'CCR_Utility-Scale'!NWACC</vt:lpstr>
      <vt:lpstr>All_Annual!Print_Area</vt:lpstr>
      <vt:lpstr>Battery_Comm_Resi_Annual!Print_Area</vt:lpstr>
      <vt:lpstr>BTM_Storage_Backup!Print_Area</vt:lpstr>
      <vt:lpstr>CCR_BTM!Print_Area</vt:lpstr>
      <vt:lpstr>CCR_OSW!Print_Area</vt:lpstr>
      <vt:lpstr>'CCR_Utility-Scale'!Print_Area</vt:lpstr>
      <vt:lpstr>'Com_Res_MW Breakdown'!Print_Area</vt:lpstr>
      <vt:lpstr>ModelFactors!Print_Area</vt:lpstr>
      <vt:lpstr>'OSW Learning Scalers'!Print_Area</vt:lpstr>
      <vt:lpstr>OSW_Annual!Print_Area</vt:lpstr>
      <vt:lpstr>'Report_Figure 7 Graph Data'!Print_Area</vt:lpstr>
      <vt:lpstr>'Report_Table 2'!Print_Area</vt:lpstr>
      <vt:lpstr>'Report_Table 6'!Print_Area</vt:lpstr>
      <vt:lpstr>'Report_Table 7'!Print_Area</vt:lpstr>
      <vt:lpstr>'Soo Green_Backup'!Print_Area</vt:lpstr>
      <vt:lpstr>SooGreen_Annual!Print_Area</vt:lpstr>
      <vt:lpstr>Storage_Annual!Print_Area</vt:lpstr>
      <vt:lpstr>'Table 10'!Print_Area</vt:lpstr>
      <vt:lpstr>'Table 12_OpEx'!Print_Area</vt:lpstr>
      <vt:lpstr>TOC!Print_Area</vt:lpstr>
      <vt:lpstr>All_Annual!Print_Titles</vt:lpstr>
      <vt:lpstr>Battery_Comm_Resi_Annual!Print_Titles</vt:lpstr>
      <vt:lpstr>OSW_Annual!Print_Titles</vt:lpstr>
      <vt:lpstr>SooGreen_Annual!Print_Titles</vt:lpstr>
      <vt:lpstr>Storage_Annual!Print_Titles</vt:lpstr>
      <vt:lpstr>TOC!Print_Titles</vt:lpstr>
      <vt:lpstr>CCR_BTM!PVDpr</vt:lpstr>
      <vt:lpstr>CCR_OSW!PVDpr</vt:lpstr>
      <vt:lpstr>'CCR_Utility-Scale'!PVDpr</vt:lpstr>
      <vt:lpstr>CCR_BTM!RCCR</vt:lpstr>
      <vt:lpstr>CCR_OSW!RCCR</vt:lpstr>
      <vt:lpstr>'CCR_Utility-Scale'!RCCR</vt:lpstr>
      <vt:lpstr>CCR_BTM!RWACC</vt:lpstr>
      <vt:lpstr>CCR_OSW!RWACC</vt:lpstr>
      <vt:lpstr>'CCR_Utility-Scale'!RWACC</vt:lpstr>
      <vt:lpstr>CCR_BTM!SITR</vt:lpstr>
      <vt:lpstr>CCR_OSW!SITR</vt:lpstr>
      <vt:lpstr>'CCR_Utility-Scale'!SITR</vt:lpstr>
      <vt:lpstr>thousand</vt:lpstr>
      <vt:lpstr>CCR_BTM!TL</vt:lpstr>
      <vt:lpstr>CCR_OSW!TL</vt:lpstr>
      <vt:lpstr>'CCR_Utility-Scale'!TL</vt:lpstr>
      <vt:lpstr>Years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2024-02-15T15:51:20Z</dcterms:created>
  <dcterms:modified xsi:type="dcterms:W3CDTF">2024-02-15T16:24:15Z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{586D4E3F-F800-4849-AD39-2EAF29705544}</vt:lpwstr>
  </property>
</Properties>
</file>