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0" windowWidth="19320" windowHeight="10485" tabRatio="725" activeTab="0"/>
  </bookViews>
  <sheets>
    <sheet name="Dashboard" sheetId="1" r:id="rId1"/>
    <sheet name="CREST Inputs" sheetId="2" r:id="rId2"/>
    <sheet name="Input Assumptions" sheetId="3" r:id="rId3"/>
    <sheet name="Cash Flow" sheetId="4" r:id="rId4"/>
    <sheet name="Net Metering Credit" sheetId="5" r:id="rId5"/>
    <sheet name="Ameren IL C&amp;I Rates" sheetId="6" r:id="rId6"/>
    <sheet name="ComEd C&amp;I Rates" sheetId="7" r:id="rId7"/>
    <sheet name="PLC Estimate" sheetId="8" r:id="rId8"/>
  </sheets>
  <definedNames>
    <definedName name="_ftn1" localSheetId="1">'CREST Inputs'!$E$100</definedName>
    <definedName name="_ftnref1" localSheetId="1">'CREST Inputs'!$E$88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olver_adj" localSheetId="1" hidden="1">'CREST Inputs'!$G$51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'CREST Inputs'!$G$56</definedName>
    <definedName name="solver_lhs2" localSheetId="1" hidden="1">'CREST Inputs'!$G$59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'CREST Inputs'!$U$59</definedName>
    <definedName name="solver_pre" localSheetId="1" hidden="1">0.000001</definedName>
    <definedName name="solver_rel1" localSheetId="1" hidden="1">3</definedName>
    <definedName name="solver_rel2" localSheetId="1" hidden="1">3</definedName>
    <definedName name="solver_rhs1" localSheetId="1" hidden="1">'CREST Inputs'!$G$55</definedName>
    <definedName name="solver_rhs2" localSheetId="1" hidden="1">'CREST Inputs'!$G$58</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fullCalcOnLoad="1"/>
</workbook>
</file>

<file path=xl/comments1.xml><?xml version="1.0" encoding="utf-8"?>
<comments xmlns="http://schemas.openxmlformats.org/spreadsheetml/2006/main">
  <authors>
    <author>Author</author>
  </authors>
  <commentList>
    <comment ref="B4" authorId="0">
      <text>
        <r>
          <rPr>
            <b/>
            <sz val="9"/>
            <rFont val="Tahoma"/>
            <family val="2"/>
          </rPr>
          <t>Author:</t>
        </r>
        <r>
          <rPr>
            <sz val="9"/>
            <rFont val="Tahoma"/>
            <family val="2"/>
          </rPr>
          <t xml:space="preserve">
Reflects suggested 50% of NEM value to account for 50% subscriber savings</t>
        </r>
      </text>
    </comment>
  </commentList>
</comments>
</file>

<file path=xl/comments2.xml><?xml version="1.0" encoding="utf-8"?>
<comments xmlns="http://schemas.openxmlformats.org/spreadsheetml/2006/main">
  <authors>
    <author>Author</author>
  </authors>
  <commentList>
    <comment ref="I18" authorId="0">
      <text>
        <r>
          <rPr>
            <b/>
            <sz val="14"/>
            <rFont val="Tahoma"/>
            <family val="2"/>
          </rPr>
          <t>Note:</t>
        </r>
        <r>
          <rPr>
            <sz val="14"/>
            <rFont val="Tahoma"/>
            <family val="2"/>
          </rPr>
          <t xml:space="preserve">
This model alllows the user to input system cost at 1 of 3 levels of detail: "simple", "intermediate" or "complex." Simple offers a single input in $/Watt,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I19" authorId="0">
      <text>
        <r>
          <rPr>
            <b/>
            <sz val="14"/>
            <rFont val="Tahoma"/>
            <family val="2"/>
          </rPr>
          <t>Note:</t>
        </r>
        <r>
          <rPr>
            <sz val="14"/>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8" authorId="0">
      <text>
        <r>
          <rPr>
            <b/>
            <sz val="14"/>
            <rFont val="Tahoma"/>
            <family val="2"/>
          </rPr>
          <t xml:space="preserve">Note:
</t>
        </r>
        <r>
          <rPr>
            <sz val="14"/>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4" authorId="0">
      <text>
        <r>
          <rPr>
            <b/>
            <sz val="14"/>
            <rFont val="Tahoma"/>
            <family val="2"/>
          </rPr>
          <t>Note:</t>
        </r>
        <r>
          <rPr>
            <sz val="14"/>
            <rFont val="Tahoma"/>
            <family val="2"/>
          </rPr>
          <t xml:space="preserve">
Studies have shown that solar projects experience annual degradation in production. For example, see NREL's 2002 study, Degradation Analysis of Weathered Crystalline-Silicon
PV Modules, which estimates between a 0.05% and 1.0% degradation per year. For more information, see: http://www.nrel.gov/docs/fy02osti/31455.pdf
*See bottom of introduction page for a list of links
Input must be =&gt; 0%.
</t>
        </r>
      </text>
    </comment>
    <comment ref="I13" authorId="0">
      <text>
        <r>
          <rPr>
            <b/>
            <sz val="14"/>
            <rFont val="Tahoma"/>
            <family val="2"/>
          </rPr>
          <t>Note:</t>
        </r>
        <r>
          <rPr>
            <sz val="14"/>
            <rFont val="Tahoma"/>
            <family val="2"/>
          </rPr>
          <t xml:space="preserve">
This is a calculation, based on the system size and capacity factor, provided above. 
</t>
        </r>
      </text>
    </comment>
    <comment ref="I26" authorId="0">
      <text>
        <r>
          <rPr>
            <b/>
            <sz val="14"/>
            <rFont val="Tahoma"/>
            <family val="2"/>
          </rPr>
          <t>Note:</t>
        </r>
        <r>
          <rPr>
            <sz val="14"/>
            <rFont val="Tahoma"/>
            <family val="2"/>
          </rPr>
          <t xml:space="preserve">
The total system cost is a calculation, based on the level of detail selected and the assocated inputs.
</t>
        </r>
      </text>
    </comment>
    <comment ref="I69" authorId="0">
      <text>
        <r>
          <rPr>
            <b/>
            <sz val="14"/>
            <rFont val="Tahoma"/>
            <family val="2"/>
          </rPr>
          <t xml:space="preserve">Note:
</t>
        </r>
        <r>
          <rPr>
            <sz val="14"/>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rFont val="Tahoma"/>
            <family val="2"/>
          </rPr>
          <t xml:space="preserve">
</t>
        </r>
      </text>
    </comment>
    <comment ref="I20" authorId="0">
      <text>
        <r>
          <rPr>
            <b/>
            <sz val="14"/>
            <rFont val="Tahoma"/>
            <family val="2"/>
          </rPr>
          <t>Note:</t>
        </r>
        <r>
          <rPr>
            <sz val="14"/>
            <rFont val="Tahoma"/>
            <family val="2"/>
          </rPr>
          <t xml:space="preserve">
"Generation Equipment" should include all hardware, such as panels and inverters. 
Caution: the model assumes that if "Intermediate" is selected as the level of detail section, the "Generation Equipment" row must have a value greater than zero. 
</t>
        </r>
      </text>
    </comment>
    <comment ref="I21" authorId="0">
      <text>
        <r>
          <rPr>
            <b/>
            <sz val="14"/>
            <rFont val="Tahoma"/>
            <family val="2"/>
          </rPr>
          <t>Note:</t>
        </r>
        <r>
          <rPr>
            <sz val="14"/>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I22" authorId="0">
      <text>
        <r>
          <rPr>
            <b/>
            <sz val="14"/>
            <rFont val="Tahoma"/>
            <family val="2"/>
          </rPr>
          <t>Note:</t>
        </r>
        <r>
          <rPr>
            <sz val="14"/>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4" authorId="0">
      <text>
        <r>
          <rPr>
            <b/>
            <sz val="14"/>
            <rFont val="Tahoma"/>
            <family val="2"/>
          </rPr>
          <t>Note:</t>
        </r>
        <r>
          <rPr>
            <sz val="14"/>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I23" authorId="0">
      <text>
        <r>
          <rPr>
            <b/>
            <sz val="14"/>
            <rFont val="Tahoma"/>
            <family val="2"/>
          </rPr>
          <t>Note:</t>
        </r>
        <r>
          <rPr>
            <sz val="8"/>
            <rFont val="Tahoma"/>
            <family val="2"/>
          </rPr>
          <t xml:space="preserve">
</t>
        </r>
        <r>
          <rPr>
            <sz val="14"/>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I25" authorId="0">
      <text>
        <r>
          <rPr>
            <b/>
            <sz val="14"/>
            <rFont val="Tahoma"/>
            <family val="2"/>
          </rPr>
          <t>Note:</t>
        </r>
        <r>
          <rPr>
            <sz val="14"/>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I52" authorId="0">
      <text>
        <r>
          <rPr>
            <b/>
            <sz val="14"/>
            <rFont val="Tahoma"/>
            <family val="2"/>
          </rPr>
          <t>Note:</t>
        </r>
        <r>
          <rPr>
            <sz val="14"/>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I62" authorId="0">
      <text>
        <r>
          <rPr>
            <b/>
            <sz val="14"/>
            <rFont val="Tahoma"/>
            <family val="2"/>
          </rPr>
          <t>Note:</t>
        </r>
        <r>
          <rPr>
            <sz val="14"/>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3" authorId="0">
      <text>
        <r>
          <rPr>
            <b/>
            <sz val="14"/>
            <rFont val="Tahoma"/>
            <family val="2"/>
          </rPr>
          <t>Note:</t>
        </r>
        <r>
          <rPr>
            <sz val="14"/>
            <rFont val="Tahoma"/>
            <family val="2"/>
          </rPr>
          <t xml:space="preserve">
The all-in interest rate is the financing rate provided by the bank or other debt investor.
This input cannot be less than zero.
</t>
        </r>
      </text>
    </comment>
    <comment ref="I36" authorId="0">
      <text>
        <r>
          <rPr>
            <b/>
            <sz val="14"/>
            <rFont val="Tahoma"/>
            <family val="2"/>
          </rPr>
          <t xml:space="preserve">Note:
</t>
        </r>
        <r>
          <rPr>
            <sz val="14"/>
            <rFont val="Tahoma"/>
            <family val="2"/>
          </rPr>
          <t xml:space="preserve">Project owners, or hosts, are required to carry insurance. This input accounts for the estimated cost of insuring the modeling power generating facility.
Input cannot be less than zero.
</t>
        </r>
      </text>
    </comment>
    <comment ref="I38" authorId="0">
      <text>
        <r>
          <rPr>
            <b/>
            <sz val="14"/>
            <rFont val="Tahoma"/>
            <family val="2"/>
          </rPr>
          <t>Note:</t>
        </r>
        <r>
          <rPr>
            <sz val="14"/>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I39" authorId="0">
      <text>
        <r>
          <rPr>
            <b/>
            <sz val="14"/>
            <rFont val="Tahoma"/>
            <family val="2"/>
          </rPr>
          <t xml:space="preserve">Note:
</t>
        </r>
        <r>
          <rPr>
            <sz val="14"/>
            <rFont val="Tahoma"/>
            <family val="2"/>
          </rPr>
          <t>"Property Tax or PILOT" accounts for costs associated with any local taxes incurred by the project. Many states offer tax exemptions for renewable energy systems; to check your local applicability, please visit: http://dsireusa.org/
*See bottom of introduction page for a list of links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t>
        </r>
      </text>
    </comment>
    <comment ref="I42" authorId="0">
      <text>
        <r>
          <rPr>
            <b/>
            <sz val="14"/>
            <rFont val="Tahoma"/>
            <family val="2"/>
          </rPr>
          <t xml:space="preserve">Note:
</t>
        </r>
        <r>
          <rPr>
            <sz val="14"/>
            <rFont val="Tahoma"/>
            <family val="2"/>
          </rPr>
          <t xml:space="preserve">The royalties input accounts for </t>
        </r>
        <r>
          <rPr>
            <b/>
            <u val="single"/>
            <sz val="14"/>
            <rFont val="Tahoma"/>
            <family val="2"/>
          </rPr>
          <t>variable</t>
        </r>
        <r>
          <rPr>
            <sz val="14"/>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rFont val="Tahoma"/>
            <family val="2"/>
          </rPr>
          <t>Inflation is NOT applied to this input.</t>
        </r>
        <r>
          <rPr>
            <sz val="14"/>
            <rFont val="Tahoma"/>
            <family val="2"/>
          </rPr>
          <t xml:space="preserve"> However, if tariff escalation is selected, then the assumed royalty payment will increase over time since it is calculated as a function of revenue over time.</t>
        </r>
        <r>
          <rPr>
            <b/>
            <sz val="14"/>
            <rFont val="Tahoma"/>
            <family val="2"/>
          </rPr>
          <t xml:space="preserve">
</t>
        </r>
        <r>
          <rPr>
            <sz val="14"/>
            <rFont val="Tahoma"/>
            <family val="2"/>
          </rPr>
          <t xml:space="preserve">If your project's royalty payments are not the same over time, then an average annual royalty payment should be calculated externally and entered in this cell. 
This input cannot be less than zero.
</t>
        </r>
        <r>
          <rPr>
            <sz val="8"/>
            <rFont val="Tahoma"/>
            <family val="2"/>
          </rPr>
          <t xml:space="preserve">
</t>
        </r>
      </text>
    </comment>
    <comment ref="S21" authorId="0">
      <text>
        <r>
          <rPr>
            <b/>
            <sz val="14"/>
            <rFont val="Tahoma"/>
            <family val="2"/>
          </rPr>
          <t xml:space="preserve">NOTE:
</t>
        </r>
        <r>
          <rPr>
            <sz val="14"/>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t>
        </r>
        <r>
          <rPr>
            <sz val="8"/>
            <rFont val="Tahoma"/>
            <family val="2"/>
          </rPr>
          <t xml:space="preserve">
</t>
        </r>
      </text>
    </comment>
    <comment ref="S45" authorId="0">
      <text>
        <r>
          <rPr>
            <b/>
            <sz val="14"/>
            <rFont val="Tahoma"/>
            <family val="2"/>
          </rPr>
          <t xml:space="preserve">Note:
</t>
        </r>
        <r>
          <rPr>
            <sz val="14"/>
            <rFont val="Tahoma"/>
            <family val="2"/>
          </rPr>
          <t xml:space="preserve">Include here the dollar per Watt value of any state-specific rebates or cash grants.
Input cannot be less than zero.
</t>
        </r>
      </text>
    </comment>
    <comment ref="S50"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zero and less than the Project Useful Life.
</t>
        </r>
      </text>
    </comment>
    <comment ref="S24"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27"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58" authorId="0">
      <text>
        <r>
          <rPr>
            <b/>
            <sz val="14"/>
            <rFont val="Tahoma"/>
            <family val="2"/>
          </rPr>
          <t>Note:</t>
        </r>
        <r>
          <rPr>
            <sz val="14"/>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 authorId="0">
      <text>
        <r>
          <rPr>
            <b/>
            <sz val="14"/>
            <rFont val="Tahoma"/>
            <family val="2"/>
          </rPr>
          <t xml:space="preserve">Note:
</t>
        </r>
        <r>
          <rPr>
            <sz val="14"/>
            <rFont val="Tahoma"/>
            <family val="2"/>
          </rPr>
          <t xml:space="preserve">Select either PV or Solar Thermal Electric in the drop-down menu to the right.
PV system capacity is modeled in DC and thermal system capacity is modeled in AC, the capacity factor input is modeled in AC for both. In general, the model user should take care to review the units column for each input prior to entering a value and ensure that all modeling inputs are consistent with the units shown for that cell.
</t>
        </r>
      </text>
    </comment>
    <comment ref="S23" authorId="0">
      <text>
        <r>
          <rPr>
            <b/>
            <sz val="14"/>
            <rFont val="Tahoma"/>
            <family val="2"/>
          </rPr>
          <t xml:space="preserve">Note:
</t>
        </r>
        <r>
          <rPr>
            <sz val="14"/>
            <rFont val="Tahoma"/>
            <family val="2"/>
          </rPr>
          <t xml:space="preserve">Calculates the dollar value of the Investment Tax Credit or Cash Grant, if applicable.
</t>
        </r>
      </text>
    </comment>
    <comment ref="S28"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rFont val="Tahoma"/>
            <family val="2"/>
          </rPr>
          <t xml:space="preserve">
</t>
        </r>
      </text>
    </comment>
    <comment ref="S51"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S25"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0" authorId="0">
      <text>
        <r>
          <rPr>
            <b/>
            <sz val="14"/>
            <rFont val="Tahoma"/>
            <family val="2"/>
          </rPr>
          <t xml:space="preserve">Note:
</t>
        </r>
        <r>
          <rPr>
            <sz val="14"/>
            <rFont val="Tahoma"/>
            <family val="2"/>
          </rPr>
          <t xml:space="preserve">Impacts tax treatment of PBI if owner is a taxable entity.
</t>
        </r>
      </text>
    </comment>
    <comment ref="S9" authorId="0">
      <text>
        <r>
          <rPr>
            <b/>
            <sz val="14"/>
            <rFont val="Tahoma"/>
            <family val="2"/>
          </rPr>
          <t xml:space="preserve">Note:
</t>
        </r>
        <r>
          <rPr>
            <sz val="14"/>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7" authorId="0">
      <text>
        <r>
          <rPr>
            <b/>
            <sz val="14"/>
            <rFont val="Tahoma"/>
            <family val="2"/>
          </rPr>
          <t>Note:</t>
        </r>
        <r>
          <rPr>
            <sz val="14"/>
            <rFont val="Tahoma"/>
            <family val="2"/>
          </rPr>
          <t xml:space="preserve">
Calculation based on the total system cost in the cell above and the system size reported. Typical costs (as of 2010) fall between $4/Watt and $10/Watt.</t>
        </r>
        <r>
          <rPr>
            <sz val="8"/>
            <rFont val="Tahoma"/>
            <family val="2"/>
          </rPr>
          <t xml:space="preserve">
</t>
        </r>
      </text>
    </comment>
    <comment ref="S20" authorId="0">
      <text>
        <r>
          <rPr>
            <b/>
            <sz val="14"/>
            <rFont val="Tahoma"/>
            <family val="2"/>
          </rPr>
          <t xml:space="preserve">Note:
</t>
        </r>
        <r>
          <rPr>
            <sz val="14"/>
            <rFont val="Tahoma"/>
            <family val="2"/>
          </rPr>
          <t xml:space="preserve">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
</t>
        </r>
      </text>
    </comment>
    <comment ref="S29" authorId="0">
      <text>
        <r>
          <rPr>
            <b/>
            <sz val="14"/>
            <rFont val="Tahoma"/>
            <family val="2"/>
          </rPr>
          <t xml:space="preserve">Note:
</t>
        </r>
        <r>
          <rPr>
            <sz val="14"/>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S57" authorId="0">
      <text>
        <r>
          <rPr>
            <b/>
            <sz val="14"/>
            <rFont val="Tahoma"/>
            <family val="2"/>
          </rPr>
          <t xml:space="preserve">Note:
</t>
        </r>
        <r>
          <rPr>
            <sz val="14"/>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33" authorId="0">
      <text>
        <r>
          <rPr>
            <b/>
            <sz val="14"/>
            <rFont val="Tahoma"/>
            <family val="2"/>
          </rPr>
          <t xml:space="preserve">Note:
</t>
        </r>
        <r>
          <rPr>
            <sz val="14"/>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I4" authorId="0">
      <text>
        <r>
          <rPr>
            <sz val="14"/>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rFont val="Tahoma"/>
            <family val="2"/>
          </rPr>
          <t xml:space="preserve">
</t>
        </r>
      </text>
    </comment>
    <comment ref="C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S4" authorId="0">
      <text>
        <r>
          <rPr>
            <sz val="14"/>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rFont val="Tahoma"/>
            <family val="2"/>
          </rPr>
          <t xml:space="preserve">
</t>
        </r>
      </text>
    </comment>
    <comment ref="I30" authorId="0">
      <text>
        <r>
          <rPr>
            <b/>
            <sz val="14"/>
            <rFont val="Tahoma"/>
            <family val="2"/>
          </rPr>
          <t>Note:</t>
        </r>
        <r>
          <rPr>
            <sz val="14"/>
            <rFont val="Tahoma"/>
            <family val="2"/>
          </rPr>
          <t xml:space="preserve">
Select either "Simple" or "Intermediate" O&amp;M expense detail using the drop-down menu to the right.
</t>
        </r>
        <r>
          <rPr>
            <sz val="8"/>
            <rFont val="Tahoma"/>
            <family val="2"/>
          </rPr>
          <t xml:space="preserve">
</t>
        </r>
      </text>
    </comment>
    <comment ref="I37" authorId="0">
      <text>
        <r>
          <rPr>
            <b/>
            <sz val="14"/>
            <rFont val="Tahoma"/>
            <family val="2"/>
          </rPr>
          <t xml:space="preserve">Note:
</t>
        </r>
        <r>
          <rPr>
            <sz val="14"/>
            <rFont val="Tahoma"/>
            <family val="2"/>
          </rPr>
          <t xml:space="preserve">This cell calculates the resulting dollar value cost of insurance based on the input above and the project installed cost (net of financing costs).  It is provided simply as a reference for the user.
</t>
        </r>
        <r>
          <rPr>
            <sz val="8"/>
            <rFont val="Tahoma"/>
            <family val="2"/>
          </rPr>
          <t xml:space="preserve">
</t>
        </r>
      </text>
    </comment>
    <comment ref="I34" authorId="0">
      <text>
        <r>
          <rPr>
            <b/>
            <sz val="14"/>
            <rFont val="Tahoma"/>
            <family val="2"/>
          </rPr>
          <t xml:space="preserve">Note:
</t>
        </r>
        <r>
          <rPr>
            <sz val="14"/>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I35" authorId="0">
      <text>
        <r>
          <rPr>
            <b/>
            <sz val="14"/>
            <rFont val="Tahoma"/>
            <family val="2"/>
          </rPr>
          <t xml:space="preserve">Note:
</t>
        </r>
        <r>
          <rPr>
            <sz val="14"/>
            <rFont val="Tahoma"/>
            <family val="2"/>
          </rPr>
          <t xml:space="preserve">This cell provides the inflation rate for the remainder of the project's useful life.
Input must be greater than zero.
</t>
        </r>
      </text>
    </comment>
    <comment ref="I46" authorId="0">
      <text>
        <r>
          <rPr>
            <b/>
            <sz val="14"/>
            <rFont val="Tahoma"/>
            <family val="2"/>
          </rPr>
          <t xml:space="preserve">Note:
</t>
        </r>
        <r>
          <rPr>
            <sz val="14"/>
            <rFont val="Tahoma"/>
            <family val="2"/>
          </rPr>
          <t xml:space="preserve">The # of months from construction start to commercial operation. This input cannot be less than zero.
</t>
        </r>
      </text>
    </comment>
    <comment ref="I47" authorId="0">
      <text>
        <r>
          <rPr>
            <b/>
            <sz val="14"/>
            <rFont val="Tahoma"/>
            <family val="2"/>
          </rPr>
          <t xml:space="preserve">Note:
</t>
        </r>
        <r>
          <rPr>
            <sz val="14"/>
            <rFont val="Tahoma"/>
            <family val="2"/>
          </rPr>
          <t xml:space="preserve">The annual interest rate on construction debt. This input cannot be less than zero.
</t>
        </r>
      </text>
    </comment>
    <comment ref="I48" authorId="0">
      <text>
        <r>
          <rPr>
            <b/>
            <sz val="14"/>
            <rFont val="Tahoma"/>
            <family val="2"/>
          </rPr>
          <t xml:space="preserve">Note:
</t>
        </r>
        <r>
          <rPr>
            <sz val="14"/>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I51" authorId="0">
      <text>
        <r>
          <rPr>
            <b/>
            <sz val="14"/>
            <rFont val="Tahoma"/>
            <family val="2"/>
          </rPr>
          <t xml:space="preserve">Note:
</t>
        </r>
        <r>
          <rPr>
            <sz val="14"/>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rFont val="Tahoma"/>
            <family val="2"/>
          </rPr>
          <t>before</t>
        </r>
        <r>
          <rPr>
            <sz val="14"/>
            <rFont val="Tahoma"/>
            <family val="2"/>
          </rPr>
          <t xml:space="preserve"> the DSCRs no longer "Pass."
If a specific % Debt is desired, </t>
        </r>
        <r>
          <rPr>
            <u val="single"/>
            <sz val="14"/>
            <rFont val="Tahoma"/>
            <family val="2"/>
          </rPr>
          <t>and such % is higher than the maximum sustainable debt</t>
        </r>
        <r>
          <rPr>
            <sz val="14"/>
            <rFont val="Tahoma"/>
            <family val="2"/>
          </rPr>
          <t xml:space="preserve"> (such that it causes the DSCR to "Fail"), then the user must define the % Debt and then manually adjust the "Target After-Tax Equity IRR" upward until the DSCRs are met.  The user should </t>
        </r>
        <r>
          <rPr>
            <b/>
            <sz val="14"/>
            <rFont val="Tahoma"/>
            <family val="2"/>
          </rPr>
          <t>take note</t>
        </r>
        <r>
          <rPr>
            <sz val="14"/>
            <rFont val="Tahoma"/>
            <family val="2"/>
          </rPr>
          <t xml:space="preserve"> that when leverage becomes very high (and the corresponding equity contribution low), the "Target After-Tax Equity IRR" will need to be adjusted to levels exceeding typical commercial returns </t>
        </r>
        <r>
          <rPr>
            <u val="single"/>
            <sz val="14"/>
            <rFont val="Tahoma"/>
            <family val="2"/>
          </rPr>
          <t>in order to maintain the DSCR ratio</t>
        </r>
        <r>
          <rPr>
            <sz val="14"/>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4" authorId="0">
      <text>
        <r>
          <rPr>
            <b/>
            <sz val="14"/>
            <rFont val="Tahoma"/>
            <family val="2"/>
          </rPr>
          <t xml:space="preserve">Note:
</t>
        </r>
        <r>
          <rPr>
            <sz val="14"/>
            <rFont val="Tahoma"/>
            <family val="2"/>
          </rPr>
          <t xml:space="preserve">A one-time fee collected by the lender and calculated as a % of the total loan amount. This value is typically between 1% and 4%.
This input cannot be less than zero.
</t>
        </r>
      </text>
    </comment>
    <comment ref="I64" authorId="0">
      <text>
        <r>
          <rPr>
            <b/>
            <sz val="14"/>
            <rFont val="Tahoma"/>
            <family val="2"/>
          </rPr>
          <t xml:space="preserve">Note:
</t>
        </r>
        <r>
          <rPr>
            <sz val="14"/>
            <rFont val="Tahoma"/>
            <family val="2"/>
          </rPr>
          <t>This cell represents the costs of both equity and debt due diligence (if applicable) and other transaction costs.
Input cannot be less than zero.</t>
        </r>
      </text>
    </comment>
    <comment ref="I73" authorId="0">
      <text>
        <r>
          <rPr>
            <b/>
            <sz val="14"/>
            <rFont val="Tahoma"/>
            <family val="2"/>
          </rPr>
          <t xml:space="preserve">Note:
</t>
        </r>
        <r>
          <rPr>
            <sz val="14"/>
            <rFont val="Tahoma"/>
            <family val="2"/>
          </rPr>
          <t xml:space="preserve">Defines whether the project owner is a taxable or non-taxable entity. This determines the treatment of income taxes and other tax-related items.
</t>
        </r>
      </text>
    </comment>
    <comment ref="I74" authorId="0">
      <text>
        <r>
          <rPr>
            <b/>
            <sz val="14"/>
            <rFont val="Tahoma"/>
            <family val="2"/>
          </rPr>
          <t xml:space="preserve">Note:
</t>
        </r>
        <r>
          <rPr>
            <sz val="14"/>
            <rFont val="Tahoma"/>
            <family val="2"/>
          </rPr>
          <t xml:space="preserve">Defines the project's federal income tax rate, if applicable.
Input cannot be less than zero.
</t>
        </r>
      </text>
    </comment>
    <comment ref="I76" authorId="0">
      <text>
        <r>
          <rPr>
            <b/>
            <sz val="14"/>
            <rFont val="Tahoma"/>
            <family val="2"/>
          </rPr>
          <t xml:space="preserve">Note:
</t>
        </r>
        <r>
          <rPr>
            <sz val="14"/>
            <rFont val="Tahoma"/>
            <family val="2"/>
          </rPr>
          <t xml:space="preserve">Defines the project's state income tax rate, if applicable.
Input cannot be less than zero.
</t>
        </r>
      </text>
    </comment>
    <comment ref="I79" authorId="0">
      <text>
        <r>
          <rPr>
            <b/>
            <sz val="14"/>
            <rFont val="Tahoma"/>
            <family val="2"/>
          </rPr>
          <t xml:space="preserve">Note:
</t>
        </r>
        <r>
          <rPr>
            <sz val="14"/>
            <rFont val="Tahoma"/>
            <family val="2"/>
          </rPr>
          <t>Depreciation accounts for the "use" of equipment for tax purposes. The depreciation inputs are provided in the table to the right and on the Complex Capital Costs tab when this option is selected.</t>
        </r>
      </text>
    </comment>
    <comment ref="I78" authorId="0">
      <text>
        <r>
          <rPr>
            <b/>
            <sz val="14"/>
            <rFont val="Tahoma"/>
            <family val="2"/>
          </rPr>
          <t xml:space="preserve">Note:
</t>
        </r>
        <r>
          <rPr>
            <sz val="14"/>
            <rFont val="Tahoma"/>
            <family val="2"/>
          </rPr>
          <t xml:space="preserve">Takes into account the interaction between federal and state tax rates. This is a calculated value.
</t>
        </r>
      </text>
    </comment>
    <comment ref="S34" authorId="0">
      <text>
        <r>
          <rPr>
            <b/>
            <sz val="14"/>
            <rFont val="Tahoma"/>
            <family val="2"/>
          </rPr>
          <t xml:space="preserve">NOTE:
</t>
        </r>
        <r>
          <rPr>
            <sz val="14"/>
            <rFont val="Tahoma"/>
            <family val="2"/>
          </rPr>
          <t xml:space="preserve">The maximum potential Investment Tax Credit (ITC) benefit is assumed to be 30% of those project costs which are depreciable on the 5-year MACRS schedule.
Note that the state investment tax credit can only be applied to state-specific income tax liability.
</t>
        </r>
      </text>
    </comment>
    <comment ref="S36" authorId="0">
      <text>
        <r>
          <rPr>
            <b/>
            <sz val="14"/>
            <rFont val="Tahoma"/>
            <family val="2"/>
          </rPr>
          <t xml:space="preserve">Note:
</t>
        </r>
        <r>
          <rPr>
            <sz val="14"/>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S47" authorId="0">
      <text>
        <r>
          <rPr>
            <b/>
            <sz val="14"/>
            <rFont val="Tahoma"/>
            <family val="2"/>
          </rPr>
          <t xml:space="preserve">Note:
</t>
        </r>
        <r>
          <rPr>
            <sz val="14"/>
            <rFont val="Tahoma"/>
            <family val="2"/>
          </rPr>
          <t xml:space="preserve">Select here whether state grants are treated as taxable income.  If no, depreciation basis is reduced. 
</t>
        </r>
      </text>
    </comment>
    <comment ref="S38"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41"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3"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S62" authorId="0">
      <text>
        <r>
          <rPr>
            <b/>
            <sz val="14"/>
            <rFont val="Tahoma"/>
            <family val="2"/>
          </rPr>
          <t>Note:</t>
        </r>
        <r>
          <rPr>
            <sz val="14"/>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S63" authorId="0">
      <text>
        <r>
          <rPr>
            <b/>
            <sz val="14"/>
            <rFont val="Tahoma"/>
            <family val="2"/>
          </rPr>
          <t>Note:</t>
        </r>
        <r>
          <rPr>
            <sz val="14"/>
            <rFont val="Tahoma"/>
            <family val="2"/>
          </rPr>
          <t xml:space="preserve">
Calculated value based on the # months of required reserve and the capital structure and associated periodic debt obligation.
</t>
        </r>
      </text>
    </comment>
    <comment ref="S65" authorId="0">
      <text>
        <r>
          <rPr>
            <b/>
            <sz val="14"/>
            <rFont val="Tahoma"/>
            <family val="2"/>
          </rPr>
          <t>Note:</t>
        </r>
        <r>
          <rPr>
            <sz val="14"/>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S66" authorId="0">
      <text>
        <r>
          <rPr>
            <b/>
            <sz val="14"/>
            <rFont val="Tahoma"/>
            <family val="2"/>
          </rPr>
          <t>Note:</t>
        </r>
        <r>
          <rPr>
            <sz val="14"/>
            <rFont val="Tahoma"/>
            <family val="2"/>
          </rPr>
          <t xml:space="preserve">
Calculated value based on the # months of required reserve and all annual operating expenses.
</t>
        </r>
      </text>
    </comment>
    <comment ref="S67" authorId="0">
      <text>
        <r>
          <rPr>
            <b/>
            <sz val="14"/>
            <rFont val="Tahoma"/>
            <family val="2"/>
          </rPr>
          <t>Note:</t>
        </r>
        <r>
          <rPr>
            <sz val="14"/>
            <rFont val="Tahoma"/>
            <family val="2"/>
          </rPr>
          <t xml:space="preserve">
Unused reserves earn interest at this rate. Input cannot be less than zero.
</t>
        </r>
      </text>
    </comment>
    <comment ref="AB73" authorId="0">
      <text>
        <r>
          <rPr>
            <b/>
            <sz val="14"/>
            <rFont val="Tahoma"/>
            <family val="2"/>
          </rPr>
          <t>Note:</t>
        </r>
        <r>
          <rPr>
            <sz val="14"/>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rFont val="Tahoma"/>
            <family val="2"/>
          </rPr>
          <t xml:space="preserve">This row must sum to 100%.
</t>
        </r>
      </text>
    </comment>
    <comment ref="AB74"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9" authorId="0">
      <text>
        <r>
          <rPr>
            <b/>
            <sz val="14"/>
            <rFont val="Tahoma"/>
            <family val="2"/>
          </rPr>
          <t>Note:</t>
        </r>
        <r>
          <rPr>
            <sz val="14"/>
            <rFont val="Tahoma"/>
            <family val="2"/>
          </rPr>
          <t xml:space="preserve">
When the "Complex" capital cost option is selected, each line items is assigned its own depreciation classification using a drop-down menu on the Complex Capital Costs tab.
</t>
        </r>
      </text>
    </comment>
    <comment ref="I55"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I57" authorId="0">
      <text>
        <r>
          <rPr>
            <b/>
            <sz val="14"/>
            <rFont val="Tahoma"/>
            <family val="2"/>
          </rPr>
          <t>Note:</t>
        </r>
        <r>
          <rPr>
            <sz val="14"/>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I61" authorId="0">
      <text>
        <r>
          <rPr>
            <b/>
            <sz val="14"/>
            <rFont val="Tahoma"/>
            <family val="2"/>
          </rPr>
          <t xml:space="preserve">Note:
</t>
        </r>
        <r>
          <rPr>
            <sz val="14"/>
            <rFont val="Tahoma"/>
            <family val="2"/>
          </rPr>
          <t xml:space="preserve">The portion of total project cost funded from equity investors. This cell is a calculation and not an input. It is calculated as 100% minus the "% Debt" entered above.
</t>
        </r>
      </text>
    </comment>
    <comment ref="I75"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52"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the year of 1st Equipment Replacement and less than the Project Useful Life.
</t>
        </r>
      </text>
    </comment>
    <comment ref="I15" authorId="0">
      <text>
        <r>
          <rPr>
            <b/>
            <sz val="14"/>
            <rFont val="Tahoma"/>
            <family val="2"/>
          </rPr>
          <t xml:space="preserve">Note:
</t>
        </r>
        <r>
          <rPr>
            <sz val="14"/>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 authorId="0">
      <text>
        <r>
          <rPr>
            <b/>
            <sz val="14"/>
            <rFont val="Tahoma"/>
            <family val="2"/>
          </rPr>
          <t xml:space="preserve">Note:
</t>
        </r>
        <r>
          <rPr>
            <sz val="14"/>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rFont val="Tahoma"/>
            <family val="2"/>
          </rPr>
          <t xml:space="preserve">
</t>
        </r>
        <r>
          <rPr>
            <sz val="14"/>
            <rFont val="Tahoma"/>
            <family val="2"/>
          </rPr>
          <t xml:space="preserve">
</t>
        </r>
      </text>
    </comment>
    <comment ref="S14" authorId="0">
      <text>
        <r>
          <rPr>
            <b/>
            <sz val="14"/>
            <rFont val="Tahoma"/>
            <family val="2"/>
          </rPr>
          <t xml:space="preserve">Note:
</t>
        </r>
        <r>
          <rPr>
            <sz val="14"/>
            <rFont val="Tahoma"/>
            <family val="2"/>
          </rPr>
          <t xml:space="preserve">This is the </t>
        </r>
        <r>
          <rPr>
            <b/>
            <sz val="14"/>
            <rFont val="Tahoma"/>
            <family val="2"/>
          </rPr>
          <t>combined</t>
        </r>
        <r>
          <rPr>
            <sz val="14"/>
            <rFont val="Tahoma"/>
            <family val="2"/>
          </rPr>
          <t xml:space="preserve"> (or "bundled") market value of energy + capacity + Renewable Energy Credtis (RECs) in the same year in which the project's first enters commercial operation.
This input must be greater than zero.
</t>
        </r>
      </text>
    </comment>
    <comment ref="S13" authorId="0">
      <text>
        <r>
          <rPr>
            <b/>
            <sz val="14"/>
            <rFont val="Tahoma"/>
            <family val="2"/>
          </rPr>
          <t xml:space="preserve">Note:
</t>
        </r>
        <r>
          <rPr>
            <sz val="14"/>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rFont val="Tahoma"/>
            <family val="2"/>
          </rPr>
          <t xml:space="preserve">
</t>
        </r>
        <r>
          <rPr>
            <sz val="14"/>
            <rFont val="Tahoma"/>
            <family val="2"/>
          </rPr>
          <t xml:space="preserve">
</t>
        </r>
      </text>
    </comment>
    <comment ref="S16" authorId="0">
      <text>
        <r>
          <rPr>
            <b/>
            <sz val="14"/>
            <rFont val="Tahoma"/>
            <family val="2"/>
          </rPr>
          <t xml:space="preserve">Note:
</t>
        </r>
        <r>
          <rPr>
            <sz val="14"/>
            <rFont val="Tahoma"/>
            <family val="2"/>
          </rPr>
          <t xml:space="preserve">When "Year-by-Year" market value of production forecast is selected, this link brings the user to another worksheet on which unique annual values may be entered.
</t>
        </r>
      </text>
    </comment>
    <comment ref="S15" authorId="0">
      <text>
        <r>
          <rPr>
            <b/>
            <sz val="14"/>
            <rFont val="Tahoma"/>
            <family val="2"/>
          </rPr>
          <t xml:space="preserve">Note:
</t>
        </r>
        <r>
          <rPr>
            <sz val="14"/>
            <rFont val="Tahoma"/>
            <family val="2"/>
          </rPr>
          <t xml:space="preserve">When the "Year One" forecast methodology is selected, this is the user-defined escalation rate at which the market value of production is expected to change.
Input must be greater than zero.
</t>
        </r>
      </text>
    </comment>
    <comment ref="S30" authorId="0">
      <text>
        <r>
          <rPr>
            <b/>
            <sz val="14"/>
            <rFont val="Tahoma"/>
            <family val="2"/>
          </rPr>
          <t xml:space="preserve">Note:
</t>
        </r>
        <r>
          <rPr>
            <sz val="14"/>
            <rFont val="Tahoma"/>
            <family val="2"/>
          </rPr>
          <t xml:space="preserve">Select here whether additional federal grants (other than the section 1603 payment in lieu of the ITC/PTC) are treated as taxable income. If no, depreciation basis is reduced. 
</t>
        </r>
      </text>
    </comment>
    <comment ref="I40" authorId="0">
      <text>
        <r>
          <rPr>
            <b/>
            <sz val="14"/>
            <rFont val="Tahoma"/>
            <family val="2"/>
          </rPr>
          <t xml:space="preserve">Note:
</t>
        </r>
        <r>
          <rPr>
            <sz val="14"/>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rFont val="Tahoma"/>
            <family val="2"/>
          </rPr>
          <t xml:space="preserve">
</t>
        </r>
      </text>
    </comment>
    <comment ref="I58"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val="single"/>
            <sz val="14"/>
            <rFont val="Tahoma"/>
            <family val="2"/>
          </rPr>
          <t>Average</t>
        </r>
        <r>
          <rPr>
            <sz val="14"/>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val="single"/>
            <sz val="14"/>
            <rFont val="Tahoma"/>
            <family val="2"/>
          </rPr>
          <t>annual minimum</t>
        </r>
        <r>
          <rPr>
            <sz val="14"/>
            <rFont val="Tahoma"/>
            <family val="2"/>
          </rPr>
          <t xml:space="preserve"> DSCR will depend on the specific terms of the loan and the probability-weighting of the production estimate, but will likely be in the range of 1.0 to 1.3. This input must be greater than 1.
</t>
        </r>
      </text>
    </comment>
    <comment ref="I67"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at the project's "Total Installed Cost."
</t>
        </r>
      </text>
    </comment>
    <comment ref="I68"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0"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7"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F7" authorId="0">
      <text>
        <r>
          <rPr>
            <b/>
            <sz val="8"/>
            <rFont val="Tahoma"/>
            <family val="2"/>
          </rPr>
          <t>See "unit" definitions at the bottom of this worksheet.</t>
        </r>
        <r>
          <rPr>
            <sz val="8"/>
            <rFont val="Tahoma"/>
            <family val="2"/>
          </rPr>
          <t xml:space="preserve">
</t>
        </r>
      </text>
    </comment>
    <comment ref="S19" authorId="0">
      <text>
        <r>
          <rPr>
            <b/>
            <sz val="14"/>
            <rFont val="Tahoma"/>
            <family val="2"/>
          </rPr>
          <t xml:space="preserve">Note:
</t>
        </r>
        <r>
          <rPr>
            <sz val="14"/>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AB75"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6"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7"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8"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I63" authorId="0">
      <text>
        <r>
          <rPr>
            <b/>
            <sz val="14"/>
            <rFont val="Tahoma"/>
            <family val="2"/>
          </rPr>
          <t xml:space="preserve">Note:
</t>
        </r>
        <r>
          <rPr>
            <sz val="14"/>
            <rFont val="Tahoma"/>
            <family val="2"/>
          </rPr>
          <t xml:space="preserve">The weighted average cost of capital combines the after-tax cost of both equity and debt in proportion to their use, and is calculated here for reference.
</t>
        </r>
      </text>
    </comment>
    <comment ref="I43" authorId="0">
      <text>
        <r>
          <rPr>
            <b/>
            <sz val="14"/>
            <rFont val="Tahoma"/>
            <family val="2"/>
          </rPr>
          <t xml:space="preserve">Note:
</t>
        </r>
        <r>
          <rPr>
            <sz val="14"/>
            <rFont val="Tahoma"/>
            <family val="2"/>
          </rPr>
          <t xml:space="preserve">This cell calculates the resulting dollar value cost of royalties paid to landowners or other stakeholders based on the input above and project revenue.  It is provided simply as a reference for the user.
</t>
        </r>
        <r>
          <rPr>
            <sz val="8"/>
            <rFont val="Tahoma"/>
            <family val="2"/>
          </rPr>
          <t xml:space="preserve">
</t>
        </r>
      </text>
    </comment>
    <comment ref="I59" authorId="0">
      <text>
        <r>
          <rPr>
            <b/>
            <sz val="14"/>
            <rFont val="Tahoma"/>
            <family val="2"/>
          </rPr>
          <t>Note:</t>
        </r>
        <r>
          <rPr>
            <sz val="14"/>
            <rFont val="Tahoma"/>
            <family val="2"/>
          </rPr>
          <t xml:space="preserve">
If "#N/A" appears, F9 should be pressed until the calculated COE achieves it's final value.</t>
        </r>
      </text>
    </comment>
    <comment ref="I56" authorId="0">
      <text>
        <r>
          <rPr>
            <b/>
            <sz val="14"/>
            <rFont val="Tahoma"/>
            <family val="2"/>
          </rPr>
          <t>Note:</t>
        </r>
        <r>
          <rPr>
            <sz val="14"/>
            <rFont val="Tahoma"/>
            <family val="2"/>
          </rPr>
          <t xml:space="preserve">
If "#N/A" appears, F9 should be pressed until the calculated COE achieves it's final value.</t>
        </r>
      </text>
    </comment>
    <comment ref="I60" authorId="0">
      <text>
        <r>
          <rPr>
            <b/>
            <sz val="14"/>
            <rFont val="Tahoma"/>
            <family val="2"/>
          </rPr>
          <t>Note:</t>
        </r>
        <r>
          <rPr>
            <sz val="14"/>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F17" authorId="0">
      <text>
        <r>
          <rPr>
            <b/>
            <sz val="8"/>
            <rFont val="Tahoma"/>
            <family val="2"/>
          </rPr>
          <t>See "unit" definitions at the bottom of this worksheet.</t>
        </r>
        <r>
          <rPr>
            <sz val="8"/>
            <rFont val="Tahoma"/>
            <family val="2"/>
          </rPr>
          <t xml:space="preserve">
</t>
        </r>
      </text>
    </comment>
    <comment ref="F29" authorId="0">
      <text>
        <r>
          <rPr>
            <b/>
            <sz val="8"/>
            <rFont val="Tahoma"/>
            <family val="2"/>
          </rPr>
          <t>See "unit" definitions at the bottom of this worksheet.</t>
        </r>
        <r>
          <rPr>
            <sz val="8"/>
            <rFont val="Tahoma"/>
            <family val="2"/>
          </rPr>
          <t xml:space="preserve">
</t>
        </r>
      </text>
    </comment>
    <comment ref="F45" authorId="0">
      <text>
        <r>
          <rPr>
            <b/>
            <sz val="8"/>
            <rFont val="Tahoma"/>
            <family val="2"/>
          </rPr>
          <t>See "unit" definitions at the bottom of this worksheet.</t>
        </r>
        <r>
          <rPr>
            <sz val="8"/>
            <rFont val="Tahoma"/>
            <family val="2"/>
          </rPr>
          <t xml:space="preserve">
</t>
        </r>
      </text>
    </comment>
    <comment ref="F50" authorId="0">
      <text>
        <r>
          <rPr>
            <b/>
            <sz val="8"/>
            <rFont val="Tahoma"/>
            <family val="2"/>
          </rPr>
          <t>See "unit" definitions at the bottom of this worksheet.</t>
        </r>
        <r>
          <rPr>
            <sz val="8"/>
            <rFont val="Tahoma"/>
            <family val="2"/>
          </rPr>
          <t xml:space="preserve">
</t>
        </r>
      </text>
    </comment>
    <comment ref="F72" authorId="0">
      <text>
        <r>
          <rPr>
            <b/>
            <sz val="8"/>
            <rFont val="Tahoma"/>
            <family val="2"/>
          </rPr>
          <t>See "unit" definitions at the bottom of this worksheet.</t>
        </r>
        <r>
          <rPr>
            <sz val="8"/>
            <rFont val="Tahoma"/>
            <family val="2"/>
          </rPr>
          <t xml:space="preserve">
</t>
        </r>
      </text>
    </comment>
    <comment ref="P7" authorId="0">
      <text>
        <r>
          <rPr>
            <b/>
            <sz val="8"/>
            <rFont val="Tahoma"/>
            <family val="2"/>
          </rPr>
          <t>See "unit" definitions at the bottom of this worksheet.</t>
        </r>
        <r>
          <rPr>
            <sz val="8"/>
            <rFont val="Tahoma"/>
            <family val="2"/>
          </rPr>
          <t xml:space="preserve">
</t>
        </r>
      </text>
    </comment>
    <comment ref="P18" authorId="0">
      <text>
        <r>
          <rPr>
            <b/>
            <sz val="8"/>
            <rFont val="Tahoma"/>
            <family val="2"/>
          </rPr>
          <t>See "unit" definitions at the bottom of this worksheet.</t>
        </r>
        <r>
          <rPr>
            <sz val="8"/>
            <rFont val="Tahoma"/>
            <family val="2"/>
          </rPr>
          <t xml:space="preserve">
</t>
        </r>
      </text>
    </comment>
    <comment ref="P32" authorId="0">
      <text>
        <r>
          <rPr>
            <b/>
            <sz val="8"/>
            <rFont val="Tahoma"/>
            <family val="2"/>
          </rPr>
          <t>See "unit" definitions at the bottom of this worksheet.</t>
        </r>
        <r>
          <rPr>
            <sz val="8"/>
            <rFont val="Tahoma"/>
            <family val="2"/>
          </rPr>
          <t xml:space="preserve">
</t>
        </r>
      </text>
    </comment>
    <comment ref="P55" authorId="0">
      <text>
        <r>
          <rPr>
            <b/>
            <sz val="8"/>
            <rFont val="Tahoma"/>
            <family val="2"/>
          </rPr>
          <t>See "unit" definitions at the bottom of this worksheet.</t>
        </r>
        <r>
          <rPr>
            <sz val="8"/>
            <rFont val="Tahoma"/>
            <family val="2"/>
          </rPr>
          <t xml:space="preserve">
</t>
        </r>
      </text>
    </comment>
    <comment ref="P60" authorId="0">
      <text>
        <r>
          <rPr>
            <b/>
            <sz val="8"/>
            <rFont val="Tahoma"/>
            <family val="2"/>
          </rPr>
          <t>See "unit" definitions at the bottom of this worksheet.</t>
        </r>
        <r>
          <rPr>
            <sz val="8"/>
            <rFont val="Tahoma"/>
            <family val="2"/>
          </rPr>
          <t xml:space="preserve">
</t>
        </r>
      </text>
    </comment>
    <comment ref="I41" authorId="0">
      <text>
        <r>
          <rPr>
            <b/>
            <sz val="14"/>
            <rFont val="Tahoma"/>
            <family val="2"/>
          </rPr>
          <t xml:space="preserve">Note:
</t>
        </r>
        <r>
          <rPr>
            <sz val="14"/>
            <rFont val="Tahoma"/>
            <family val="2"/>
          </rPr>
          <t xml:space="preserve">The Land Lease input represents </t>
        </r>
        <r>
          <rPr>
            <b/>
            <u val="single"/>
            <sz val="14"/>
            <rFont val="Tahoma"/>
            <family val="2"/>
          </rPr>
          <t>fixed</t>
        </r>
        <r>
          <rPr>
            <sz val="14"/>
            <rFont val="Tahoma"/>
            <family val="2"/>
          </rPr>
          <t xml:space="preserve"> payments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70" authorId="0">
      <text>
        <r>
          <rPr>
            <b/>
            <sz val="14"/>
            <rFont val="Tahoma"/>
            <family val="2"/>
          </rPr>
          <t>Note:</t>
        </r>
        <r>
          <rPr>
            <sz val="14"/>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S71" authorId="0">
      <text>
        <r>
          <rPr>
            <b/>
            <sz val="14"/>
            <rFont val="Tahoma"/>
            <family val="2"/>
          </rPr>
          <t>Note:</t>
        </r>
        <r>
          <rPr>
            <sz val="14"/>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M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I33" authorId="0">
      <text>
        <r>
          <rPr>
            <b/>
            <sz val="14"/>
            <rFont val="Tahoma"/>
            <family val="2"/>
          </rPr>
          <t>Note:</t>
        </r>
        <r>
          <rPr>
            <sz val="14"/>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10" authorId="0">
      <text>
        <r>
          <rPr>
            <b/>
            <sz val="14"/>
            <rFont val="Tahoma"/>
            <family val="2"/>
          </rPr>
          <t xml:space="preserve">Note:
</t>
        </r>
        <r>
          <rPr>
            <sz val="14"/>
            <rFont val="Tahoma"/>
            <family val="2"/>
          </rPr>
          <t xml:space="preserve">To calculate a </t>
        </r>
        <r>
          <rPr>
            <b/>
            <sz val="14"/>
            <rFont val="Tahoma"/>
            <family val="2"/>
          </rPr>
          <t>nominal levelized tariff rate</t>
        </r>
        <r>
          <rPr>
            <sz val="14"/>
            <rFont val="Tahoma"/>
            <family val="2"/>
          </rPr>
          <t xml:space="preserve">, the "feed-in tariff escalation rate" field should be </t>
        </r>
        <r>
          <rPr>
            <b/>
            <sz val="14"/>
            <rFont val="Tahoma"/>
            <family val="2"/>
          </rPr>
          <t>set to zero</t>
        </r>
        <r>
          <rPr>
            <sz val="14"/>
            <rFont val="Tahoma"/>
            <family val="2"/>
          </rPr>
          <t>.</t>
        </r>
        <r>
          <rPr>
            <b/>
            <sz val="14"/>
            <rFont val="Tahoma"/>
            <family val="2"/>
          </rPr>
          <t xml:space="preserve">
</t>
        </r>
        <r>
          <rPr>
            <sz val="14"/>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rFont val="Tahoma"/>
            <family val="2"/>
          </rPr>
          <t>Caution:</t>
        </r>
        <r>
          <rPr>
            <sz val="14"/>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S53"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31" authorId="0">
      <text>
        <r>
          <rPr>
            <b/>
            <sz val="14"/>
            <rFont val="Tahoma"/>
            <family val="2"/>
          </rPr>
          <t>Note:</t>
        </r>
        <r>
          <rPr>
            <sz val="14"/>
            <rFont val="Tahoma"/>
            <family val="2"/>
          </rPr>
          <t xml:space="preserve">
If "Simple" is selected in the cell above, then this input should reflect the </t>
        </r>
        <r>
          <rPr>
            <b/>
            <u val="single"/>
            <sz val="14"/>
            <rFont val="Tahoma"/>
            <family val="2"/>
          </rPr>
          <t>total</t>
        </r>
        <r>
          <rPr>
            <sz val="14"/>
            <rFont val="Tahoma"/>
            <family val="2"/>
          </rPr>
          <t xml:space="preserve"> expected </t>
        </r>
        <r>
          <rPr>
            <b/>
            <u val="single"/>
            <sz val="14"/>
            <rFont val="Tahoma"/>
            <family val="2"/>
          </rPr>
          <t>fixed</t>
        </r>
        <r>
          <rPr>
            <sz val="14"/>
            <rFont val="Tahoma"/>
            <family val="2"/>
          </rPr>
          <t xml:space="preserve"> cost of project operations and maintenance, in $/kW-yr.  This </t>
        </r>
        <r>
          <rPr>
            <u val="single"/>
            <sz val="14"/>
            <rFont val="Tahoma"/>
            <family val="2"/>
          </rPr>
          <t>includes</t>
        </r>
        <r>
          <rPr>
            <sz val="14"/>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I32" authorId="0">
      <text>
        <r>
          <rPr>
            <b/>
            <sz val="14"/>
            <rFont val="Tahoma"/>
            <family val="2"/>
          </rPr>
          <t>Note:</t>
        </r>
        <r>
          <rPr>
            <sz val="14"/>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val="single"/>
            <sz val="14"/>
            <rFont val="Tahoma"/>
            <family val="2"/>
          </rPr>
          <t>if</t>
        </r>
        <r>
          <rPr>
            <sz val="14"/>
            <rFont val="Tahoma"/>
            <family val="2"/>
          </rPr>
          <t xml:space="preserve"> such annual expenses are not already accounted for in the fixed cost input above.
Input cannot be less than zero.
</t>
        </r>
      </text>
    </comment>
    <comment ref="S37" authorId="0">
      <text>
        <r>
          <rPr>
            <b/>
            <sz val="14"/>
            <rFont val="Tahoma"/>
            <family val="2"/>
          </rPr>
          <t xml:space="preserve">Note:
</t>
        </r>
        <r>
          <rPr>
            <sz val="14"/>
            <rFont val="Tahoma"/>
            <family val="2"/>
          </rPr>
          <t xml:space="preserve">Calculates the dollar value of the State Investment Tax Credit, if applicable.
</t>
        </r>
      </text>
    </comment>
    <comment ref="I9" authorId="0">
      <text>
        <r>
          <rPr>
            <b/>
            <sz val="14"/>
            <rFont val="Tahoma"/>
            <family val="2"/>
          </rPr>
          <t>Note:</t>
        </r>
        <r>
          <rPr>
            <sz val="14"/>
            <rFont val="Tahoma"/>
            <family val="2"/>
          </rPr>
          <t xml:space="preserve">
This input toggle allows the user to elect whether to provide his/her own Net Capacity Factor (the "Custom" option) or to select the state in which the project resides and allow the model to populate the Net Capacity Factor using a statewide average value provided by NREL (the "State Average" option).
If State Average is selected, it should be noted that individual project capacity factors will vary based on site-specific conditions.</t>
        </r>
      </text>
    </comment>
    <comment ref="I10" authorId="0">
      <text>
        <r>
          <rPr>
            <b/>
            <sz val="14"/>
            <rFont val="Tahoma"/>
            <family val="2"/>
          </rPr>
          <t>Note:</t>
        </r>
        <r>
          <rPr>
            <sz val="14"/>
            <rFont val="Tahoma"/>
            <family val="2"/>
          </rPr>
          <t xml:space="preserve">
Select the state in which the project has been, or is expected to be, installed.
It should be noted that individual project capacity factors will vary based on site-specific conditions.
The net capacity factor provided assumes fixed tilt, facing south at 25 degrees. Source = PV Watts</t>
        </r>
      </text>
    </comment>
    <comment ref="I11" authorId="0">
      <text>
        <r>
          <rPr>
            <b/>
            <sz val="14"/>
            <rFont val="Tahoma"/>
            <family val="2"/>
          </rPr>
          <t>Note:</t>
        </r>
        <r>
          <rPr>
            <sz val="14"/>
            <rFont val="Tahoma"/>
            <family val="2"/>
          </rPr>
          <t xml:space="preserve">
If the "Custom" option is selected, then enter the projects (expected) Net Capacity Factor here.
</t>
        </r>
      </text>
    </comment>
    <comment ref="S46" authorId="0">
      <text>
        <r>
          <rPr>
            <b/>
            <sz val="14"/>
            <rFont val="Tahoma"/>
            <family val="2"/>
          </rPr>
          <t xml:space="preserve">Note:
</t>
        </r>
        <r>
          <rPr>
            <sz val="14"/>
            <rFont val="Tahoma"/>
            <family val="2"/>
          </rPr>
          <t xml:space="preserve">Enter here the maximum dollar value ("cap") of any state-specific rebate or grant.
If no cap exists, enter zero.
Input cannot be less than zero.
</t>
        </r>
      </text>
    </comment>
    <comment ref="S39" authorId="0">
      <text>
        <r>
          <rPr>
            <b/>
            <sz val="14"/>
            <rFont val="Tahoma"/>
            <family val="2"/>
          </rPr>
          <t xml:space="preserve">Note:
</t>
        </r>
        <r>
          <rPr>
            <sz val="14"/>
            <rFont val="Tahoma"/>
            <family val="2"/>
          </rPr>
          <t xml:space="preserve">Enter here the annual dollar value ("cap") of any state-specific production incentive.
</t>
        </r>
        <r>
          <rPr>
            <b/>
            <sz val="16"/>
            <rFont val="Tahoma"/>
            <family val="2"/>
          </rPr>
          <t>If no cap exists, enter zero.</t>
        </r>
        <r>
          <rPr>
            <sz val="14"/>
            <rFont val="Tahoma"/>
            <family val="2"/>
          </rPr>
          <t xml:space="preserve">
Input cannot be less than zero.
</t>
        </r>
      </text>
    </comment>
    <comment ref="G76" authorId="0">
      <text>
        <r>
          <rPr>
            <b/>
            <sz val="9"/>
            <rFont val="Tahoma"/>
            <family val="2"/>
          </rPr>
          <t>Author:</t>
        </r>
        <r>
          <rPr>
            <sz val="9"/>
            <rFont val="Tahoma"/>
            <family val="2"/>
          </rPr>
          <t xml:space="preserve">
9.50% per IL income tax rates
http://www.revenue.state.il.us/TaxRates/Income.htm
http://tax.illinois.gov/localgovernment/overview/howdisbursed/replacement.htm
</t>
        </r>
      </text>
    </comment>
    <comment ref="Q21" authorId="0">
      <text>
        <r>
          <rPr>
            <b/>
            <sz val="9"/>
            <rFont val="Tahoma"/>
            <family val="2"/>
          </rPr>
          <t>Author:</t>
        </r>
        <r>
          <rPr>
            <sz val="9"/>
            <rFont val="Tahoma"/>
            <family val="2"/>
          </rPr>
          <t xml:space="preserve">
Set to 30% based on current ITC and assumption all projects are built before 2020 and receive the full credit</t>
        </r>
      </text>
    </comment>
    <comment ref="Q51" authorId="0">
      <text>
        <r>
          <rPr>
            <b/>
            <sz val="9"/>
            <rFont val="Tahoma"/>
            <family val="2"/>
          </rPr>
          <t>Author:</t>
        </r>
        <r>
          <rPr>
            <sz val="9"/>
            <rFont val="Tahoma"/>
            <family val="2"/>
          </rPr>
          <t xml:space="preserve">
Source: NREL Q1  2017 benchmarking study, slide 24.
https://www.nrel.gov/docs/fy17osti/68580.pdf</t>
        </r>
      </text>
    </comment>
    <comment ref="G53" authorId="0">
      <text>
        <r>
          <rPr>
            <b/>
            <sz val="9"/>
            <rFont val="Tahoma"/>
            <family val="2"/>
          </rPr>
          <t xml:space="preserve">Author:
</t>
        </r>
        <r>
          <rPr>
            <sz val="9"/>
            <rFont val="Tahoma"/>
            <family val="2"/>
          </rPr>
          <t>Source: Elevate Energy Data Response 6/26/2017</t>
        </r>
      </text>
    </comment>
    <comment ref="Q53" authorId="0">
      <text>
        <r>
          <rPr>
            <b/>
            <sz val="9"/>
            <rFont val="Tahoma"/>
            <family val="2"/>
          </rPr>
          <t>Author:</t>
        </r>
        <r>
          <rPr>
            <sz val="9"/>
            <rFont val="Tahoma"/>
            <family val="2"/>
          </rPr>
          <t xml:space="preserve">
Based on NREL Q1  benchmarking study, slide 19.
http://www.nrel.gov/docs/fy16osti/67142.pdf</t>
        </r>
      </text>
    </comment>
    <comment ref="P71" authorId="0">
      <text>
        <r>
          <rPr>
            <b/>
            <sz val="9"/>
            <rFont val="Tahoma"/>
            <family val="2"/>
          </rPr>
          <t>Author:</t>
        </r>
        <r>
          <rPr>
            <sz val="9"/>
            <rFont val="Tahoma"/>
            <family val="2"/>
          </rPr>
          <t xml:space="preserve">
Source: Public Law 115-97</t>
        </r>
      </text>
    </comment>
    <comment ref="Q45" authorId="0">
      <text>
        <r>
          <rPr>
            <b/>
            <sz val="9"/>
            <rFont val="Tahoma"/>
            <family val="2"/>
          </rPr>
          <t>Author:</t>
        </r>
        <r>
          <rPr>
            <sz val="9"/>
            <rFont val="Tahoma"/>
            <family val="2"/>
          </rPr>
          <t xml:space="preserve">
Smart Inverter Rebate discussed in Section 6.8.2 </t>
        </r>
      </text>
    </comment>
    <comment ref="G42" authorId="0">
      <text>
        <r>
          <rPr>
            <b/>
            <sz val="9"/>
            <rFont val="Tahoma"/>
            <family val="2"/>
          </rPr>
          <t>Author:</t>
        </r>
        <r>
          <rPr>
            <sz val="9"/>
            <rFont val="Tahoma"/>
            <family val="2"/>
          </rPr>
          <t xml:space="preserve">
SEIA recommended this be set to 0% </t>
        </r>
      </text>
    </comment>
    <comment ref="G38" authorId="0">
      <text>
        <r>
          <rPr>
            <b/>
            <sz val="9"/>
            <rFont val="Tahoma"/>
            <family val="2"/>
          </rPr>
          <t>Author:</t>
        </r>
        <r>
          <rPr>
            <sz val="9"/>
            <rFont val="Tahoma"/>
            <family val="2"/>
          </rPr>
          <t xml:space="preserve">
Source: SEIA comment on Draft LTRRPP, page 7. SEIA proposed asset management $5 per kW DC per year.</t>
        </r>
      </text>
    </comment>
    <comment ref="G69" authorId="0">
      <text>
        <r>
          <rPr>
            <b/>
            <sz val="9"/>
            <rFont val="Tahoma"/>
            <family val="2"/>
          </rPr>
          <t>Author:</t>
        </r>
        <r>
          <rPr>
            <sz val="9"/>
            <rFont val="Tahoma"/>
            <family val="2"/>
          </rPr>
          <t xml:space="preserve">
Value of the smart inverter rebate</t>
        </r>
      </text>
    </comment>
    <comment ref="G12" authorId="0">
      <text>
        <r>
          <rPr>
            <b/>
            <sz val="9"/>
            <rFont val="Tahoma"/>
            <family val="2"/>
          </rPr>
          <t xml:space="preserve">Author:
</t>
        </r>
        <r>
          <rPr>
            <sz val="9"/>
            <rFont val="Tahoma"/>
            <family val="2"/>
          </rPr>
          <t>Source: Joint Solar Parties Objections at 31-33</t>
        </r>
      </text>
    </comment>
    <comment ref="G31" authorId="0">
      <text>
        <r>
          <rPr>
            <b/>
            <sz val="9"/>
            <rFont val="Tahoma"/>
            <family val="2"/>
          </rPr>
          <t>Author:</t>
        </r>
        <r>
          <rPr>
            <sz val="9"/>
            <rFont val="Tahoma"/>
            <family val="2"/>
          </rPr>
          <t xml:space="preserve">
Source: SEIA comment on Draft LTRRPP, page 7.</t>
        </r>
      </text>
    </comment>
    <comment ref="Q14" authorId="0">
      <text>
        <r>
          <rPr>
            <b/>
            <sz val="9"/>
            <rFont val="Tahoma"/>
            <family val="2"/>
          </rPr>
          <t>Author:</t>
        </r>
        <r>
          <rPr>
            <sz val="9"/>
            <rFont val="Tahoma"/>
            <family val="2"/>
          </rPr>
          <t xml:space="preserve">
Source: SEIA comment on Draft LTRRPP, page 10.</t>
        </r>
      </text>
    </comment>
    <comment ref="G36" authorId="0">
      <text>
        <r>
          <rPr>
            <b/>
            <sz val="9"/>
            <rFont val="Tahoma"/>
            <family val="2"/>
          </rPr>
          <t>Author:</t>
        </r>
        <r>
          <rPr>
            <sz val="9"/>
            <rFont val="Tahoma"/>
            <family val="2"/>
          </rPr>
          <t xml:space="preserve">
Source: SEIA comment on Draft LTRRPP, page 5.</t>
        </r>
      </text>
    </comment>
    <comment ref="G40" authorId="0">
      <text>
        <r>
          <rPr>
            <b/>
            <sz val="9"/>
            <rFont val="Tahoma"/>
            <family val="2"/>
          </rPr>
          <t>Author:</t>
        </r>
        <r>
          <rPr>
            <sz val="9"/>
            <rFont val="Tahoma"/>
            <family val="2"/>
          </rPr>
          <t xml:space="preserve">
Source: SEIA comment on Draft LTRRPP, page 5.</t>
        </r>
      </text>
    </comment>
    <comment ref="G74" authorId="0">
      <text>
        <r>
          <rPr>
            <b/>
            <sz val="9"/>
            <rFont val="Tahoma"/>
            <family val="2"/>
          </rPr>
          <t>Author:</t>
        </r>
        <r>
          <rPr>
            <sz val="9"/>
            <rFont val="Tahoma"/>
            <family val="2"/>
          </rPr>
          <t xml:space="preserve">
Source: Public Law 115-97 </t>
        </r>
      </text>
    </comment>
  </commentList>
</comments>
</file>

<file path=xl/comments3.xml><?xml version="1.0" encoding="utf-8"?>
<comments xmlns="http://schemas.openxmlformats.org/spreadsheetml/2006/main">
  <authors>
    <author>Author</author>
  </authors>
  <commentList>
    <comment ref="D5" authorId="0">
      <text>
        <r>
          <rPr>
            <b/>
            <sz val="9"/>
            <rFont val="Tahoma"/>
            <family val="2"/>
          </rPr>
          <t>Author:</t>
        </r>
        <r>
          <rPr>
            <sz val="9"/>
            <rFont val="Tahoma"/>
            <family val="2"/>
          </rPr>
          <t xml:space="preserve">
Source: Joint Solar Parties Objections at 31-33</t>
        </r>
      </text>
    </comment>
    <comment ref="D11" authorId="0">
      <text>
        <r>
          <rPr>
            <b/>
            <sz val="9"/>
            <rFont val="Tahoma"/>
            <family val="2"/>
          </rPr>
          <t>Author:</t>
        </r>
        <r>
          <rPr>
            <sz val="9"/>
            <rFont val="Tahoma"/>
            <family val="2"/>
          </rPr>
          <t xml:space="preserve">
Source: SEIA comment on Draft LTRRPP, page 13.</t>
        </r>
      </text>
    </comment>
    <comment ref="D8" authorId="0">
      <text>
        <r>
          <rPr>
            <b/>
            <sz val="9"/>
            <rFont val="Tahoma"/>
            <family val="2"/>
          </rPr>
          <t xml:space="preserve">Author:
</t>
        </r>
        <r>
          <rPr>
            <sz val="9"/>
            <rFont val="Tahoma"/>
            <family val="2"/>
          </rPr>
          <t>Source: Calculated WACC using 6% Interest Rate on Term Debt</t>
        </r>
      </text>
    </comment>
    <comment ref="D6" authorId="0">
      <text>
        <r>
          <rPr>
            <b/>
            <sz val="9"/>
            <rFont val="Tahoma"/>
            <family val="2"/>
          </rPr>
          <t>Author:</t>
        </r>
        <r>
          <rPr>
            <sz val="9"/>
            <rFont val="Tahoma"/>
            <family val="2"/>
          </rPr>
          <t xml:space="preserve">
Source: Joint Solar Parties Response at 31</t>
        </r>
      </text>
    </comment>
  </commentList>
</comments>
</file>

<file path=xl/comments4.xml><?xml version="1.0" encoding="utf-8"?>
<comments xmlns="http://schemas.openxmlformats.org/spreadsheetml/2006/main">
  <authors>
    <author>Author</author>
  </authors>
  <commentList>
    <comment ref="B197" authorId="0">
      <text>
        <r>
          <rPr>
            <sz val="14"/>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 ref="E60" authorId="0">
      <text>
        <r>
          <rPr>
            <b/>
            <sz val="14"/>
            <rFont val="Tahoma"/>
            <family val="2"/>
          </rPr>
          <t xml:space="preserve">NOTE:
</t>
        </r>
        <r>
          <rPr>
            <sz val="14"/>
            <rFont val="Tahoma"/>
            <family val="2"/>
          </rPr>
          <t>If operating loss carry-forward is NOT applied, the values in the "Taxable Income" lines should be the same.</t>
        </r>
        <r>
          <rPr>
            <sz val="8"/>
            <rFont val="Tahoma"/>
            <family val="2"/>
          </rPr>
          <t xml:space="preserve">
</t>
        </r>
      </text>
    </comment>
    <comment ref="G173" authorId="0">
      <text>
        <r>
          <rPr>
            <b/>
            <sz val="12"/>
            <rFont val="Tahoma"/>
            <family val="2"/>
          </rPr>
          <t>Note:</t>
        </r>
        <r>
          <rPr>
            <sz val="12"/>
            <rFont val="Tahoma"/>
            <family val="2"/>
          </rPr>
          <t xml:space="preserve">
ITC earned in first quarter of operation assumed eligible to offset tax on state income taxes saved in first operating year, when applicable. Remainder of ITC carried forward.
</t>
        </r>
      </text>
    </comment>
    <comment ref="C98" authorId="0">
      <text>
        <r>
          <rPr>
            <b/>
            <sz val="14"/>
            <rFont val="Tahoma"/>
            <family val="2"/>
          </rPr>
          <t>Note:</t>
        </r>
        <r>
          <rPr>
            <sz val="14"/>
            <rFont val="Tahoma"/>
            <family val="2"/>
          </rPr>
          <t xml:space="preserve">
Adjustments include (if applicable): reduction of cost basis by 50% of ITC (or ITC Cash Grant), reduction of cost basis for other non-taxable grants, and allocation of Bonus Depreciation. </t>
        </r>
      </text>
    </comment>
    <comment ref="E98" authorId="0">
      <text>
        <r>
          <rPr>
            <b/>
            <sz val="14"/>
            <rFont val="Tahoma"/>
            <family val="2"/>
          </rPr>
          <t xml:space="preserve">Note:
</t>
        </r>
        <r>
          <rPr>
            <sz val="14"/>
            <rFont val="Tahoma"/>
            <family val="2"/>
          </rPr>
          <t xml:space="preserve">Adjustments include (if applicable): reduction of cost basis by 50% of ITC (or ITC Cash Grant), reduction of cost basis for other non-taxable grants, and allocation of Bonus Depreciation. </t>
        </r>
      </text>
    </comment>
  </commentList>
</comments>
</file>

<file path=xl/comments8.xml><?xml version="1.0" encoding="utf-8"?>
<comments xmlns="http://schemas.openxmlformats.org/spreadsheetml/2006/main">
  <authors>
    <author>Author</author>
  </authors>
  <commentList>
    <comment ref="E6" authorId="0">
      <text>
        <r>
          <rPr>
            <sz val="9"/>
            <rFont val="Tahoma"/>
            <family val="2"/>
          </rPr>
          <t>Summer is June - September per Plug-In Illinois:
https://www.pluginillinois.org/FixedRateBreakdownComEd.aspx</t>
        </r>
      </text>
    </comment>
  </commentList>
</comments>
</file>

<file path=xl/sharedStrings.xml><?xml version="1.0" encoding="utf-8"?>
<sst xmlns="http://schemas.openxmlformats.org/spreadsheetml/2006/main" count="723" uniqueCount="416">
  <si>
    <t>$</t>
  </si>
  <si>
    <t>%</t>
  </si>
  <si>
    <t>kWh</t>
  </si>
  <si>
    <t>Production</t>
  </si>
  <si>
    <t>years</t>
  </si>
  <si>
    <t>Construction Period</t>
  </si>
  <si>
    <t>Federal Income Tax Rate</t>
  </si>
  <si>
    <t>State Income Tax Rate</t>
  </si>
  <si>
    <t>?</t>
  </si>
  <si>
    <t>Select Cost Level of Detail</t>
  </si>
  <si>
    <t>Operations &amp; Maintenance</t>
  </si>
  <si>
    <t>$/yr</t>
  </si>
  <si>
    <t>Yes</t>
  </si>
  <si>
    <t>Photovoltaic</t>
  </si>
  <si>
    <t>Technology Options</t>
  </si>
  <si>
    <t>Selected Technology</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</si>
  <si>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</si>
  <si>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</si>
  <si>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</si>
  <si>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</si>
  <si>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</si>
  <si>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</si>
  <si>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</si>
  <si>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</si>
  <si>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</si>
  <si>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</si>
  <si>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</si>
  <si>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</si>
  <si>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year</t>
  </si>
  <si>
    <t>Generator Nameplate Capacity</t>
  </si>
  <si>
    <t>$/Watt</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</si>
  <si>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</si>
  <si>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</si>
  <si>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</si>
  <si>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</si>
  <si>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</si>
  <si>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</si>
  <si>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</si>
  <si>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</si>
  <si>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</si>
  <si>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</si>
  <si>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</si>
  <si>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</si>
  <si>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</si>
  <si>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</si>
  <si>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</si>
  <si>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</si>
  <si>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</si>
  <si>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</si>
  <si>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</si>
  <si>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¢/kWh</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</si>
  <si>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</si>
  <si>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</si>
  <si>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</si>
  <si>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</si>
  <si>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</si>
  <si>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</si>
  <si>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</si>
  <si>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</si>
  <si>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</si>
  <si>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</si>
  <si>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</si>
  <si>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</si>
  <si>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</si>
  <si>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</si>
  <si>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</si>
  <si>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</si>
  <si>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</si>
  <si>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</si>
  <si>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</si>
  <si>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</si>
  <si>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</si>
  <si>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</si>
  <si>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</si>
  <si>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</si>
  <si>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</si>
  <si>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</si>
  <si>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</si>
  <si>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</si>
  <si>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</si>
  <si>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</si>
  <si>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</si>
  <si>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</si>
  <si>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</si>
  <si>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</si>
  <si>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Reserves &amp; Financing Costs</t>
  </si>
  <si>
    <t>Variable O&amp;M Expense, Yr 1</t>
  </si>
  <si>
    <t xml:space="preserve">¢/kWh </t>
  </si>
  <si>
    <t>see table ==&gt;</t>
  </si>
  <si>
    <t>Tariff Rate &amp; Cash Incentives</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</si>
  <si>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</si>
  <si>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</si>
  <si>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</si>
  <si>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</si>
  <si>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</si>
  <si>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</si>
  <si>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</si>
  <si>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</si>
  <si>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</si>
  <si>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</si>
  <si>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</si>
  <si>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</si>
  <si>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</si>
  <si>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</si>
  <si>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</si>
  <si>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</si>
  <si>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</si>
  <si>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</si>
  <si>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</si>
  <si>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</si>
  <si>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</si>
  <si>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</si>
  <si>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</si>
  <si>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</si>
  <si>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</si>
  <si>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</si>
  <si>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</si>
  <si>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</si>
  <si>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</si>
  <si>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</si>
  <si>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</si>
  <si>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</si>
  <si>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</si>
  <si>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</si>
  <si>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</si>
  <si>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</si>
  <si>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</si>
  <si>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</si>
  <si>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</si>
  <si>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</si>
  <si>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</si>
  <si>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</si>
  <si>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</si>
  <si>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</si>
  <si>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</si>
  <si>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</si>
  <si>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</si>
  <si>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</si>
  <si>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</si>
  <si>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</si>
  <si>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</si>
  <si>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</si>
  <si>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</si>
  <si>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Solar Thermal Electric</t>
  </si>
  <si>
    <t>PBI Utilization Factor, if applicable</t>
  </si>
  <si>
    <t>Capital Costs</t>
  </si>
  <si>
    <t>Generation Equipment</t>
  </si>
  <si>
    <t>Balance of Plant</t>
  </si>
  <si>
    <t>Interconnection</t>
  </si>
  <si>
    <t>Development Costs &amp; Fee</t>
  </si>
  <si>
    <t>Other Closing Costs</t>
  </si>
  <si>
    <t>State Income Taxes Saved / (Paid), before ITC/PTC</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</si>
  <si>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</si>
  <si>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</si>
  <si>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</si>
  <si>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</si>
  <si>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</si>
  <si>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</si>
  <si>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</si>
  <si>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</si>
  <si>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</si>
  <si>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Pass/Fail</t>
  </si>
  <si>
    <t>Min DSCR</t>
  </si>
  <si>
    <t>Construction Financing</t>
  </si>
  <si>
    <t>Federal PTC (as generated)</t>
  </si>
  <si>
    <t>State PTC (as generated)</t>
  </si>
  <si>
    <t>Annual Production Degradation</t>
  </si>
  <si>
    <t>% of Year-One Tariff Rate Escalated</t>
  </si>
  <si>
    <t>Project Management Yr 1</t>
  </si>
  <si>
    <t xml:space="preserve">ITC Amount </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</si>
  <si>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</si>
  <si>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</si>
  <si>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</si>
  <si>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</si>
  <si>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</si>
  <si>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</si>
  <si>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</si>
  <si>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</si>
  <si>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Market Revenue</t>
  </si>
  <si>
    <t>Post-Tariff Market Value of Production</t>
  </si>
  <si>
    <t>Required Minimum Annual DSCR</t>
  </si>
  <si>
    <t>Actual Minimum DSCR, occurs in →</t>
  </si>
  <si>
    <t xml:space="preserve">ITC or Cash Grant Amount </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</si>
  <si>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</si>
  <si>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</si>
  <si>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</si>
  <si>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</si>
  <si>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</si>
  <si>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</si>
  <si>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</si>
  <si>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</si>
  <si>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</si>
  <si>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</si>
  <si>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</si>
  <si>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</si>
  <si>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</si>
  <si>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</si>
  <si>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</si>
  <si>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</si>
  <si>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</si>
  <si>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</si>
  <si>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</si>
  <si>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</si>
  <si>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</si>
  <si>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</si>
  <si>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</si>
  <si>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</si>
  <si>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</si>
  <si>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1st Replacement Cost  ($ in year replaced)</t>
  </si>
  <si>
    <t>2nd Replacement Cost ($ in year replaced)</t>
  </si>
  <si>
    <t>Avg. DSCR</t>
  </si>
  <si>
    <t>Tariff Rate (Fixed Portion)</t>
  </si>
  <si>
    <t>Tariff Rate (Total)</t>
  </si>
  <si>
    <t>Tariff Rate (Escalating Portion)</t>
  </si>
  <si>
    <t>Equity Investment</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</si>
  <si>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</si>
  <si>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</si>
  <si>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</si>
  <si>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</si>
  <si>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</si>
  <si>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</si>
  <si>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</si>
  <si>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</si>
  <si>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</si>
  <si>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</si>
  <si>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Capital Expenditures During Operations: Inverter Replacement</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</si>
  <si>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</si>
  <si>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</si>
  <si>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</si>
  <si>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</si>
  <si>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</si>
  <si>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</si>
  <si>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</si>
  <si>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</si>
  <si>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</si>
  <si>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</si>
  <si>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</si>
  <si>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</si>
  <si>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</si>
  <si>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</si>
  <si>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</si>
  <si>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</si>
  <si>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</si>
  <si>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</si>
  <si>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</si>
  <si>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</si>
  <si>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</si>
  <si>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</si>
  <si>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t>Tax Credit</t>
  </si>
  <si>
    <t>Investment Tax Credit (ITC) or Cash Grant?</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</si>
  <si>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</si>
  <si>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</si>
  <si>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</si>
  <si>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</si>
  <si>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</si>
  <si>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</si>
  <si>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</si>
  <si>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Operations</t>
  </si>
  <si>
    <t>Year One</t>
  </si>
  <si>
    <t>As Generated</t>
  </si>
  <si>
    <r>
      <t>Total Value of Grants</t>
    </r>
    <r>
      <rPr>
        <sz val="10"/>
        <rFont val="Arial"/>
        <family val="2"/>
      </rPr>
      <t xml:space="preserve"> (excl. pmt in lieu of ITC, if applicable)</t>
    </r>
  </si>
  <si>
    <t>Insurance, Yr 1 ($) (Provided for reference)</t>
  </si>
  <si>
    <t>Royalties, Yr 1 ($) (Provided for reference)</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</si>
  <si>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</si>
  <si>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</si>
  <si>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</si>
  <si>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</si>
  <si>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</si>
  <si>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Land Lease</t>
  </si>
  <si>
    <t>Bonus Depreciation</t>
  </si>
  <si>
    <t>% of Bonus Depreciation applied in Year 1</t>
  </si>
  <si>
    <t>Project Cost Allocation</t>
  </si>
  <si>
    <t>Before</t>
  </si>
  <si>
    <t xml:space="preserve">After </t>
  </si>
  <si>
    <t>Adjustments</t>
  </si>
  <si>
    <t>Adjusted</t>
  </si>
  <si>
    <t>Unadjusted</t>
  </si>
  <si>
    <t>Project Cost Basis</t>
  </si>
  <si>
    <t xml:space="preserve">% </t>
  </si>
  <si>
    <t>Adjustments for ITC, ITC Grant and non-taxable grants</t>
  </si>
  <si>
    <t>Allocation of Costs</t>
  </si>
  <si>
    <t>operating loss treatment ==&gt;&gt;</t>
  </si>
  <si>
    <t>Taxable Income (Federal)</t>
  </si>
  <si>
    <t>Taxable Income (State)</t>
  </si>
  <si>
    <t>PBI Utilization or Availability Factor, if applicable</t>
  </si>
  <si>
    <t>Pre-Tax (Cash-only) Equity IRR (over defined Useful Life)</t>
  </si>
  <si>
    <t>After Tax Equity IRR (over defined Useful Life)</t>
  </si>
  <si>
    <t>Total State ITC, over realization period</t>
  </si>
  <si>
    <t>Cost-Based Tariff Rate Structure</t>
  </si>
  <si>
    <t>Cost-Based Tariff Escalation Rate</t>
  </si>
  <si>
    <r>
      <t xml:space="preserve">Forecasted Market Value of Production; applies </t>
    </r>
    <r>
      <rPr>
        <b/>
        <u val="single"/>
        <sz val="12"/>
        <rFont val="Arial"/>
        <family val="2"/>
      </rPr>
      <t>after</t>
    </r>
    <r>
      <rPr>
        <b/>
        <sz val="12"/>
        <rFont val="Arial"/>
        <family val="2"/>
      </rPr>
      <t xml:space="preserve"> Incentive Expiration</t>
    </r>
  </si>
  <si>
    <t>State Average</t>
  </si>
  <si>
    <t>IL</t>
  </si>
  <si>
    <r>
      <t xml:space="preserve">Net C.F.: If "Custom" method, then enter Net C.F. </t>
    </r>
    <r>
      <rPr>
        <sz val="12"/>
        <rFont val="Calibri"/>
        <family val="2"/>
      </rPr>
      <t>→</t>
    </r>
  </si>
  <si>
    <t>Total Operating Expenses</t>
  </si>
  <si>
    <t>Debt Term</t>
  </si>
  <si>
    <t>Payment Duration for Cost-Based Tariff</t>
  </si>
  <si>
    <t>Total $ Cap on State Rebates/Grants</t>
  </si>
  <si>
    <t>Total Installed Cost (before rebates/grants, if any)</t>
  </si>
  <si>
    <t>State Rebates/Grants Treated as Taxable Income?</t>
  </si>
  <si>
    <t>Annual $ Cap on Performance-Based Incentive</t>
  </si>
  <si>
    <t>PBI or REC Rate</t>
  </si>
  <si>
    <t>PBI or REC Escalation Rate (pos. or neg.)</t>
  </si>
  <si>
    <t>State Rebates, Tax Credits and/or REC Revenue</t>
  </si>
  <si>
    <t>Select Form of Federal Incentive</t>
  </si>
  <si>
    <t>Select Form of State Incentive</t>
  </si>
  <si>
    <t>Additional State Rebates/Grants</t>
  </si>
  <si>
    <r>
      <t xml:space="preserve">Additional Federal Grants </t>
    </r>
    <r>
      <rPr>
        <b/>
        <sz val="11"/>
        <rFont val="Arial"/>
        <family val="2"/>
      </rPr>
      <t>(Other than Section 1603)</t>
    </r>
  </si>
  <si>
    <t>PBI or REC Payment Duration</t>
  </si>
  <si>
    <t>Cash</t>
  </si>
  <si>
    <t>If cash, is state PBI or REC taxable?</t>
  </si>
  <si>
    <t>Intermediate</t>
  </si>
  <si>
    <t>Cost-Based</t>
  </si>
  <si>
    <t>ITC</t>
  </si>
  <si>
    <t xml:space="preserve"> </t>
  </si>
  <si>
    <t>No</t>
  </si>
  <si>
    <t>Unit</t>
  </si>
  <si>
    <t>Item Description</t>
  </si>
  <si>
    <t>Neither</t>
  </si>
  <si>
    <t>Assumptions</t>
  </si>
  <si>
    <t>Inflation Rate (%)</t>
  </si>
  <si>
    <t>Season</t>
  </si>
  <si>
    <t>January</t>
  </si>
  <si>
    <t>February</t>
  </si>
  <si>
    <t>March</t>
  </si>
  <si>
    <t>April</t>
  </si>
  <si>
    <t>May</t>
  </si>
  <si>
    <t>June</t>
  </si>
  <si>
    <t>Summer</t>
  </si>
  <si>
    <t>July</t>
  </si>
  <si>
    <t>August</t>
  </si>
  <si>
    <t>September</t>
  </si>
  <si>
    <t>October</t>
  </si>
  <si>
    <t>November</t>
  </si>
  <si>
    <t>December</t>
  </si>
  <si>
    <t>$/kWh</t>
  </si>
  <si>
    <t>Energy Charge ($/kWh)</t>
  </si>
  <si>
    <t>ComEd</t>
  </si>
  <si>
    <t>=</t>
  </si>
  <si>
    <t>Transmission Charge ($/kWh)</t>
  </si>
  <si>
    <t>Month</t>
  </si>
  <si>
    <t>Discount Rate</t>
  </si>
  <si>
    <t>Inflation Rate</t>
  </si>
  <si>
    <t>DY Year Ending</t>
  </si>
  <si>
    <t>Transmission Charge (2017-2018)</t>
  </si>
  <si>
    <t>Transmission Charge</t>
  </si>
  <si>
    <t>$/kW-Day</t>
  </si>
  <si>
    <t>$/kW-Month</t>
  </si>
  <si>
    <t>Source: NREL's PV Watts Calculator: http://pvwatts.nrel.gov/index.php</t>
  </si>
  <si>
    <t>Region</t>
  </si>
  <si>
    <t>Chicago, IL</t>
  </si>
  <si>
    <t>System Size</t>
  </si>
  <si>
    <t>kW</t>
  </si>
  <si>
    <t>Month (Days)</t>
  </si>
  <si>
    <t>Month (Hours)</t>
  </si>
  <si>
    <t>System Output(kWh)</t>
  </si>
  <si>
    <t>Winter</t>
  </si>
  <si>
    <t>Total</t>
  </si>
  <si>
    <t>Summer  Output</t>
  </si>
  <si>
    <t>Summer Output</t>
  </si>
  <si>
    <t>PLC Estimate</t>
  </si>
  <si>
    <t>c/kWh</t>
  </si>
  <si>
    <t>Total Charge ($/kWh)</t>
  </si>
  <si>
    <t>IPA Modified CREST Model Results</t>
  </si>
  <si>
    <t>10 kW</t>
  </si>
  <si>
    <t>100 kW</t>
  </si>
  <si>
    <t>200 kW</t>
  </si>
  <si>
    <t>500 kW</t>
  </si>
  <si>
    <t>2000 kW</t>
  </si>
  <si>
    <t>kW dc</t>
  </si>
  <si>
    <t>kW ac</t>
  </si>
  <si>
    <t>AC to DC Conversion Factor</t>
  </si>
  <si>
    <t>25 kW</t>
  </si>
  <si>
    <t>NREL Q1 2017 Benchmarking Study</t>
  </si>
  <si>
    <r>
      <t xml:space="preserve">Average Locational Marginal Prices (2012-2016)
</t>
    </r>
    <r>
      <rPr>
        <b/>
        <sz val="11"/>
        <color indexed="8"/>
        <rFont val="Calibri"/>
        <family val="2"/>
      </rPr>
      <t>$/kWh</t>
    </r>
  </si>
  <si>
    <t>Annual Reduction in Installed Costs (%)</t>
  </si>
  <si>
    <t>NREL Study Year</t>
  </si>
  <si>
    <t>Adjustment to year:</t>
  </si>
  <si>
    <t>Revenue Shortfall ($)</t>
  </si>
  <si>
    <t>15-yr REC production (MWh)</t>
  </si>
  <si>
    <t>ComEd C&amp;I</t>
  </si>
  <si>
    <t>ComEd C&amp;I Tariff</t>
  </si>
  <si>
    <t>Annual Expected Net Metering Revenue ($)</t>
  </si>
  <si>
    <t>25-yr Present Value Cost of Energy ($)</t>
  </si>
  <si>
    <t>25-yr Present Value Net Metering Credit ($)</t>
  </si>
  <si>
    <t>REC Prices by Pricing Bin</t>
  </si>
  <si>
    <t>ComEd ($/REC)</t>
  </si>
  <si>
    <t>Pricing Bin Adder</t>
  </si>
  <si>
    <t>ComEd Net PV COE ($/MWh)</t>
  </si>
  <si>
    <r>
      <t>Outputs</t>
    </r>
    <r>
      <rPr>
        <b/>
        <sz val="9"/>
        <color indexed="8"/>
        <rFont val="Calibri"/>
        <family val="2"/>
      </rPr>
      <t xml:space="preserve"> (based on 2,000 kW-ac system)</t>
    </r>
  </si>
  <si>
    <t>Base REC Price ($/REC)</t>
  </si>
  <si>
    <t>Source: SEIA comment on Draft LTRRPP, page 10</t>
  </si>
  <si>
    <t>Net Capacity Factor</t>
  </si>
  <si>
    <t>State</t>
  </si>
  <si>
    <t xml:space="preserve">Capacity Factor </t>
  </si>
  <si>
    <t>Subscriber Savings</t>
  </si>
  <si>
    <t>% of Net Metering Value Allocated</t>
  </si>
  <si>
    <t>&gt; 10 to 25 kW</t>
  </si>
  <si>
    <t>&gt; 25 to 100 kW</t>
  </si>
  <si>
    <t>&gt; 100 to 200 kW</t>
  </si>
  <si>
    <t>&gt; 200 to 500 kW</t>
  </si>
  <si>
    <t>&gt; 500 to 2,000 kW</t>
  </si>
  <si>
    <t>&lt;= 10 kW</t>
  </si>
  <si>
    <t>ComEd Adjustment ($/REC)</t>
  </si>
  <si>
    <t>Ameren Illinois ($/REC)</t>
  </si>
  <si>
    <t>Ameren Illinois Adjustment ($/REC)</t>
  </si>
  <si>
    <t>Ameren Illinois Net PV COE ($/MWh)</t>
  </si>
  <si>
    <t>IPA Pricing Bin Adjustments</t>
  </si>
  <si>
    <t xml:space="preserve">Ameren Illinois C&amp;I Tariff </t>
  </si>
  <si>
    <t>Ameren Illinois C&amp;I</t>
  </si>
  <si>
    <t>Ameren Illinois</t>
  </si>
  <si>
    <t>% dc</t>
  </si>
  <si>
    <t>Project Size (kW AC)</t>
  </si>
  <si>
    <t>Transmission Charge (2018-2019)</t>
  </si>
  <si>
    <t>Source: https://www.ameren.com/-/media/rates/files/illinois/aiifts618.ashx</t>
  </si>
  <si>
    <t>Source: https://www.comed.com/SiteCollectionDocuments/MyAccount/MyBillUsage/CurrentRates/PJMServicesChargeHourlyandMiscProcure.pdf</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</si>
</sst>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roject&quot;\ #"/>
    <numFmt numFmtId="166" formatCode="0\ &quot;kW&quot;"/>
    <numFmt numFmtId="167" formatCode="#\ &quot;Years&quot;"/>
    <numFmt numFmtId="168" formatCode="&quot;$&quot;#,##0"/>
    <numFmt numFmtId="169" formatCode="&quot;$&quot;#.##&quot;/ Watt&quot;"/>
    <numFmt numFmtId="170" formatCode="&quot;$&quot;#,##0.00"/>
    <numFmt numFmtId="171" formatCode="0.0000"/>
    <numFmt numFmtId="172" formatCode="0.000"/>
    <numFmt numFmtId="173" formatCode="_(* #,##0_);_(* \(#,##0\);_(* &quot;-&quot;??_);_(@_)"/>
    <numFmt numFmtId="174" formatCode="0.000000"/>
    <numFmt numFmtId="175" formatCode="&quot;Year&quot;\ #"/>
    <numFmt numFmtId="176" formatCode="&quot;$&quot;#,##0.000"/>
    <numFmt numFmtId="177" formatCode="0.0"/>
    <numFmt numFmtId="178" formatCode="&quot;Net Present Value @&quot;\ ##.00%\ &quot;(over defined Useful Life)&quot;"/>
    <numFmt numFmtId="179" formatCode="_(&quot;$&quot;* #,##0.000_);_(&quot;$&quot;* \(#,##0.000\);_(&quot;$&quot;* &quot;-&quot;??_);_(@_)"/>
    <numFmt numFmtId="180" formatCode="#,##0.000"/>
    <numFmt numFmtId="181" formatCode="0.00000"/>
    <numFmt numFmtId="182" formatCode="_(&quot;$&quot;* #,##0.0_);_(&quot;$&quot;* \(#,##0.0\);_(&quot;$&quot;* &quot;-&quot;??_);_(@_)"/>
    <numFmt numFmtId="183" formatCode="_(&quot;$&quot;* #,##0_);_(&quot;$&quot;* \(#,##0\);_(&quot;$&quot;* &quot;-&quot;??_);_(@_)"/>
  </numFmts>
  <fonts count="139">
    <font>
      <sz val="11"/>
      <color theme="1"/>
      <name val="Calibri"/>
      <family val="2"/>
    </font>
    <font>
      <sz val="11"/>
      <color indexed="8"/>
      <name val="Calibri"/>
      <family val="2"/>
    </font>
    <font>
      <b/>
      <sz val="12"/>
      <name val="Arial"/>
      <family val="2"/>
    </font>
    <font>
      <i/>
      <sz val="12"/>
      <name val="Arial"/>
      <family val="2"/>
    </font>
    <font>
      <b/>
      <sz val="12"/>
      <color indexed="62"/>
      <name val="Arial"/>
      <family val="2"/>
    </font>
    <font>
      <sz val="12"/>
      <name val="Arial"/>
      <family val="2"/>
    </font>
    <font>
      <b/>
      <sz val="14"/>
      <name val="Arial"/>
      <family val="2"/>
    </font>
    <font>
      <b/>
      <i/>
      <sz val="10"/>
      <name val="Arial"/>
      <family val="2"/>
    </font>
    <font>
      <i/>
      <sz val="11"/>
      <name val="Arial"/>
      <family val="2"/>
    </font>
    <font>
      <b/>
      <sz val="12"/>
      <color indexed="56"/>
      <name val="Arial"/>
      <family val="2"/>
    </font>
    <font>
      <b/>
      <sz val="8"/>
      <name val="Tahoma"/>
      <family val="2"/>
    </font>
    <font>
      <sz val="8"/>
      <name val="Tahoma"/>
      <family val="2"/>
    </font>
    <font>
      <b/>
      <sz val="14"/>
      <name val="Tahoma"/>
      <family val="2"/>
    </font>
    <font>
      <sz val="14"/>
      <name val="Tahoma"/>
      <family val="2"/>
    </font>
    <font>
      <sz val="10"/>
      <name val="Arial"/>
      <family val="2"/>
    </font>
    <font>
      <b/>
      <i/>
      <sz val="12"/>
      <name val="Arial"/>
      <family val="2"/>
    </font>
    <font>
      <u val="single"/>
      <sz val="12"/>
      <name val="Arial"/>
      <family val="2"/>
    </font>
    <font>
      <b/>
      <sz val="12"/>
      <name val="Tahoma"/>
      <family val="2"/>
    </font>
    <font>
      <u val="single"/>
      <sz val="14"/>
      <name val="Tahoma"/>
      <family val="2"/>
    </font>
    <font>
      <b/>
      <sz val="12"/>
      <color indexed="12"/>
      <name val="Arial"/>
      <family val="2"/>
    </font>
    <font>
      <sz val="12"/>
      <color indexed="8"/>
      <name val="Arial"/>
      <family val="2"/>
    </font>
    <font>
      <i/>
      <u val="single"/>
      <sz val="12"/>
      <name val="Arial"/>
      <family val="2"/>
    </font>
    <font>
      <b/>
      <u val="single"/>
      <sz val="12"/>
      <name val="Arial"/>
      <family val="2"/>
    </font>
    <font>
      <b/>
      <sz val="11"/>
      <name val="Arial"/>
      <family val="2"/>
    </font>
    <font>
      <sz val="11"/>
      <name val="Arial"/>
      <family val="2"/>
    </font>
    <font>
      <b/>
      <i/>
      <u val="single"/>
      <sz val="12"/>
      <name val="Arial"/>
      <family val="2"/>
    </font>
    <font>
      <sz val="14"/>
      <name val="Arial"/>
      <family val="2"/>
    </font>
    <font>
      <b/>
      <sz val="8"/>
      <name val="Arial"/>
      <family val="2"/>
    </font>
    <font>
      <sz val="12"/>
      <name val="Tahoma"/>
      <family val="2"/>
    </font>
    <font>
      <b/>
      <i/>
      <sz val="14"/>
      <name val="Tahoma"/>
      <family val="2"/>
    </font>
    <font>
      <b/>
      <u val="single"/>
      <sz val="14"/>
      <name val="Tahoma"/>
      <family val="2"/>
    </font>
    <font>
      <b/>
      <sz val="11"/>
      <color indexed="8"/>
      <name val="Calibri"/>
      <family val="2"/>
    </font>
    <font>
      <sz val="12"/>
      <name val="Calibri"/>
      <family val="2"/>
    </font>
    <font>
      <b/>
      <sz val="16"/>
      <name val="Tahoma"/>
      <family val="2"/>
    </font>
    <font>
      <sz val="9"/>
      <name val="Tahoma"/>
      <family val="2"/>
    </font>
    <font>
      <b/>
      <sz val="9"/>
      <name val="Tahoma"/>
      <family val="2"/>
    </font>
    <font>
      <b/>
      <sz val="9"/>
      <color indexed="8"/>
      <name val="Calibri"/>
      <family val="2"/>
    </font>
    <font>
      <u val="single"/>
      <sz val="8.8"/>
      <color indexed="12"/>
      <name val="Calibri"/>
      <family val="2"/>
    </font>
    <font>
      <u val="single"/>
      <sz val="11"/>
      <color indexed="12"/>
      <name val="Calibri"/>
      <family val="2"/>
    </font>
    <font>
      <sz val="10"/>
      <color indexed="8"/>
      <name val="Cambria"/>
      <family val="2"/>
    </font>
    <font>
      <b/>
      <sz val="12"/>
      <color indexed="10"/>
      <name val="Arial"/>
      <family val="2"/>
    </font>
    <font>
      <sz val="12"/>
      <color indexed="60"/>
      <name val="Arial"/>
      <family val="2"/>
    </font>
    <font>
      <sz val="11"/>
      <color indexed="8"/>
      <name val="Arial"/>
      <family val="2"/>
    </font>
    <font>
      <b/>
      <sz val="11"/>
      <color indexed="62"/>
      <name val="Arial"/>
      <family val="2"/>
    </font>
    <font>
      <sz val="12"/>
      <color indexed="10"/>
      <name val="Arial"/>
      <family val="2"/>
    </font>
    <font>
      <i/>
      <sz val="12"/>
      <color indexed="23"/>
      <name val="Arial"/>
      <family val="2"/>
    </font>
    <font>
      <b/>
      <sz val="12"/>
      <color indexed="9"/>
      <name val="Arial"/>
      <family val="2"/>
    </font>
    <font>
      <b/>
      <sz val="12"/>
      <color indexed="8"/>
      <name val="Arial"/>
      <family val="2"/>
    </font>
    <font>
      <b/>
      <i/>
      <sz val="12"/>
      <color indexed="55"/>
      <name val="Arial"/>
      <family val="2"/>
    </font>
    <font>
      <i/>
      <sz val="10"/>
      <color indexed="23"/>
      <name val="Arial"/>
      <family val="2"/>
    </font>
    <font>
      <i/>
      <sz val="12"/>
      <color indexed="22"/>
      <name val="Arial"/>
      <family val="2"/>
    </font>
    <font>
      <b/>
      <sz val="12"/>
      <color indexed="22"/>
      <name val="Arial"/>
      <family val="2"/>
    </font>
    <font>
      <sz val="12"/>
      <color indexed="9"/>
      <name val="Arial"/>
      <family val="2"/>
    </font>
    <font>
      <i/>
      <sz val="12"/>
      <color indexed="8"/>
      <name val="Arial"/>
      <family val="2"/>
    </font>
    <font>
      <sz val="12"/>
      <color indexed="55"/>
      <name val="Arial"/>
      <family val="2"/>
    </font>
    <font>
      <b/>
      <u val="single"/>
      <sz val="12"/>
      <color indexed="55"/>
      <name val="Arial"/>
      <family val="2"/>
    </font>
    <font>
      <b/>
      <sz val="12"/>
      <color indexed="55"/>
      <name val="Arial"/>
      <family val="2"/>
    </font>
    <font>
      <sz val="12"/>
      <color indexed="22"/>
      <name val="Arial"/>
      <family val="2"/>
    </font>
    <font>
      <b/>
      <u val="single"/>
      <sz val="12"/>
      <color indexed="22"/>
      <name val="Arial"/>
      <family val="2"/>
    </font>
    <font>
      <u val="single"/>
      <sz val="12"/>
      <color indexed="12"/>
      <name val="Arial"/>
      <family val="2"/>
    </font>
    <font>
      <b/>
      <u val="single"/>
      <sz val="12"/>
      <color indexed="12"/>
      <name val="Arial"/>
      <family val="2"/>
    </font>
    <font>
      <b/>
      <i/>
      <u val="single"/>
      <sz val="12"/>
      <color indexed="8"/>
      <name val="Arial"/>
      <family val="2"/>
    </font>
    <font>
      <sz val="11"/>
      <name val="Calibri"/>
      <family val="2"/>
    </font>
    <font>
      <b/>
      <sz val="12"/>
      <color indexed="8"/>
      <name val="Calibri"/>
      <family val="2"/>
    </font>
    <font>
      <b/>
      <sz val="14"/>
      <color indexed="8"/>
      <name val="Calibri"/>
      <family val="2"/>
    </font>
    <font>
      <b/>
      <sz val="12"/>
      <name val="Calibri"/>
      <family val="2"/>
    </font>
    <font>
      <b/>
      <sz val="14"/>
      <name val="Calibri"/>
      <family val="2"/>
    </font>
    <font>
      <b/>
      <sz val="16"/>
      <color indexed="8"/>
      <name val="Calibri"/>
      <family val="2"/>
    </font>
    <font>
      <b/>
      <u val="single"/>
      <sz val="11"/>
      <color indexed="8"/>
      <name val="Calibri"/>
      <family val="2"/>
    </font>
    <font>
      <sz val="10"/>
      <color indexed="8"/>
      <name val="Calibri"/>
      <family val="2"/>
    </font>
    <font>
      <b/>
      <sz val="10"/>
      <color indexed="8"/>
      <name val="Calibri"/>
      <family val="2"/>
    </font>
    <font>
      <b/>
      <u val="single"/>
      <sz val="12"/>
      <color indexed="9"/>
      <name val="Arial"/>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mbri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theme="4"/>
      <name val="Arial"/>
      <family val="2"/>
    </font>
    <font>
      <b/>
      <sz val="12"/>
      <color theme="3"/>
      <name val="Arial"/>
      <family val="2"/>
    </font>
    <font>
      <sz val="12"/>
      <color rgb="FFC00000"/>
      <name val="Arial"/>
      <family val="2"/>
    </font>
    <font>
      <sz val="11"/>
      <color theme="1"/>
      <name val="Arial"/>
      <family val="2"/>
    </font>
    <font>
      <b/>
      <sz val="11"/>
      <color theme="4"/>
      <name val="Arial"/>
      <family val="2"/>
    </font>
    <font>
      <sz val="12"/>
      <color rgb="FFFF0000"/>
      <name val="Arial"/>
      <family val="2"/>
    </font>
    <font>
      <i/>
      <sz val="12"/>
      <color theme="0" tint="-0.4999699890613556"/>
      <name val="Arial"/>
      <family val="2"/>
    </font>
    <font>
      <b/>
      <sz val="12"/>
      <color theme="0"/>
      <name val="Arial"/>
      <family val="2"/>
    </font>
    <font>
      <b/>
      <sz val="12"/>
      <color theme="1"/>
      <name val="Arial"/>
      <family val="2"/>
    </font>
    <font>
      <b/>
      <i/>
      <sz val="12"/>
      <color theme="0" tint="-0.24997000396251678"/>
      <name val="Arial"/>
      <family val="2"/>
    </font>
    <font>
      <i/>
      <sz val="10"/>
      <color theme="0" tint="-0.4999699890613556"/>
      <name val="Arial"/>
      <family val="2"/>
    </font>
    <font>
      <i/>
      <sz val="12"/>
      <color theme="0" tint="-0.1499900072813034"/>
      <name val="Arial"/>
      <family val="2"/>
    </font>
    <font>
      <b/>
      <sz val="12"/>
      <color theme="0" tint="-0.1499900072813034"/>
      <name val="Arial"/>
      <family val="2"/>
    </font>
    <font>
      <sz val="12"/>
      <color theme="0"/>
      <name val="Arial"/>
      <family val="2"/>
    </font>
    <font>
      <i/>
      <sz val="12"/>
      <color theme="1"/>
      <name val="Arial"/>
      <family val="2"/>
    </font>
    <font>
      <sz val="12"/>
      <color theme="0" tint="-0.24997000396251678"/>
      <name val="Arial"/>
      <family val="2"/>
    </font>
    <font>
      <b/>
      <u val="single"/>
      <sz val="12"/>
      <color theme="0" tint="-0.24997000396251678"/>
      <name val="Arial"/>
      <family val="2"/>
    </font>
    <font>
      <b/>
      <sz val="12"/>
      <color theme="0" tint="-0.24997000396251678"/>
      <name val="Arial"/>
      <family val="2"/>
    </font>
    <font>
      <sz val="12"/>
      <color theme="0" tint="-0.1499900072813034"/>
      <name val="Arial"/>
      <family val="2"/>
    </font>
    <font>
      <b/>
      <u val="single"/>
      <sz val="12"/>
      <color theme="0" tint="-0.1499900072813034"/>
      <name val="Arial"/>
      <family val="2"/>
    </font>
    <font>
      <u val="single"/>
      <sz val="12"/>
      <color theme="10"/>
      <name val="Arial"/>
      <family val="2"/>
    </font>
    <font>
      <b/>
      <u val="single"/>
      <sz val="12"/>
      <color theme="10"/>
      <name val="Arial"/>
      <family val="2"/>
    </font>
    <font>
      <b/>
      <i/>
      <u val="single"/>
      <sz val="12"/>
      <color theme="1"/>
      <name val="Arial"/>
      <family val="2"/>
    </font>
    <font>
      <b/>
      <sz val="12"/>
      <color theme="1"/>
      <name val="Calibri"/>
      <family val="2"/>
    </font>
    <font>
      <b/>
      <sz val="14"/>
      <color theme="1"/>
      <name val="Calibri"/>
      <family val="2"/>
    </font>
    <font>
      <b/>
      <sz val="16"/>
      <color theme="1"/>
      <name val="Calibri"/>
      <family val="2"/>
    </font>
    <font>
      <b/>
      <u val="single"/>
      <sz val="11"/>
      <color theme="1"/>
      <name val="Calibri"/>
      <family val="2"/>
    </font>
    <font>
      <sz val="10"/>
      <color theme="1"/>
      <name val="Calibri"/>
      <family val="2"/>
    </font>
    <font>
      <b/>
      <sz val="10"/>
      <color theme="1"/>
      <name val="Calibri"/>
      <family val="2"/>
    </font>
    <font>
      <b/>
      <u val="single"/>
      <sz val="12"/>
      <color theme="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medium"/>
      <right/>
      <top/>
      <bottom/>
    </border>
    <border>
      <left/>
      <right/>
      <top/>
      <bottom style="thin"/>
    </border>
    <border>
      <left/>
      <right/>
      <top/>
      <bottom style="medium"/>
    </border>
    <border>
      <left/>
      <right style="medium"/>
      <top/>
      <bottom/>
    </border>
    <border>
      <left/>
      <right/>
      <top style="medium"/>
      <bottom/>
    </border>
    <border>
      <left style="thin"/>
      <right style="medium"/>
      <top style="thin"/>
      <bottom style="thin"/>
    </border>
    <border>
      <left style="medium"/>
      <right/>
      <top/>
      <bottom style="medium"/>
    </border>
    <border>
      <left/>
      <right style="medium"/>
      <top style="medium"/>
      <bottom/>
    </border>
    <border>
      <left/>
      <right style="medium"/>
      <top/>
      <bottom style="medium"/>
    </border>
    <border>
      <left style="thin"/>
      <right style="thin"/>
      <top style="thin"/>
      <bottom/>
    </border>
    <border>
      <left style="medium"/>
      <right/>
      <top style="medium"/>
      <bottom/>
    </border>
    <border>
      <left style="medium"/>
      <right style="medium"/>
      <top style="medium"/>
      <bottom/>
    </border>
    <border>
      <left style="medium"/>
      <right style="medium"/>
      <top/>
      <bottom style="medium"/>
    </border>
    <border>
      <left/>
      <right style="thin"/>
      <top/>
      <bottom/>
    </border>
    <border>
      <left style="thin"/>
      <right/>
      <top/>
      <bottom/>
    </border>
    <border>
      <left style="thin"/>
      <right style="thin"/>
      <top style="thin"/>
      <bottom style="medium"/>
    </border>
    <border>
      <left/>
      <right style="thin"/>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medium"/>
      <right style="thin"/>
      <top/>
      <bottom style="medium"/>
    </border>
    <border>
      <left style="medium"/>
      <right style="thin"/>
      <top style="thin"/>
      <bottom style="double"/>
    </border>
    <border>
      <left style="thin"/>
      <right style="thin"/>
      <top/>
      <bottom style="medium"/>
    </border>
    <border>
      <left style="medium"/>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medium"/>
      <bottom style="medium"/>
    </border>
    <border>
      <left/>
      <right style="thin"/>
      <top style="medium"/>
      <bottom/>
    </border>
    <border>
      <left style="thin"/>
      <right style="thin"/>
      <top style="thin"/>
      <bottom style="double"/>
    </border>
    <border>
      <left/>
      <right/>
      <top style="thin"/>
      <bottom style="thin"/>
    </border>
    <border>
      <left style="thin"/>
      <right/>
      <top style="thin"/>
      <bottom style="thin"/>
    </border>
    <border>
      <left style="thin"/>
      <right/>
      <top style="thin"/>
      <bottom style="medium"/>
    </border>
    <border>
      <left style="thin"/>
      <right/>
      <top style="medium"/>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
      <left style="thin"/>
      <right style="medium"/>
      <top style="thin"/>
      <bottom style="double"/>
    </border>
    <border>
      <left/>
      <right style="thin"/>
      <top style="medium"/>
      <bottom style="medium"/>
    </border>
    <border>
      <left/>
      <right style="thin"/>
      <top style="medium"/>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02"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102"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697">
    <xf numFmtId="0" fontId="0" fillId="0" borderId="0" xfId="0" applyFont="1" applyAlignment="1">
      <alignment/>
    </xf>
    <xf numFmtId="0" fontId="5" fillId="0" borderId="0" xfId="0" applyFont="1" applyFill="1" applyBorder="1" applyAlignment="1">
      <alignment/>
    </xf>
    <xf numFmtId="0" fontId="2" fillId="33" borderId="10" xfId="0" applyNumberFormat="1" applyFont="1" applyFill="1" applyBorder="1" applyAlignment="1">
      <alignment horizontal="left"/>
    </xf>
    <xf numFmtId="0" fontId="7" fillId="33" borderId="11" xfId="0" applyNumberFormat="1" applyFont="1" applyFill="1" applyBorder="1" applyAlignment="1">
      <alignment horizontal="center"/>
    </xf>
    <xf numFmtId="165" fontId="8" fillId="33" borderId="12" xfId="0" applyNumberFormat="1" applyFont="1" applyFill="1" applyBorder="1" applyAlignment="1">
      <alignment horizontal="center"/>
    </xf>
    <xf numFmtId="0" fontId="2" fillId="33" borderId="10" xfId="0" applyNumberFormat="1" applyFont="1" applyFill="1" applyBorder="1" applyAlignment="1">
      <alignment/>
    </xf>
    <xf numFmtId="0" fontId="3" fillId="34" borderId="13" xfId="0" applyNumberFormat="1" applyFont="1" applyFill="1" applyBorder="1" applyAlignment="1">
      <alignment horizontal="center"/>
    </xf>
    <xf numFmtId="0" fontId="3" fillId="34" borderId="14" xfId="0" applyNumberFormat="1" applyFont="1" applyFill="1" applyBorder="1" applyAlignment="1">
      <alignment horizontal="center"/>
    </xf>
    <xf numFmtId="0" fontId="3" fillId="0" borderId="14" xfId="0" applyFont="1" applyBorder="1" applyAlignment="1">
      <alignment horizontal="center"/>
    </xf>
    <xf numFmtId="3" fontId="2" fillId="33" borderId="10" xfId="0" applyNumberFormat="1" applyFont="1" applyFill="1" applyBorder="1" applyAlignment="1">
      <alignment horizontal="left"/>
    </xf>
    <xf numFmtId="0" fontId="3" fillId="0" borderId="14" xfId="0" applyNumberFormat="1" applyFont="1" applyFill="1" applyBorder="1" applyAlignment="1">
      <alignment horizontal="center"/>
    </xf>
    <xf numFmtId="0" fontId="5" fillId="0" borderId="15" xfId="0" applyFont="1" applyFill="1" applyBorder="1" applyAlignment="1">
      <alignment/>
    </xf>
    <xf numFmtId="0" fontId="5" fillId="0" borderId="0" xfId="0" applyFont="1" applyBorder="1" applyAlignment="1">
      <alignment/>
    </xf>
    <xf numFmtId="0" fontId="107" fillId="0" borderId="14" xfId="0" applyFont="1" applyFill="1" applyBorder="1" applyAlignment="1">
      <alignment horizontal="center"/>
    </xf>
    <xf numFmtId="0" fontId="0" fillId="0" borderId="0" xfId="0" applyBorder="1" applyAlignment="1">
      <alignment/>
    </xf>
    <xf numFmtId="0" fontId="107"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0" fontId="5" fillId="0" borderId="11" xfId="0" applyFont="1" applyBorder="1" applyAlignment="1">
      <alignment/>
    </xf>
    <xf numFmtId="0" fontId="5" fillId="0" borderId="0" xfId="0" applyFont="1" applyFill="1" applyBorder="1" applyAlignment="1">
      <alignment horizontal="center"/>
    </xf>
    <xf numFmtId="0" fontId="5" fillId="34" borderId="0" xfId="0" applyNumberFormat="1" applyFont="1" applyFill="1" applyBorder="1" applyAlignment="1">
      <alignment/>
    </xf>
    <xf numFmtId="0" fontId="3" fillId="0" borderId="14" xfId="0" applyFont="1" applyFill="1" applyBorder="1" applyAlignment="1">
      <alignment horizontal="center"/>
    </xf>
    <xf numFmtId="0" fontId="108" fillId="0" borderId="11" xfId="0" applyFont="1" applyBorder="1" applyAlignment="1">
      <alignment horizontal="center" vertical="center"/>
    </xf>
    <xf numFmtId="0" fontId="6" fillId="0" borderId="11" xfId="0" applyFont="1" applyFill="1" applyBorder="1" applyAlignment="1">
      <alignment horizontal="left"/>
    </xf>
    <xf numFmtId="9" fontId="109" fillId="0" borderId="0" xfId="0" applyNumberFormat="1" applyFont="1" applyFill="1" applyBorder="1" applyAlignment="1">
      <alignment horizontal="center"/>
    </xf>
    <xf numFmtId="0" fontId="0" fillId="0" borderId="0" xfId="0" applyFill="1" applyBorder="1" applyAlignment="1">
      <alignment/>
    </xf>
    <xf numFmtId="0" fontId="5" fillId="33" borderId="11" xfId="0" applyFont="1" applyFill="1" applyBorder="1" applyAlignment="1">
      <alignment/>
    </xf>
    <xf numFmtId="0" fontId="5" fillId="0" borderId="0" xfId="0" applyNumberFormat="1" applyFont="1" applyAlignment="1">
      <alignment/>
    </xf>
    <xf numFmtId="0" fontId="2" fillId="0" borderId="0" xfId="0" applyNumberFormat="1" applyFont="1" applyAlignment="1">
      <alignment horizontal="center"/>
    </xf>
    <xf numFmtId="0" fontId="5" fillId="0" borderId="0" xfId="0" applyNumberFormat="1" applyFont="1" applyFill="1" applyAlignment="1">
      <alignment/>
    </xf>
    <xf numFmtId="0" fontId="5" fillId="0" borderId="0" xfId="0" applyNumberFormat="1" applyFont="1" applyAlignment="1">
      <alignment horizontal="center"/>
    </xf>
    <xf numFmtId="172" fontId="5" fillId="0" borderId="0" xfId="0" applyNumberFormat="1" applyFont="1" applyAlignment="1">
      <alignment/>
    </xf>
    <xf numFmtId="0" fontId="2" fillId="0" borderId="0" xfId="0" applyNumberFormat="1" applyFont="1" applyAlignment="1">
      <alignment/>
    </xf>
    <xf numFmtId="3" fontId="5" fillId="0" borderId="0" xfId="0" applyNumberFormat="1" applyFont="1" applyAlignment="1">
      <alignment/>
    </xf>
    <xf numFmtId="0" fontId="5" fillId="0" borderId="0" xfId="0" applyNumberFormat="1" applyFont="1" applyFill="1" applyBorder="1" applyAlignment="1">
      <alignment/>
    </xf>
    <xf numFmtId="168" fontId="5" fillId="0" borderId="0" xfId="0" applyNumberFormat="1" applyFont="1" applyBorder="1" applyAlignment="1">
      <alignment/>
    </xf>
    <xf numFmtId="0" fontId="5" fillId="0" borderId="0" xfId="0" applyNumberFormat="1" applyFont="1" applyBorder="1" applyAlignment="1">
      <alignment/>
    </xf>
    <xf numFmtId="0" fontId="5" fillId="0" borderId="16" xfId="0" applyNumberFormat="1" applyFont="1" applyFill="1" applyBorder="1" applyAlignment="1">
      <alignment/>
    </xf>
    <xf numFmtId="0" fontId="5" fillId="0" borderId="16" xfId="0" applyNumberFormat="1" applyFont="1" applyBorder="1" applyAlignment="1">
      <alignment/>
    </xf>
    <xf numFmtId="168" fontId="2" fillId="0" borderId="0" xfId="0" applyNumberFormat="1" applyFont="1" applyAlignment="1">
      <alignment/>
    </xf>
    <xf numFmtId="6" fontId="5" fillId="0" borderId="0" xfId="0" applyNumberFormat="1" applyFont="1" applyFill="1" applyBorder="1" applyAlignment="1">
      <alignment/>
    </xf>
    <xf numFmtId="6" fontId="5" fillId="0" borderId="16" xfId="0" applyNumberFormat="1" applyFont="1" applyFill="1" applyBorder="1" applyAlignment="1">
      <alignment/>
    </xf>
    <xf numFmtId="0" fontId="2" fillId="0" borderId="0" xfId="0" applyNumberFormat="1" applyFont="1" applyFill="1" applyBorder="1" applyAlignment="1">
      <alignment/>
    </xf>
    <xf numFmtId="6" fontId="2" fillId="0" borderId="0" xfId="0" applyNumberFormat="1" applyFont="1" applyAlignment="1">
      <alignment/>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NumberFormat="1" applyFont="1" applyFill="1" applyAlignment="1">
      <alignment/>
    </xf>
    <xf numFmtId="40" fontId="3" fillId="0" borderId="0" xfId="0" applyNumberFormat="1" applyFont="1" applyFill="1" applyAlignment="1">
      <alignment horizontal="center"/>
    </xf>
    <xf numFmtId="0" fontId="2" fillId="0" borderId="0" xfId="0" applyNumberFormat="1" applyFont="1" applyFill="1" applyAlignment="1">
      <alignment/>
    </xf>
    <xf numFmtId="6" fontId="2" fillId="0" borderId="0" xfId="0" applyNumberFormat="1" applyFont="1" applyFill="1" applyAlignment="1">
      <alignment/>
    </xf>
    <xf numFmtId="0" fontId="2" fillId="0" borderId="0" xfId="0" applyNumberFormat="1" applyFont="1" applyAlignment="1">
      <alignment wrapText="1"/>
    </xf>
    <xf numFmtId="6" fontId="5" fillId="0" borderId="0" xfId="0" applyNumberFormat="1" applyFont="1" applyAlignment="1">
      <alignment/>
    </xf>
    <xf numFmtId="6" fontId="5" fillId="0" borderId="16" xfId="0" applyNumberFormat="1" applyFont="1" applyBorder="1" applyAlignment="1">
      <alignment/>
    </xf>
    <xf numFmtId="0" fontId="15" fillId="0" borderId="0" xfId="0" applyNumberFormat="1" applyFont="1" applyAlignment="1">
      <alignment wrapText="1"/>
    </xf>
    <xf numFmtId="164" fontId="3" fillId="0" borderId="0" xfId="74" applyNumberFormat="1" applyFont="1" applyAlignment="1">
      <alignment/>
    </xf>
    <xf numFmtId="6" fontId="19" fillId="0" borderId="0" xfId="0" applyNumberFormat="1" applyFont="1" applyFill="1" applyAlignment="1">
      <alignment horizontal="center"/>
    </xf>
    <xf numFmtId="0" fontId="2" fillId="0" borderId="17" xfId="0" applyNumberFormat="1" applyFont="1" applyBorder="1" applyAlignment="1">
      <alignment/>
    </xf>
    <xf numFmtId="0" fontId="5" fillId="0" borderId="17" xfId="0" applyNumberFormat="1" applyFont="1" applyBorder="1" applyAlignment="1">
      <alignment/>
    </xf>
    <xf numFmtId="0" fontId="2" fillId="35" borderId="0" xfId="0" applyNumberFormat="1" applyFont="1" applyFill="1" applyBorder="1" applyAlignment="1">
      <alignment/>
    </xf>
    <xf numFmtId="0" fontId="5" fillId="35" borderId="0" xfId="0" applyNumberFormat="1" applyFont="1" applyFill="1" applyBorder="1" applyAlignment="1">
      <alignment/>
    </xf>
    <xf numFmtId="6" fontId="5" fillId="35" borderId="0" xfId="0" applyNumberFormat="1" applyFont="1" applyFill="1" applyBorder="1" applyAlignment="1">
      <alignment/>
    </xf>
    <xf numFmtId="0" fontId="15" fillId="35" borderId="0" xfId="0" applyNumberFormat="1" applyFont="1" applyFill="1" applyBorder="1" applyAlignment="1">
      <alignment horizontal="center"/>
    </xf>
    <xf numFmtId="0" fontId="5" fillId="35" borderId="0" xfId="0" applyNumberFormat="1" applyFont="1" applyFill="1" applyAlignment="1">
      <alignment/>
    </xf>
    <xf numFmtId="0" fontId="0" fillId="0" borderId="0" xfId="0" applyNumberFormat="1" applyAlignment="1">
      <alignment/>
    </xf>
    <xf numFmtId="0" fontId="3"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16" xfId="0" applyNumberFormat="1" applyFont="1" applyFill="1" applyBorder="1" applyAlignment="1">
      <alignment horizontal="center"/>
    </xf>
    <xf numFmtId="0" fontId="15" fillId="0" borderId="0" xfId="0" applyNumberFormat="1" applyFont="1" applyAlignment="1">
      <alignment horizontal="center"/>
    </xf>
    <xf numFmtId="0" fontId="3" fillId="0" borderId="0" xfId="0" applyNumberFormat="1" applyFont="1" applyFill="1" applyAlignment="1">
      <alignment horizontal="center"/>
    </xf>
    <xf numFmtId="171" fontId="5" fillId="0" borderId="0" xfId="0" applyNumberFormat="1" applyFont="1" applyFill="1" applyAlignment="1">
      <alignment horizontal="center"/>
    </xf>
    <xf numFmtId="6" fontId="5" fillId="0" borderId="0" xfId="0" applyNumberFormat="1" applyFont="1" applyBorder="1" applyAlignment="1">
      <alignment/>
    </xf>
    <xf numFmtId="10" fontId="5" fillId="0" borderId="0" xfId="74" applyNumberFormat="1" applyFont="1" applyAlignment="1">
      <alignment/>
    </xf>
    <xf numFmtId="9" fontId="5" fillId="0" borderId="0" xfId="0" applyNumberFormat="1" applyFont="1" applyAlignment="1">
      <alignment/>
    </xf>
    <xf numFmtId="41" fontId="5" fillId="0" borderId="0" xfId="0" applyNumberFormat="1" applyFont="1" applyAlignment="1">
      <alignment/>
    </xf>
    <xf numFmtId="2" fontId="19" fillId="0" borderId="0" xfId="0" applyNumberFormat="1" applyFont="1" applyFill="1" applyAlignment="1">
      <alignment horizontal="center"/>
    </xf>
    <xf numFmtId="0" fontId="5" fillId="35" borderId="17" xfId="0" applyNumberFormat="1" applyFont="1" applyFill="1" applyBorder="1" applyAlignment="1">
      <alignment/>
    </xf>
    <xf numFmtId="2" fontId="3" fillId="0" borderId="0" xfId="0" applyNumberFormat="1" applyFont="1" applyBorder="1" applyAlignment="1">
      <alignment/>
    </xf>
    <xf numFmtId="0" fontId="108" fillId="36" borderId="12" xfId="0" applyFont="1" applyFill="1" applyBorder="1" applyAlignment="1">
      <alignment horizontal="center" vertical="center" wrapText="1"/>
    </xf>
    <xf numFmtId="0" fontId="3" fillId="0" borderId="0" xfId="0" applyNumberFormat="1" applyFont="1" applyBorder="1" applyAlignment="1">
      <alignment horizontal="center"/>
    </xf>
    <xf numFmtId="0" fontId="5" fillId="0" borderId="17" xfId="0" applyFont="1" applyFill="1" applyBorder="1" applyAlignment="1">
      <alignment/>
    </xf>
    <xf numFmtId="8" fontId="3" fillId="0" borderId="0" xfId="0" applyNumberFormat="1" applyFont="1" applyFill="1" applyBorder="1" applyAlignment="1">
      <alignment horizontal="center"/>
    </xf>
    <xf numFmtId="0" fontId="6" fillId="0" borderId="10" xfId="0" applyFont="1" applyFill="1" applyBorder="1" applyAlignment="1">
      <alignment horizontal="left" vertical="center"/>
    </xf>
    <xf numFmtId="0" fontId="108" fillId="0" borderId="0" xfId="0" applyFont="1" applyFill="1" applyBorder="1" applyAlignment="1">
      <alignment horizontal="center" vertical="center"/>
    </xf>
    <xf numFmtId="0" fontId="110" fillId="0" borderId="0" xfId="0" applyFont="1" applyFill="1" applyBorder="1" applyAlignment="1">
      <alignment horizontal="left"/>
    </xf>
    <xf numFmtId="0" fontId="110" fillId="0" borderId="0" xfId="0" applyFont="1" applyFill="1" applyBorder="1" applyAlignment="1">
      <alignment/>
    </xf>
    <xf numFmtId="168" fontId="5" fillId="0" borderId="16" xfId="0" applyNumberFormat="1" applyFont="1" applyFill="1" applyBorder="1" applyAlignment="1">
      <alignment/>
    </xf>
    <xf numFmtId="0" fontId="111" fillId="0" borderId="0" xfId="0" applyFont="1" applyBorder="1" applyAlignment="1">
      <alignment/>
    </xf>
    <xf numFmtId="9" fontId="112" fillId="0" borderId="0" xfId="0" applyNumberFormat="1" applyFont="1" applyBorder="1" applyAlignment="1">
      <alignment horizontal="center"/>
    </xf>
    <xf numFmtId="0" fontId="112" fillId="0" borderId="0" xfId="0" applyFont="1" applyBorder="1" applyAlignment="1">
      <alignment horizontal="center"/>
    </xf>
    <xf numFmtId="0" fontId="111" fillId="0" borderId="0" xfId="0" applyFont="1" applyBorder="1" applyAlignment="1">
      <alignment/>
    </xf>
    <xf numFmtId="0" fontId="5" fillId="0" borderId="0" xfId="0" applyFont="1" applyFill="1" applyBorder="1" applyAlignment="1">
      <alignment horizontal="right"/>
    </xf>
    <xf numFmtId="0" fontId="21" fillId="0" borderId="0" xfId="0" applyNumberFormat="1" applyFont="1" applyAlignment="1">
      <alignment horizontal="center"/>
    </xf>
    <xf numFmtId="0" fontId="3" fillId="0" borderId="14" xfId="0" applyNumberFormat="1" applyFont="1" applyBorder="1" applyAlignment="1">
      <alignment horizontal="center"/>
    </xf>
    <xf numFmtId="0" fontId="2" fillId="37" borderId="0" xfId="0" applyNumberFormat="1" applyFont="1" applyFill="1" applyAlignment="1">
      <alignment/>
    </xf>
    <xf numFmtId="0" fontId="5" fillId="37" borderId="0" xfId="0" applyNumberFormat="1" applyFont="1" applyFill="1" applyAlignment="1">
      <alignment/>
    </xf>
    <xf numFmtId="0" fontId="5" fillId="37" borderId="0" xfId="0" applyNumberFormat="1" applyFont="1" applyFill="1" applyAlignment="1">
      <alignment horizontal="center"/>
    </xf>
    <xf numFmtId="0" fontId="22" fillId="37" borderId="0" xfId="0" applyNumberFormat="1" applyFont="1" applyFill="1" applyAlignment="1">
      <alignment/>
    </xf>
    <xf numFmtId="0" fontId="16" fillId="37" borderId="0" xfId="0" applyNumberFormat="1" applyFont="1" applyFill="1" applyAlignment="1">
      <alignment horizontal="center"/>
    </xf>
    <xf numFmtId="168" fontId="5" fillId="37" borderId="0" xfId="0" applyNumberFormat="1" applyFont="1" applyFill="1" applyAlignment="1">
      <alignment horizontal="center"/>
    </xf>
    <xf numFmtId="0" fontId="113" fillId="37" borderId="0" xfId="0" applyNumberFormat="1" applyFont="1" applyFill="1" applyAlignment="1">
      <alignment/>
    </xf>
    <xf numFmtId="10" fontId="9" fillId="37" borderId="0" xfId="74" applyNumberFormat="1" applyFont="1" applyFill="1" applyAlignment="1">
      <alignment/>
    </xf>
    <xf numFmtId="10" fontId="5" fillId="37" borderId="0" xfId="74" applyNumberFormat="1" applyFont="1" applyFill="1" applyAlignment="1">
      <alignment/>
    </xf>
    <xf numFmtId="168" fontId="21" fillId="37" borderId="0" xfId="0" applyNumberFormat="1" applyFont="1" applyFill="1" applyAlignment="1">
      <alignment horizontal="center"/>
    </xf>
    <xf numFmtId="168" fontId="5" fillId="37" borderId="0" xfId="0" applyNumberFormat="1" applyFont="1" applyFill="1" applyAlignment="1">
      <alignment/>
    </xf>
    <xf numFmtId="168" fontId="5" fillId="37" borderId="0" xfId="0" applyNumberFormat="1" applyFont="1" applyFill="1" applyBorder="1" applyAlignment="1">
      <alignment/>
    </xf>
    <xf numFmtId="168" fontId="5" fillId="37" borderId="0" xfId="74" applyNumberFormat="1" applyFont="1" applyFill="1" applyAlignment="1">
      <alignment/>
    </xf>
    <xf numFmtId="168" fontId="5" fillId="37" borderId="0" xfId="74" applyNumberFormat="1" applyFont="1" applyFill="1" applyBorder="1" applyAlignment="1">
      <alignment/>
    </xf>
    <xf numFmtId="0" fontId="5" fillId="37" borderId="16" xfId="0" applyNumberFormat="1" applyFont="1" applyFill="1" applyBorder="1" applyAlignment="1">
      <alignment/>
    </xf>
    <xf numFmtId="168" fontId="5" fillId="37" borderId="16" xfId="0" applyNumberFormat="1" applyFont="1" applyFill="1" applyBorder="1" applyAlignment="1">
      <alignment/>
    </xf>
    <xf numFmtId="0" fontId="5" fillId="37" borderId="0" xfId="0" applyNumberFormat="1" applyFont="1" applyFill="1" applyBorder="1" applyAlignment="1">
      <alignment/>
    </xf>
    <xf numFmtId="168" fontId="3" fillId="37" borderId="0" xfId="0" applyNumberFormat="1" applyFont="1" applyFill="1" applyBorder="1" applyAlignment="1">
      <alignment horizontal="center" vertical="center"/>
    </xf>
    <xf numFmtId="1" fontId="5" fillId="37" borderId="0" xfId="74" applyNumberFormat="1" applyFont="1" applyFill="1" applyBorder="1" applyAlignment="1">
      <alignment/>
    </xf>
    <xf numFmtId="168" fontId="5" fillId="37" borderId="0" xfId="0" applyNumberFormat="1" applyFont="1" applyFill="1" applyBorder="1" applyAlignment="1">
      <alignment horizontal="right"/>
    </xf>
    <xf numFmtId="0" fontId="5" fillId="37" borderId="0" xfId="0" applyNumberFormat="1" applyFont="1" applyFill="1" applyAlignment="1">
      <alignment horizontal="left" indent="1"/>
    </xf>
    <xf numFmtId="6" fontId="5" fillId="37" borderId="0" xfId="0" applyNumberFormat="1" applyFont="1" applyFill="1" applyBorder="1" applyAlignment="1">
      <alignment horizontal="right"/>
    </xf>
    <xf numFmtId="0" fontId="3" fillId="37" borderId="17" xfId="0" applyNumberFormat="1" applyFont="1" applyFill="1" applyBorder="1" applyAlignment="1">
      <alignment horizontal="right"/>
    </xf>
    <xf numFmtId="0" fontId="5" fillId="37" borderId="17" xfId="0" applyNumberFormat="1" applyFont="1" applyFill="1" applyBorder="1" applyAlignment="1">
      <alignment/>
    </xf>
    <xf numFmtId="0" fontId="2" fillId="37" borderId="17" xfId="0" applyNumberFormat="1" applyFont="1" applyFill="1" applyBorder="1" applyAlignment="1">
      <alignment horizontal="center"/>
    </xf>
    <xf numFmtId="10" fontId="5" fillId="37" borderId="17" xfId="74" applyNumberFormat="1" applyFont="1" applyFill="1" applyBorder="1" applyAlignment="1">
      <alignment horizontal="right"/>
    </xf>
    <xf numFmtId="0" fontId="2" fillId="37" borderId="0" xfId="0" applyNumberFormat="1" applyFont="1" applyFill="1" applyBorder="1" applyAlignment="1">
      <alignment horizontal="center"/>
    </xf>
    <xf numFmtId="10" fontId="5" fillId="37" borderId="0" xfId="74" applyNumberFormat="1" applyFont="1" applyFill="1" applyBorder="1" applyAlignment="1">
      <alignment horizontal="right"/>
    </xf>
    <xf numFmtId="174" fontId="2" fillId="37" borderId="0" xfId="0" applyNumberFormat="1" applyFont="1" applyFill="1" applyAlignment="1">
      <alignment horizontal="left"/>
    </xf>
    <xf numFmtId="174" fontId="5" fillId="37" borderId="0" xfId="0" applyNumberFormat="1" applyFont="1" applyFill="1" applyAlignment="1">
      <alignment horizontal="left"/>
    </xf>
    <xf numFmtId="41" fontId="5" fillId="37" borderId="0" xfId="0" applyNumberFormat="1" applyFont="1" applyFill="1" applyBorder="1" applyAlignment="1">
      <alignment horizontal="right" wrapText="1"/>
    </xf>
    <xf numFmtId="173" fontId="20" fillId="37" borderId="0" xfId="50" applyNumberFormat="1" applyFont="1" applyFill="1" applyBorder="1" applyAlignment="1">
      <alignment horizontal="right"/>
    </xf>
    <xf numFmtId="9" fontId="5" fillId="37" borderId="0" xfId="0" applyNumberFormat="1" applyFont="1" applyFill="1" applyBorder="1" applyAlignment="1">
      <alignment horizontal="right" wrapText="1"/>
    </xf>
    <xf numFmtId="41" fontId="5" fillId="37" borderId="14" xfId="0" applyNumberFormat="1" applyFont="1" applyFill="1" applyBorder="1" applyAlignment="1">
      <alignment horizontal="right" wrapText="1"/>
    </xf>
    <xf numFmtId="174" fontId="5" fillId="37" borderId="0" xfId="0" applyNumberFormat="1" applyFont="1" applyFill="1" applyAlignment="1">
      <alignment horizontal="left" indent="2"/>
    </xf>
    <xf numFmtId="174" fontId="5" fillId="37" borderId="0" xfId="0" applyNumberFormat="1" applyFont="1" applyFill="1" applyAlignment="1">
      <alignment horizontal="right"/>
    </xf>
    <xf numFmtId="174" fontId="5" fillId="37" borderId="0" xfId="0" applyNumberFormat="1" applyFont="1" applyFill="1" applyAlignment="1">
      <alignment horizontal="left" indent="1"/>
    </xf>
    <xf numFmtId="41" fontId="9" fillId="37" borderId="0" xfId="0" applyNumberFormat="1" applyFont="1" applyFill="1" applyBorder="1" applyAlignment="1">
      <alignment horizontal="right" wrapText="1"/>
    </xf>
    <xf numFmtId="6" fontId="5" fillId="37" borderId="0" xfId="0" applyNumberFormat="1" applyFont="1" applyFill="1" applyAlignment="1">
      <alignment horizontal="right" wrapText="1"/>
    </xf>
    <xf numFmtId="174" fontId="5" fillId="37" borderId="0" xfId="0" applyNumberFormat="1" applyFont="1" applyFill="1" applyBorder="1" applyAlignment="1">
      <alignment horizontal="left" indent="1"/>
    </xf>
    <xf numFmtId="41" fontId="5" fillId="37" borderId="0" xfId="0" applyNumberFormat="1" applyFont="1" applyFill="1" applyAlignment="1">
      <alignment horizontal="right" wrapText="1"/>
    </xf>
    <xf numFmtId="174" fontId="5" fillId="37" borderId="0" xfId="0" applyNumberFormat="1" applyFont="1" applyFill="1" applyAlignment="1">
      <alignment horizontal="right" wrapText="1"/>
    </xf>
    <xf numFmtId="41" fontId="9" fillId="37" borderId="0" xfId="0" applyNumberFormat="1" applyFont="1" applyFill="1" applyAlignment="1">
      <alignment horizontal="right" wrapText="1"/>
    </xf>
    <xf numFmtId="41" fontId="9" fillId="37" borderId="16" xfId="0" applyNumberFormat="1" applyFont="1" applyFill="1" applyBorder="1" applyAlignment="1">
      <alignment horizontal="right" wrapText="1"/>
    </xf>
    <xf numFmtId="6" fontId="5" fillId="37" borderId="16" xfId="0" applyNumberFormat="1" applyFont="1" applyFill="1" applyBorder="1" applyAlignment="1">
      <alignment horizontal="right" wrapText="1"/>
    </xf>
    <xf numFmtId="0" fontId="0" fillId="37" borderId="0" xfId="0" applyNumberFormat="1" applyFill="1" applyAlignment="1">
      <alignment/>
    </xf>
    <xf numFmtId="174" fontId="5" fillId="37" borderId="17" xfId="0" applyNumberFormat="1" applyFont="1" applyFill="1" applyBorder="1" applyAlignment="1">
      <alignment horizontal="left" indent="1"/>
    </xf>
    <xf numFmtId="0" fontId="0" fillId="37" borderId="17" xfId="0" applyNumberFormat="1" applyFill="1" applyBorder="1" applyAlignment="1">
      <alignment/>
    </xf>
    <xf numFmtId="6" fontId="5" fillId="37" borderId="17" xfId="0" applyNumberFormat="1" applyFont="1" applyFill="1" applyBorder="1" applyAlignment="1">
      <alignment horizontal="right" wrapText="1"/>
    </xf>
    <xf numFmtId="168" fontId="114" fillId="37" borderId="0" xfId="0" applyNumberFormat="1" applyFont="1" applyFill="1" applyBorder="1" applyAlignment="1">
      <alignment/>
    </xf>
    <xf numFmtId="9" fontId="115" fillId="0" borderId="0" xfId="0" applyNumberFormat="1" applyFont="1" applyFill="1" applyBorder="1" applyAlignment="1">
      <alignment horizontal="center"/>
    </xf>
    <xf numFmtId="2" fontId="5" fillId="0" borderId="0" xfId="0" applyNumberFormat="1" applyFont="1" applyFill="1" applyAlignment="1">
      <alignment horizontal="right"/>
    </xf>
    <xf numFmtId="6" fontId="5" fillId="37" borderId="0" xfId="0" applyNumberFormat="1" applyFont="1" applyFill="1" applyAlignment="1">
      <alignment horizontal="right" vertical="center" wrapText="1"/>
    </xf>
    <xf numFmtId="0" fontId="5" fillId="0" borderId="18" xfId="0" applyFont="1" applyFill="1" applyBorder="1" applyAlignment="1">
      <alignment/>
    </xf>
    <xf numFmtId="0" fontId="26" fillId="0" borderId="0" xfId="0" applyFont="1" applyFill="1" applyBorder="1" applyAlignment="1">
      <alignment vertical="center"/>
    </xf>
    <xf numFmtId="175" fontId="3" fillId="0" borderId="14" xfId="0" applyNumberFormat="1" applyFont="1" applyFill="1" applyBorder="1" applyAlignment="1">
      <alignment horizontal="center"/>
    </xf>
    <xf numFmtId="2" fontId="116" fillId="0" borderId="17" xfId="0" applyNumberFormat="1" applyFont="1" applyFill="1" applyBorder="1" applyAlignment="1">
      <alignment horizontal="center"/>
    </xf>
    <xf numFmtId="6" fontId="117" fillId="0" borderId="0" xfId="0" applyNumberFormat="1" applyFont="1" applyAlignment="1">
      <alignment/>
    </xf>
    <xf numFmtId="6" fontId="117" fillId="0" borderId="16" xfId="0" applyNumberFormat="1" applyFont="1" applyBorder="1" applyAlignment="1">
      <alignment/>
    </xf>
    <xf numFmtId="0" fontId="5" fillId="0" borderId="0" xfId="0" applyNumberFormat="1" applyFont="1" applyAlignment="1">
      <alignment wrapText="1"/>
    </xf>
    <xf numFmtId="9" fontId="5" fillId="0" borderId="16" xfId="0" applyNumberFormat="1" applyFont="1" applyBorder="1" applyAlignment="1">
      <alignment/>
    </xf>
    <xf numFmtId="9" fontId="118" fillId="0" borderId="0" xfId="0" applyNumberFormat="1" applyFont="1" applyAlignment="1">
      <alignment/>
    </xf>
    <xf numFmtId="6" fontId="5" fillId="37" borderId="0" xfId="0" applyNumberFormat="1" applyFont="1" applyFill="1" applyBorder="1" applyAlignment="1">
      <alignment/>
    </xf>
    <xf numFmtId="0" fontId="16" fillId="37" borderId="0" xfId="0" applyNumberFormat="1" applyFont="1" applyFill="1" applyAlignment="1">
      <alignment/>
    </xf>
    <xf numFmtId="0" fontId="6" fillId="0" borderId="19" xfId="0" applyFont="1" applyFill="1" applyBorder="1" applyAlignment="1">
      <alignment horizontal="center"/>
    </xf>
    <xf numFmtId="0" fontId="5" fillId="0" borderId="19" xfId="0" applyFont="1" applyFill="1" applyBorder="1" applyAlignment="1">
      <alignment/>
    </xf>
    <xf numFmtId="6" fontId="2" fillId="0" borderId="17" xfId="0" applyNumberFormat="1" applyFont="1" applyBorder="1" applyAlignment="1">
      <alignment/>
    </xf>
    <xf numFmtId="1" fontId="108" fillId="0" borderId="0" xfId="0" applyNumberFormat="1" applyFont="1" applyFill="1" applyBorder="1" applyAlignment="1">
      <alignment horizontal="right"/>
    </xf>
    <xf numFmtId="164" fontId="108" fillId="0" borderId="0" xfId="74" applyNumberFormat="1" applyFont="1" applyFill="1" applyBorder="1" applyAlignment="1">
      <alignment horizontal="right"/>
    </xf>
    <xf numFmtId="3" fontId="5" fillId="0" borderId="0" xfId="0" applyNumberFormat="1" applyFont="1" applyFill="1" applyBorder="1" applyAlignment="1">
      <alignment horizontal="right"/>
    </xf>
    <xf numFmtId="0" fontId="108" fillId="0" borderId="0" xfId="0" applyFont="1" applyFill="1" applyBorder="1" applyAlignment="1">
      <alignment horizontal="right"/>
    </xf>
    <xf numFmtId="170" fontId="108" fillId="0" borderId="0" xfId="50" applyNumberFormat="1" applyFont="1" applyFill="1" applyBorder="1" applyAlignment="1">
      <alignment horizontal="right"/>
    </xf>
    <xf numFmtId="6" fontId="108"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8" fontId="5" fillId="0" borderId="0" xfId="50" applyNumberFormat="1" applyFont="1" applyFill="1" applyBorder="1" applyAlignment="1">
      <alignment horizontal="right"/>
    </xf>
    <xf numFmtId="2" fontId="108" fillId="0" borderId="0" xfId="74" applyNumberFormat="1" applyFont="1" applyFill="1" applyBorder="1" applyAlignment="1">
      <alignment horizontal="right"/>
    </xf>
    <xf numFmtId="2" fontId="5" fillId="0" borderId="0" xfId="74" applyNumberFormat="1" applyFont="1" applyFill="1" applyBorder="1" applyAlignment="1">
      <alignment horizontal="right"/>
    </xf>
    <xf numFmtId="2" fontId="108" fillId="0" borderId="0" xfId="0" applyNumberFormat="1" applyFont="1" applyFill="1" applyBorder="1" applyAlignment="1">
      <alignment horizontal="center"/>
    </xf>
    <xf numFmtId="9" fontId="108" fillId="0" borderId="0" xfId="74" applyFont="1" applyFill="1" applyBorder="1" applyAlignment="1">
      <alignment horizontal="center"/>
    </xf>
    <xf numFmtId="164" fontId="4" fillId="0" borderId="0" xfId="74" applyNumberFormat="1" applyFont="1" applyFill="1" applyBorder="1" applyAlignment="1">
      <alignment horizontal="center"/>
    </xf>
    <xf numFmtId="170" fontId="5" fillId="0" borderId="0" xfId="50" applyNumberFormat="1" applyFont="1" applyFill="1" applyBorder="1" applyAlignment="1">
      <alignment horizontal="right"/>
    </xf>
    <xf numFmtId="169" fontId="3" fillId="0" borderId="0" xfId="0" applyNumberFormat="1" applyFont="1" applyFill="1" applyBorder="1" applyAlignment="1">
      <alignment horizontal="center"/>
    </xf>
    <xf numFmtId="170" fontId="108" fillId="0" borderId="0" xfId="0" applyNumberFormat="1" applyFont="1" applyFill="1" applyBorder="1" applyAlignment="1">
      <alignment horizontal="right"/>
    </xf>
    <xf numFmtId="2" fontId="108" fillId="0" borderId="0" xfId="0" applyNumberFormat="1" applyFont="1" applyFill="1" applyBorder="1" applyAlignment="1">
      <alignment horizontal="right"/>
    </xf>
    <xf numFmtId="168" fontId="108" fillId="0" borderId="0" xfId="0" applyNumberFormat="1" applyFont="1" applyFill="1" applyBorder="1" applyAlignment="1">
      <alignment horizontal="right"/>
    </xf>
    <xf numFmtId="9" fontId="9" fillId="0" borderId="0" xfId="74" applyFont="1" applyFill="1" applyBorder="1" applyAlignment="1">
      <alignment horizontal="right"/>
    </xf>
    <xf numFmtId="9" fontId="108" fillId="0" borderId="0" xfId="74" applyNumberFormat="1" applyFont="1" applyFill="1" applyBorder="1" applyAlignment="1">
      <alignment horizontal="right"/>
    </xf>
    <xf numFmtId="10" fontId="108" fillId="0" borderId="0" xfId="74" applyNumberFormat="1" applyFont="1" applyFill="1" applyBorder="1" applyAlignment="1">
      <alignment horizontal="right"/>
    </xf>
    <xf numFmtId="9" fontId="5" fillId="0" borderId="0" xfId="74" applyNumberFormat="1" applyFont="1" applyFill="1" applyBorder="1" applyAlignment="1">
      <alignment horizontal="right"/>
    </xf>
    <xf numFmtId="9" fontId="4" fillId="0" borderId="0" xfId="74" applyFont="1" applyFill="1" applyBorder="1" applyAlignment="1">
      <alignment horizontal="right"/>
    </xf>
    <xf numFmtId="0" fontId="107" fillId="0" borderId="20" xfId="0" applyFont="1" applyFill="1" applyBorder="1" applyAlignment="1">
      <alignment horizontal="center"/>
    </xf>
    <xf numFmtId="10" fontId="3" fillId="0" borderId="0" xfId="74" applyNumberFormat="1" applyFont="1" applyFill="1" applyBorder="1" applyAlignment="1">
      <alignment horizontal="right"/>
    </xf>
    <xf numFmtId="0" fontId="5" fillId="0" borderId="21" xfId="0" applyFont="1" applyFill="1" applyBorder="1" applyAlignment="1">
      <alignment/>
    </xf>
    <xf numFmtId="0" fontId="5" fillId="0" borderId="22" xfId="0" applyFont="1" applyFill="1" applyBorder="1" applyAlignment="1">
      <alignment/>
    </xf>
    <xf numFmtId="0" fontId="2" fillId="0" borderId="15" xfId="0" applyFont="1" applyFill="1" applyBorder="1" applyAlignment="1">
      <alignment horizontal="center"/>
    </xf>
    <xf numFmtId="164" fontId="3" fillId="0" borderId="0" xfId="74" applyNumberFormat="1" applyFont="1" applyAlignment="1">
      <alignment horizontal="center"/>
    </xf>
    <xf numFmtId="173" fontId="2" fillId="0" borderId="0" xfId="42" applyNumberFormat="1" applyFont="1" applyFill="1" applyBorder="1" applyAlignment="1">
      <alignment horizontal="center"/>
    </xf>
    <xf numFmtId="9" fontId="3" fillId="0" borderId="0" xfId="74" applyFont="1" applyAlignment="1">
      <alignment horizontal="center"/>
    </xf>
    <xf numFmtId="9" fontId="3" fillId="0" borderId="0" xfId="0" applyNumberFormat="1" applyFont="1" applyAlignment="1">
      <alignment horizontal="center"/>
    </xf>
    <xf numFmtId="0" fontId="16" fillId="0" borderId="0" xfId="0" applyNumberFormat="1" applyFont="1" applyFill="1" applyBorder="1" applyAlignment="1">
      <alignment/>
    </xf>
    <xf numFmtId="2" fontId="21" fillId="0" borderId="0" xfId="0" applyNumberFormat="1" applyFont="1" applyBorder="1" applyAlignment="1">
      <alignment/>
    </xf>
    <xf numFmtId="0" fontId="5" fillId="0" borderId="23" xfId="0" applyFont="1" applyFill="1" applyBorder="1" applyAlignment="1">
      <alignment/>
    </xf>
    <xf numFmtId="0" fontId="2" fillId="0" borderId="17" xfId="0" applyFont="1" applyFill="1" applyBorder="1" applyAlignment="1">
      <alignment horizontal="center"/>
    </xf>
    <xf numFmtId="0" fontId="5" fillId="0" borderId="16" xfId="0" applyNumberFormat="1" applyFont="1" applyBorder="1" applyAlignment="1">
      <alignment wrapText="1"/>
    </xf>
    <xf numFmtId="6" fontId="27" fillId="0" borderId="0" xfId="0" applyNumberFormat="1" applyFont="1" applyAlignment="1">
      <alignment/>
    </xf>
    <xf numFmtId="6" fontId="107" fillId="0" borderId="0" xfId="0" applyNumberFormat="1" applyFont="1" applyFill="1" applyAlignment="1">
      <alignment/>
    </xf>
    <xf numFmtId="0" fontId="25" fillId="33" borderId="10" xfId="0" applyFont="1" applyFill="1" applyBorder="1" applyAlignment="1">
      <alignment/>
    </xf>
    <xf numFmtId="0" fontId="5" fillId="33" borderId="12" xfId="0" applyFont="1" applyFill="1" applyBorder="1" applyAlignment="1">
      <alignment/>
    </xf>
    <xf numFmtId="169" fontId="3" fillId="38" borderId="0" xfId="0" applyNumberFormat="1" applyFont="1" applyFill="1" applyBorder="1" applyAlignment="1">
      <alignment horizontal="center"/>
    </xf>
    <xf numFmtId="0" fontId="5" fillId="38" borderId="0" xfId="0" applyFont="1" applyFill="1" applyBorder="1" applyAlignment="1">
      <alignment/>
    </xf>
    <xf numFmtId="14" fontId="5" fillId="38" borderId="0" xfId="0" applyNumberFormat="1" applyFont="1" applyFill="1" applyBorder="1" applyAlignment="1">
      <alignment horizontal="center"/>
    </xf>
    <xf numFmtId="167"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8" fontId="4" fillId="0" borderId="0" xfId="50" applyNumberFormat="1" applyFont="1" applyFill="1" applyBorder="1" applyAlignment="1">
      <alignment horizontal="center"/>
    </xf>
    <xf numFmtId="168" fontId="5" fillId="0" borderId="0" xfId="50" applyNumberFormat="1" applyFont="1" applyFill="1" applyBorder="1" applyAlignment="1">
      <alignment horizontal="center"/>
    </xf>
    <xf numFmtId="170" fontId="4" fillId="0" borderId="0" xfId="50" applyNumberFormat="1" applyFont="1" applyFill="1" applyBorder="1" applyAlignment="1">
      <alignment horizontal="center"/>
    </xf>
    <xf numFmtId="164" fontId="4" fillId="38" borderId="0" xfId="74" applyNumberFormat="1" applyFont="1" applyFill="1" applyBorder="1" applyAlignment="1">
      <alignment horizontal="center"/>
    </xf>
    <xf numFmtId="0" fontId="2" fillId="38" borderId="0" xfId="0" applyFont="1" applyFill="1" applyBorder="1" applyAlignment="1">
      <alignment horizontal="center"/>
    </xf>
    <xf numFmtId="9" fontId="4" fillId="0" borderId="0" xfId="74" applyFont="1" applyFill="1" applyBorder="1" applyAlignment="1">
      <alignment horizontal="center"/>
    </xf>
    <xf numFmtId="0" fontId="6" fillId="33" borderId="19" xfId="0" applyFont="1" applyFill="1" applyBorder="1" applyAlignment="1">
      <alignment vertical="center"/>
    </xf>
    <xf numFmtId="0" fontId="26" fillId="33" borderId="19" xfId="0" applyFont="1" applyFill="1" applyBorder="1" applyAlignment="1">
      <alignment vertical="center"/>
    </xf>
    <xf numFmtId="0" fontId="26" fillId="33" borderId="22" xfId="0" applyFont="1" applyFill="1" applyBorder="1" applyAlignment="1">
      <alignment vertical="center"/>
    </xf>
    <xf numFmtId="1" fontId="0" fillId="0" borderId="0" xfId="0" applyNumberFormat="1" applyAlignment="1">
      <alignment/>
    </xf>
    <xf numFmtId="10" fontId="5" fillId="37" borderId="0" xfId="74" applyNumberFormat="1" applyFont="1" applyFill="1" applyAlignment="1">
      <alignment horizontal="right" wrapText="1"/>
    </xf>
    <xf numFmtId="6" fontId="16" fillId="37" borderId="0" xfId="0" applyNumberFormat="1" applyFont="1" applyFill="1" applyAlignment="1">
      <alignment horizontal="center" wrapText="1"/>
    </xf>
    <xf numFmtId="177" fontId="5" fillId="37" borderId="0" xfId="0" applyNumberFormat="1" applyFont="1" applyFill="1" applyAlignment="1">
      <alignment horizontal="center" wrapText="1"/>
    </xf>
    <xf numFmtId="1" fontId="108" fillId="37" borderId="0" xfId="0" applyNumberFormat="1" applyFont="1" applyFill="1" applyAlignment="1">
      <alignment horizontal="right" wrapText="1"/>
    </xf>
    <xf numFmtId="177" fontId="5" fillId="37" borderId="0" xfId="0" applyNumberFormat="1" applyFont="1" applyFill="1" applyAlignment="1">
      <alignment horizontal="right" wrapText="1"/>
    </xf>
    <xf numFmtId="0" fontId="0" fillId="0" borderId="0" xfId="0" applyNumberFormat="1" applyFill="1" applyAlignment="1">
      <alignment/>
    </xf>
    <xf numFmtId="1" fontId="0" fillId="0" borderId="0" xfId="0" applyNumberFormat="1" applyFill="1" applyAlignment="1">
      <alignment/>
    </xf>
    <xf numFmtId="1" fontId="0" fillId="37" borderId="17" xfId="0" applyNumberFormat="1" applyFill="1" applyBorder="1" applyAlignment="1">
      <alignment/>
    </xf>
    <xf numFmtId="174" fontId="2" fillId="37" borderId="0" xfId="0" applyNumberFormat="1" applyFont="1" applyFill="1" applyAlignment="1">
      <alignment horizontal="left" indent="1"/>
    </xf>
    <xf numFmtId="175" fontId="3" fillId="0" borderId="0" xfId="0" applyNumberFormat="1" applyFont="1" applyFill="1" applyAlignment="1">
      <alignment horizontal="center"/>
    </xf>
    <xf numFmtId="1" fontId="110" fillId="0" borderId="0" xfId="0" applyNumberFormat="1" applyFont="1" applyFill="1" applyBorder="1" applyAlignment="1">
      <alignment horizontal="center"/>
    </xf>
    <xf numFmtId="0" fontId="119" fillId="33" borderId="14" xfId="0" applyNumberFormat="1" applyFont="1" applyFill="1" applyBorder="1" applyAlignment="1">
      <alignment horizontal="center"/>
    </xf>
    <xf numFmtId="0" fontId="119" fillId="33" borderId="24" xfId="0" applyNumberFormat="1" applyFont="1" applyFill="1" applyBorder="1" applyAlignment="1">
      <alignment horizontal="center"/>
    </xf>
    <xf numFmtId="2" fontId="120" fillId="33" borderId="13" xfId="0" applyNumberFormat="1" applyFont="1" applyFill="1" applyBorder="1" applyAlignment="1">
      <alignment horizontal="center"/>
    </xf>
    <xf numFmtId="0" fontId="121" fillId="0" borderId="0" xfId="0" applyFont="1" applyFill="1" applyBorder="1" applyAlignment="1">
      <alignment/>
    </xf>
    <xf numFmtId="0" fontId="15" fillId="33" borderId="11" xfId="0" applyNumberFormat="1" applyFont="1" applyFill="1" applyBorder="1" applyAlignment="1">
      <alignment horizontal="center"/>
    </xf>
    <xf numFmtId="0" fontId="16" fillId="0" borderId="0" xfId="0" applyFont="1" applyFill="1" applyBorder="1" applyAlignment="1">
      <alignment horizontal="center"/>
    </xf>
    <xf numFmtId="0" fontId="5" fillId="39" borderId="0" xfId="0" applyFont="1" applyFill="1" applyBorder="1" applyAlignment="1">
      <alignment/>
    </xf>
    <xf numFmtId="0" fontId="2" fillId="39" borderId="0" xfId="0" applyFont="1" applyFill="1" applyBorder="1" applyAlignment="1">
      <alignment horizontal="center"/>
    </xf>
    <xf numFmtId="0" fontId="5" fillId="39" borderId="25" xfId="0" applyFont="1" applyFill="1" applyBorder="1" applyAlignment="1">
      <alignment/>
    </xf>
    <xf numFmtId="0" fontId="5" fillId="39" borderId="19" xfId="0" applyFont="1" applyFill="1" applyBorder="1" applyAlignment="1">
      <alignment/>
    </xf>
    <xf numFmtId="0" fontId="2" fillId="39" borderId="19" xfId="0" applyFont="1" applyFill="1" applyBorder="1" applyAlignment="1">
      <alignment horizontal="center"/>
    </xf>
    <xf numFmtId="0" fontId="5" fillId="39" borderId="22" xfId="0" applyFont="1" applyFill="1" applyBorder="1" applyAlignment="1">
      <alignment/>
    </xf>
    <xf numFmtId="0" fontId="5" fillId="39" borderId="15" xfId="0" applyFont="1" applyFill="1" applyBorder="1" applyAlignment="1">
      <alignment/>
    </xf>
    <xf numFmtId="0" fontId="122" fillId="39" borderId="0" xfId="0" applyFont="1" applyFill="1" applyBorder="1" applyAlignment="1">
      <alignment/>
    </xf>
    <xf numFmtId="0" fontId="5" fillId="39" borderId="18" xfId="0" applyFont="1" applyFill="1" applyBorder="1" applyAlignment="1">
      <alignment/>
    </xf>
    <xf numFmtId="0" fontId="5" fillId="39" borderId="21" xfId="0" applyFont="1" applyFill="1" applyBorder="1" applyAlignment="1">
      <alignment/>
    </xf>
    <xf numFmtId="0" fontId="5" fillId="39" borderId="17" xfId="0" applyFont="1" applyFill="1" applyBorder="1" applyAlignment="1">
      <alignment/>
    </xf>
    <xf numFmtId="0" fontId="122" fillId="39" borderId="17" xfId="0" applyFont="1" applyFill="1" applyBorder="1" applyAlignment="1">
      <alignment/>
    </xf>
    <xf numFmtId="0" fontId="2" fillId="39" borderId="17" xfId="0" applyFont="1" applyFill="1" applyBorder="1" applyAlignment="1">
      <alignment horizontal="center"/>
    </xf>
    <xf numFmtId="0" fontId="5" fillId="39" borderId="23" xfId="0" applyFont="1" applyFill="1" applyBorder="1" applyAlignment="1">
      <alignment/>
    </xf>
    <xf numFmtId="0" fontId="25" fillId="39" borderId="19" xfId="0" applyNumberFormat="1" applyFont="1" applyFill="1" applyBorder="1" applyAlignment="1">
      <alignment/>
    </xf>
    <xf numFmtId="9" fontId="109" fillId="0" borderId="0" xfId="0" applyNumberFormat="1" applyFont="1" applyFill="1" applyBorder="1" applyAlignment="1">
      <alignment horizontal="left"/>
    </xf>
    <xf numFmtId="0" fontId="120" fillId="33" borderId="14" xfId="0" applyFont="1" applyFill="1" applyBorder="1" applyAlignment="1">
      <alignment horizontal="center"/>
    </xf>
    <xf numFmtId="164" fontId="108" fillId="0" borderId="14" xfId="74" applyNumberFormat="1" applyFont="1" applyFill="1" applyBorder="1" applyAlignment="1">
      <alignment horizontal="center"/>
    </xf>
    <xf numFmtId="164" fontId="120" fillId="33" borderId="24" xfId="74" applyNumberFormat="1" applyFont="1" applyFill="1" applyBorder="1" applyAlignment="1">
      <alignment horizontal="center"/>
    </xf>
    <xf numFmtId="0" fontId="5" fillId="40" borderId="0" xfId="0" applyFont="1" applyFill="1" applyBorder="1" applyAlignment="1">
      <alignment/>
    </xf>
    <xf numFmtId="168" fontId="5" fillId="40" borderId="0" xfId="0" applyNumberFormat="1" applyFont="1" applyFill="1" applyBorder="1" applyAlignment="1">
      <alignment horizontal="center"/>
    </xf>
    <xf numFmtId="169" fontId="3" fillId="40" borderId="0" xfId="0" applyNumberFormat="1" applyFont="1" applyFill="1" applyBorder="1" applyAlignment="1">
      <alignment horizontal="center"/>
    </xf>
    <xf numFmtId="9" fontId="4" fillId="40" borderId="0" xfId="74" applyFont="1" applyFill="1" applyBorder="1" applyAlignment="1">
      <alignment horizontal="center"/>
    </xf>
    <xf numFmtId="168" fontId="4" fillId="40" borderId="0" xfId="74" applyNumberFormat="1" applyFont="1" applyFill="1" applyBorder="1" applyAlignment="1">
      <alignment horizontal="center"/>
    </xf>
    <xf numFmtId="0" fontId="107" fillId="40" borderId="0" xfId="0" applyFont="1" applyFill="1" applyBorder="1" applyAlignment="1">
      <alignment horizontal="center"/>
    </xf>
    <xf numFmtId="0" fontId="2" fillId="40" borderId="0" xfId="0" applyFont="1" applyFill="1" applyBorder="1" applyAlignment="1">
      <alignment horizontal="center"/>
    </xf>
    <xf numFmtId="0" fontId="4" fillId="40" borderId="0" xfId="0" applyNumberFormat="1" applyFont="1" applyFill="1" applyBorder="1" applyAlignment="1">
      <alignment horizontal="center"/>
    </xf>
    <xf numFmtId="2" fontId="0" fillId="37" borderId="0" xfId="0" applyNumberFormat="1" applyFill="1" applyAlignment="1">
      <alignment/>
    </xf>
    <xf numFmtId="6" fontId="2" fillId="0" borderId="0" xfId="0" applyNumberFormat="1" applyFont="1" applyFill="1" applyBorder="1" applyAlignment="1">
      <alignment horizontal="center"/>
    </xf>
    <xf numFmtId="0" fontId="2" fillId="0" borderId="26" xfId="0" applyNumberFormat="1" applyFont="1" applyBorder="1" applyAlignment="1">
      <alignment horizontal="center"/>
    </xf>
    <xf numFmtId="2" fontId="116" fillId="3" borderId="27" xfId="0" applyNumberFormat="1" applyFont="1" applyFill="1" applyBorder="1" applyAlignment="1">
      <alignment horizontal="center"/>
    </xf>
    <xf numFmtId="0" fontId="15" fillId="0" borderId="27" xfId="0" applyNumberFormat="1" applyFont="1" applyBorder="1" applyAlignment="1">
      <alignment horizontal="center"/>
    </xf>
    <xf numFmtId="2" fontId="2" fillId="0" borderId="0" xfId="0" applyNumberFormat="1" applyFont="1" applyFill="1" applyBorder="1" applyAlignment="1">
      <alignment horizontal="center"/>
    </xf>
    <xf numFmtId="1" fontId="123" fillId="0" borderId="0" xfId="0" applyNumberFormat="1" applyFont="1" applyFill="1" applyBorder="1" applyAlignment="1">
      <alignment horizontal="center"/>
    </xf>
    <xf numFmtId="6" fontId="124" fillId="0" borderId="0" xfId="0" applyNumberFormat="1" applyFont="1" applyFill="1" applyBorder="1" applyAlignment="1">
      <alignment horizontal="center"/>
    </xf>
    <xf numFmtId="6" fontId="125" fillId="0" borderId="0" xfId="0" applyNumberFormat="1" applyFont="1" applyFill="1" applyBorder="1" applyAlignment="1">
      <alignment/>
    </xf>
    <xf numFmtId="6" fontId="125" fillId="0" borderId="0" xfId="0" applyNumberFormat="1" applyFont="1" applyFill="1" applyBorder="1" applyAlignment="1">
      <alignment horizontal="center"/>
    </xf>
    <xf numFmtId="1" fontId="125" fillId="0" borderId="0" xfId="0" applyNumberFormat="1" applyFont="1" applyFill="1" applyBorder="1" applyAlignment="1">
      <alignment horizontal="center"/>
    </xf>
    <xf numFmtId="0" fontId="123" fillId="0" borderId="0" xfId="0" applyNumberFormat="1" applyFont="1" applyFill="1" applyBorder="1" applyAlignment="1">
      <alignment/>
    </xf>
    <xf numFmtId="0" fontId="5" fillId="0" borderId="28" xfId="0" applyFont="1" applyFill="1" applyBorder="1" applyAlignment="1">
      <alignment/>
    </xf>
    <xf numFmtId="0" fontId="6" fillId="0" borderId="29" xfId="0" applyFont="1" applyFill="1" applyBorder="1" applyAlignment="1">
      <alignment horizontal="center"/>
    </xf>
    <xf numFmtId="0" fontId="5" fillId="0" borderId="30" xfId="0" applyFont="1" applyFill="1" applyBorder="1" applyAlignment="1">
      <alignment/>
    </xf>
    <xf numFmtId="0" fontId="3" fillId="0" borderId="30" xfId="0" applyFont="1" applyFill="1" applyBorder="1" applyAlignment="1">
      <alignment horizontal="center"/>
    </xf>
    <xf numFmtId="0" fontId="3" fillId="0" borderId="17" xfId="0" applyFont="1" applyFill="1" applyBorder="1" applyAlignment="1">
      <alignment horizontal="center"/>
    </xf>
    <xf numFmtId="0" fontId="107" fillId="0" borderId="30" xfId="0" applyFont="1" applyFill="1" applyBorder="1" applyAlignment="1">
      <alignment horizontal="center"/>
    </xf>
    <xf numFmtId="3" fontId="2" fillId="33" borderId="24" xfId="0" applyNumberFormat="1" applyFont="1" applyFill="1" applyBorder="1" applyAlignment="1">
      <alignment horizontal="left"/>
    </xf>
    <xf numFmtId="0" fontId="5" fillId="0" borderId="25" xfId="0" applyFont="1" applyFill="1" applyBorder="1" applyAlignment="1">
      <alignment/>
    </xf>
    <xf numFmtId="0" fontId="115" fillId="0" borderId="19" xfId="0" applyFont="1" applyFill="1" applyBorder="1" applyAlignment="1">
      <alignment horizontal="center" vertical="center" wrapText="1"/>
    </xf>
    <xf numFmtId="0" fontId="2" fillId="0" borderId="19" xfId="0" applyFont="1" applyFill="1" applyBorder="1" applyAlignment="1">
      <alignment horizontal="center"/>
    </xf>
    <xf numFmtId="0" fontId="5" fillId="40" borderId="19" xfId="0" applyFont="1" applyFill="1" applyBorder="1" applyAlignment="1">
      <alignment/>
    </xf>
    <xf numFmtId="0" fontId="108" fillId="0" borderId="19" xfId="0" applyFont="1" applyFill="1" applyBorder="1" applyAlignment="1">
      <alignment horizontal="center" vertical="center" wrapText="1"/>
    </xf>
    <xf numFmtId="0" fontId="108" fillId="0" borderId="22" xfId="0" applyFont="1" applyFill="1" applyBorder="1" applyAlignment="1">
      <alignment horizontal="center" vertical="center" wrapText="1"/>
    </xf>
    <xf numFmtId="0" fontId="108" fillId="0" borderId="18" xfId="0" applyFont="1" applyFill="1" applyBorder="1" applyAlignment="1">
      <alignment horizontal="center" vertical="center"/>
    </xf>
    <xf numFmtId="165" fontId="8" fillId="0" borderId="18" xfId="0" applyNumberFormat="1" applyFont="1" applyFill="1" applyBorder="1" applyAlignment="1">
      <alignment horizontal="center"/>
    </xf>
    <xf numFmtId="1" fontId="110" fillId="0" borderId="18" xfId="0" applyNumberFormat="1" applyFont="1" applyFill="1" applyBorder="1" applyAlignment="1">
      <alignment horizontal="center"/>
    </xf>
    <xf numFmtId="1" fontId="110" fillId="0" borderId="18" xfId="0" applyNumberFormat="1" applyFont="1" applyFill="1" applyBorder="1" applyAlignment="1">
      <alignment horizontal="left"/>
    </xf>
    <xf numFmtId="0" fontId="124" fillId="0" borderId="17" xfId="0" applyFont="1" applyFill="1" applyBorder="1" applyAlignment="1">
      <alignment/>
    </xf>
    <xf numFmtId="3" fontId="2" fillId="33" borderId="30" xfId="0" applyNumberFormat="1" applyFont="1" applyFill="1" applyBorder="1" applyAlignment="1">
      <alignment horizontal="left"/>
    </xf>
    <xf numFmtId="2" fontId="5" fillId="0" borderId="0" xfId="0" applyNumberFormat="1" applyFont="1" applyFill="1" applyBorder="1" applyAlignment="1">
      <alignment horizontal="center"/>
    </xf>
    <xf numFmtId="2" fontId="121" fillId="0" borderId="0" xfId="74" applyNumberFormat="1" applyFont="1" applyFill="1" applyBorder="1" applyAlignment="1">
      <alignment horizontal="right"/>
    </xf>
    <xf numFmtId="165" fontId="15" fillId="33" borderId="12" xfId="0" applyNumberFormat="1" applyFont="1" applyFill="1" applyBorder="1" applyAlignment="1">
      <alignment horizontal="center"/>
    </xf>
    <xf numFmtId="0" fontId="2" fillId="0" borderId="31" xfId="0" applyFont="1" applyFill="1" applyBorder="1" applyAlignment="1">
      <alignment horizontal="center"/>
    </xf>
    <xf numFmtId="0" fontId="15" fillId="0" borderId="0" xfId="0" applyNumberFormat="1" applyFont="1" applyFill="1" applyAlignment="1">
      <alignment horizontal="center"/>
    </xf>
    <xf numFmtId="168" fontId="3" fillId="37" borderId="0" xfId="0" applyNumberFormat="1" applyFont="1" applyFill="1" applyAlignment="1">
      <alignment horizontal="center"/>
    </xf>
    <xf numFmtId="9" fontId="5" fillId="37" borderId="0" xfId="74" applyFont="1" applyFill="1" applyAlignment="1">
      <alignment horizontal="center"/>
    </xf>
    <xf numFmtId="168" fontId="2" fillId="37" borderId="0" xfId="0" applyNumberFormat="1" applyFont="1" applyFill="1" applyAlignment="1">
      <alignment horizontal="center"/>
    </xf>
    <xf numFmtId="0" fontId="107" fillId="0" borderId="13" xfId="0" applyFont="1" applyFill="1" applyBorder="1" applyAlignment="1">
      <alignment horizontal="center"/>
    </xf>
    <xf numFmtId="0" fontId="15" fillId="33" borderId="10" xfId="0" applyFont="1" applyFill="1" applyBorder="1" applyAlignment="1">
      <alignment/>
    </xf>
    <xf numFmtId="0" fontId="107" fillId="0" borderId="32" xfId="0" applyFont="1" applyFill="1" applyBorder="1" applyAlignment="1">
      <alignment horizontal="center"/>
    </xf>
    <xf numFmtId="3" fontId="2" fillId="33" borderId="24" xfId="0" applyNumberFormat="1" applyFont="1" applyFill="1" applyBorder="1" applyAlignment="1">
      <alignment horizontal="center"/>
    </xf>
    <xf numFmtId="0" fontId="107" fillId="0" borderId="33" xfId="0" applyFont="1" applyFill="1" applyBorder="1" applyAlignment="1">
      <alignment horizontal="center" vertical="center"/>
    </xf>
    <xf numFmtId="10" fontId="2" fillId="41" borderId="12" xfId="74" applyNumberFormat="1" applyFont="1" applyFill="1" applyBorder="1" applyAlignment="1">
      <alignment horizontal="center" vertical="center"/>
    </xf>
    <xf numFmtId="0" fontId="2" fillId="41" borderId="25" xfId="0" applyNumberFormat="1" applyFont="1" applyFill="1" applyBorder="1" applyAlignment="1">
      <alignment horizontal="left" vertical="center" wrapText="1"/>
    </xf>
    <xf numFmtId="0" fontId="2" fillId="41" borderId="22" xfId="0" applyNumberFormat="1" applyFont="1" applyFill="1" applyBorder="1" applyAlignment="1">
      <alignment horizontal="left" vertical="center" wrapText="1"/>
    </xf>
    <xf numFmtId="6" fontId="2" fillId="41" borderId="12" xfId="0" applyNumberFormat="1" applyFont="1" applyFill="1" applyBorder="1" applyAlignment="1">
      <alignment horizontal="center"/>
    </xf>
    <xf numFmtId="0" fontId="5" fillId="0" borderId="0" xfId="0" applyNumberFormat="1" applyFont="1" applyAlignment="1">
      <alignment horizontal="right"/>
    </xf>
    <xf numFmtId="168" fontId="5" fillId="37" borderId="16" xfId="0" applyNumberFormat="1" applyFont="1" applyFill="1" applyBorder="1" applyAlignment="1">
      <alignment horizontal="center"/>
    </xf>
    <xf numFmtId="9" fontId="5" fillId="37" borderId="16" xfId="74" applyFont="1" applyFill="1" applyBorder="1" applyAlignment="1">
      <alignment horizontal="center"/>
    </xf>
    <xf numFmtId="0" fontId="5" fillId="34" borderId="34" xfId="0" applyNumberFormat="1" applyFont="1" applyFill="1" applyBorder="1" applyAlignment="1">
      <alignment/>
    </xf>
    <xf numFmtId="0" fontId="3" fillId="34" borderId="33" xfId="0" applyNumberFormat="1" applyFont="1" applyFill="1" applyBorder="1" applyAlignment="1">
      <alignment horizontal="center"/>
    </xf>
    <xf numFmtId="173" fontId="108" fillId="0" borderId="35" xfId="42" applyNumberFormat="1" applyFont="1" applyFill="1" applyBorder="1" applyAlignment="1">
      <alignment horizontal="right"/>
    </xf>
    <xf numFmtId="0" fontId="5" fillId="0" borderId="36" xfId="0" applyFont="1" applyFill="1" applyBorder="1" applyAlignment="1">
      <alignment/>
    </xf>
    <xf numFmtId="164" fontId="108" fillId="0" borderId="20" xfId="74" applyNumberFormat="1" applyFont="1" applyFill="1" applyBorder="1" applyAlignment="1">
      <alignment horizontal="right"/>
    </xf>
    <xf numFmtId="0" fontId="5" fillId="34" borderId="37" xfId="0" applyNumberFormat="1" applyFont="1" applyFill="1" applyBorder="1" applyAlignment="1">
      <alignment/>
    </xf>
    <xf numFmtId="0" fontId="5" fillId="0" borderId="36" xfId="0" applyFont="1" applyBorder="1" applyAlignment="1">
      <alignment/>
    </xf>
    <xf numFmtId="3" fontId="5" fillId="0" borderId="20" xfId="0" applyNumberFormat="1" applyFont="1" applyFill="1" applyBorder="1" applyAlignment="1">
      <alignment horizontal="right"/>
    </xf>
    <xf numFmtId="0" fontId="5" fillId="34" borderId="36" xfId="0" applyNumberFormat="1" applyFont="1" applyFill="1" applyBorder="1" applyAlignment="1">
      <alignment/>
    </xf>
    <xf numFmtId="0" fontId="5" fillId="0" borderId="38" xfId="0" applyFont="1" applyFill="1" applyBorder="1" applyAlignment="1">
      <alignment/>
    </xf>
    <xf numFmtId="0" fontId="3" fillId="34" borderId="30" xfId="0" applyNumberFormat="1" applyFont="1" applyFill="1" applyBorder="1" applyAlignment="1">
      <alignment horizontal="center"/>
    </xf>
    <xf numFmtId="0" fontId="5" fillId="0" borderId="39" xfId="0" applyFont="1" applyBorder="1" applyAlignment="1">
      <alignment/>
    </xf>
    <xf numFmtId="0" fontId="3" fillId="34" borderId="40" xfId="0" applyNumberFormat="1" applyFont="1" applyFill="1" applyBorder="1" applyAlignment="1">
      <alignment horizontal="center"/>
    </xf>
    <xf numFmtId="2" fontId="108" fillId="36" borderId="41" xfId="0" applyNumberFormat="1" applyFont="1" applyFill="1" applyBorder="1" applyAlignment="1">
      <alignment horizontal="center"/>
    </xf>
    <xf numFmtId="0" fontId="126" fillId="33" borderId="36" xfId="0" applyFont="1" applyFill="1" applyBorder="1" applyAlignment="1">
      <alignment horizontal="left" indent="1"/>
    </xf>
    <xf numFmtId="6" fontId="120" fillId="33" borderId="20" xfId="0" applyNumberFormat="1" applyFont="1" applyFill="1" applyBorder="1" applyAlignment="1">
      <alignment horizontal="right"/>
    </xf>
    <xf numFmtId="0" fontId="126" fillId="33" borderId="36" xfId="0" applyNumberFormat="1" applyFont="1" applyFill="1" applyBorder="1" applyAlignment="1">
      <alignment horizontal="left" indent="1"/>
    </xf>
    <xf numFmtId="168" fontId="126" fillId="33" borderId="42" xfId="0" applyNumberFormat="1" applyFont="1" applyFill="1" applyBorder="1" applyAlignment="1">
      <alignment horizontal="right"/>
    </xf>
    <xf numFmtId="0" fontId="127" fillId="33" borderId="38" xfId="58" applyFont="1" applyFill="1" applyBorder="1" applyAlignment="1" applyProtection="1">
      <alignment/>
      <protection/>
    </xf>
    <xf numFmtId="0" fontId="119" fillId="33" borderId="30" xfId="0" applyNumberFormat="1" applyFont="1" applyFill="1" applyBorder="1" applyAlignment="1">
      <alignment horizontal="center"/>
    </xf>
    <xf numFmtId="168" fontId="5" fillId="33" borderId="32" xfId="50" applyNumberFormat="1" applyFont="1" applyFill="1" applyBorder="1" applyAlignment="1">
      <alignment horizontal="right"/>
    </xf>
    <xf numFmtId="0" fontId="5" fillId="0" borderId="34" xfId="0" applyFont="1" applyBorder="1" applyAlignment="1">
      <alignment/>
    </xf>
    <xf numFmtId="168" fontId="5" fillId="0" borderId="35" xfId="50" applyNumberFormat="1" applyFont="1" applyFill="1" applyBorder="1" applyAlignment="1">
      <alignment horizontal="right"/>
    </xf>
    <xf numFmtId="0" fontId="5" fillId="0" borderId="38" xfId="0" applyNumberFormat="1" applyFont="1" applyFill="1" applyBorder="1" applyAlignment="1">
      <alignment/>
    </xf>
    <xf numFmtId="0" fontId="3" fillId="0" borderId="30" xfId="0" applyNumberFormat="1" applyFont="1" applyFill="1" applyBorder="1" applyAlignment="1">
      <alignment horizontal="center"/>
    </xf>
    <xf numFmtId="170" fontId="5" fillId="0" borderId="32" xfId="50" applyNumberFormat="1" applyFont="1" applyBorder="1" applyAlignment="1">
      <alignment horizontal="right"/>
    </xf>
    <xf numFmtId="0" fontId="3" fillId="0" borderId="33" xfId="0" applyFont="1" applyBorder="1" applyAlignment="1">
      <alignment horizontal="center"/>
    </xf>
    <xf numFmtId="170" fontId="108" fillId="34" borderId="35" xfId="0" applyNumberFormat="1" applyFont="1" applyFill="1" applyBorder="1" applyAlignment="1">
      <alignment horizontal="right"/>
    </xf>
    <xf numFmtId="0" fontId="5" fillId="0" borderId="36" xfId="0" applyFont="1" applyFill="1" applyBorder="1" applyAlignment="1">
      <alignment horizontal="left"/>
    </xf>
    <xf numFmtId="164" fontId="108" fillId="34" borderId="20" xfId="74" applyNumberFormat="1" applyFont="1" applyFill="1" applyBorder="1" applyAlignment="1">
      <alignment horizontal="right"/>
    </xf>
    <xf numFmtId="0" fontId="108" fillId="0" borderId="20" xfId="0" applyFont="1" applyFill="1" applyBorder="1" applyAlignment="1">
      <alignment horizontal="right"/>
    </xf>
    <xf numFmtId="0" fontId="5" fillId="0" borderId="38" xfId="0" applyFont="1" applyFill="1" applyBorder="1" applyAlignment="1">
      <alignment horizontal="left"/>
    </xf>
    <xf numFmtId="0" fontId="5" fillId="0" borderId="34" xfId="0" applyFont="1" applyFill="1" applyBorder="1" applyAlignment="1">
      <alignment/>
    </xf>
    <xf numFmtId="168" fontId="5" fillId="0" borderId="20" xfId="0" applyNumberFormat="1" applyFont="1" applyFill="1" applyBorder="1" applyAlignment="1">
      <alignment horizontal="right"/>
    </xf>
    <xf numFmtId="168" fontId="5" fillId="0" borderId="32" xfId="0" applyNumberFormat="1" applyFont="1" applyFill="1" applyBorder="1" applyAlignment="1">
      <alignment horizontal="right"/>
    </xf>
    <xf numFmtId="0" fontId="5" fillId="0" borderId="34" xfId="0" applyFont="1" applyFill="1" applyBorder="1" applyAlignment="1">
      <alignment horizontal="left"/>
    </xf>
    <xf numFmtId="0" fontId="108" fillId="0" borderId="35" xfId="0" applyFont="1" applyFill="1" applyBorder="1" applyAlignment="1">
      <alignment horizontal="right"/>
    </xf>
    <xf numFmtId="9" fontId="108" fillId="34" borderId="35" xfId="74" applyNumberFormat="1" applyFont="1" applyFill="1" applyBorder="1" applyAlignment="1">
      <alignment horizontal="right"/>
    </xf>
    <xf numFmtId="0" fontId="5" fillId="34" borderId="38" xfId="0" applyNumberFormat="1" applyFont="1" applyFill="1" applyBorder="1" applyAlignment="1">
      <alignment/>
    </xf>
    <xf numFmtId="164" fontId="108" fillId="34" borderId="43" xfId="74" applyNumberFormat="1" applyFont="1" applyFill="1" applyBorder="1" applyAlignment="1">
      <alignment horizontal="right"/>
    </xf>
    <xf numFmtId="0" fontId="5" fillId="0" borderId="34" xfId="0" applyNumberFormat="1" applyFont="1" applyFill="1" applyBorder="1" applyAlignment="1">
      <alignment/>
    </xf>
    <xf numFmtId="0" fontId="3" fillId="0" borderId="33" xfId="0" applyNumberFormat="1" applyFont="1" applyFill="1" applyBorder="1" applyAlignment="1">
      <alignment horizontal="center"/>
    </xf>
    <xf numFmtId="2" fontId="108" fillId="0" borderId="35" xfId="74" applyNumberFormat="1" applyFont="1" applyFill="1" applyBorder="1" applyAlignment="1">
      <alignment horizontal="right"/>
    </xf>
    <xf numFmtId="0" fontId="5" fillId="0" borderId="36" xfId="0" applyNumberFormat="1" applyFont="1" applyFill="1" applyBorder="1" applyAlignment="1">
      <alignment/>
    </xf>
    <xf numFmtId="2" fontId="5" fillId="0" borderId="20" xfId="74" applyNumberFormat="1" applyFont="1" applyFill="1" applyBorder="1" applyAlignment="1">
      <alignment horizontal="right"/>
    </xf>
    <xf numFmtId="2" fontId="2" fillId="40" borderId="20" xfId="74" applyNumberFormat="1" applyFont="1" applyFill="1" applyBorder="1" applyAlignment="1">
      <alignment horizontal="right"/>
    </xf>
    <xf numFmtId="2" fontId="108" fillId="0" borderId="20" xfId="74" applyNumberFormat="1" applyFont="1" applyFill="1" applyBorder="1" applyAlignment="1">
      <alignment horizontal="right"/>
    </xf>
    <xf numFmtId="2" fontId="2" fillId="40" borderId="32" xfId="74" applyNumberFormat="1" applyFont="1" applyFill="1" applyBorder="1" applyAlignment="1">
      <alignment horizontal="right"/>
    </xf>
    <xf numFmtId="9" fontId="5" fillId="34" borderId="35" xfId="74" applyNumberFormat="1" applyFont="1" applyFill="1" applyBorder="1" applyAlignment="1">
      <alignment horizontal="right"/>
    </xf>
    <xf numFmtId="0" fontId="5" fillId="0" borderId="44" xfId="0" applyFont="1" applyFill="1" applyBorder="1" applyAlignment="1">
      <alignment/>
    </xf>
    <xf numFmtId="10" fontId="108" fillId="34" borderId="43" xfId="74" applyNumberFormat="1" applyFont="1" applyFill="1" applyBorder="1" applyAlignment="1">
      <alignment horizontal="right"/>
    </xf>
    <xf numFmtId="10" fontId="5" fillId="34" borderId="35" xfId="74" applyNumberFormat="1" applyFont="1" applyFill="1" applyBorder="1" applyAlignment="1">
      <alignment horizontal="right"/>
    </xf>
    <xf numFmtId="168" fontId="108" fillId="34" borderId="32" xfId="0" applyNumberFormat="1" applyFont="1" applyFill="1" applyBorder="1" applyAlignment="1">
      <alignment horizontal="right"/>
    </xf>
    <xf numFmtId="168" fontId="5" fillId="0" borderId="35" xfId="0" applyNumberFormat="1" applyFont="1" applyFill="1" applyBorder="1" applyAlignment="1">
      <alignment horizontal="right"/>
    </xf>
    <xf numFmtId="0" fontId="5" fillId="34" borderId="45" xfId="0" applyNumberFormat="1" applyFont="1" applyFill="1" applyBorder="1" applyAlignment="1">
      <alignment/>
    </xf>
    <xf numFmtId="0" fontId="2" fillId="0" borderId="44" xfId="0" applyFont="1" applyFill="1" applyBorder="1" applyAlignment="1">
      <alignment/>
    </xf>
    <xf numFmtId="0" fontId="3" fillId="34" borderId="46" xfId="0" applyNumberFormat="1" applyFont="1" applyFill="1" applyBorder="1" applyAlignment="1">
      <alignment horizontal="center"/>
    </xf>
    <xf numFmtId="168" fontId="2" fillId="0" borderId="43" xfId="0" applyNumberFormat="1" applyFont="1" applyFill="1" applyBorder="1" applyAlignment="1">
      <alignment/>
    </xf>
    <xf numFmtId="0" fontId="5" fillId="0" borderId="40" xfId="0" applyFont="1" applyBorder="1" applyAlignment="1">
      <alignment/>
    </xf>
    <xf numFmtId="9" fontId="108" fillId="36" borderId="41" xfId="74" applyFont="1" applyFill="1" applyBorder="1" applyAlignment="1">
      <alignment horizontal="center"/>
    </xf>
    <xf numFmtId="0" fontId="5" fillId="0" borderId="47" xfId="0" applyFont="1" applyFill="1" applyBorder="1" applyAlignment="1">
      <alignment/>
    </xf>
    <xf numFmtId="0" fontId="5" fillId="0" borderId="48" xfId="0" applyFont="1" applyFill="1" applyBorder="1" applyAlignment="1">
      <alignment/>
    </xf>
    <xf numFmtId="9" fontId="108" fillId="36" borderId="43" xfId="74" applyFont="1" applyFill="1" applyBorder="1" applyAlignment="1">
      <alignment horizontal="center"/>
    </xf>
    <xf numFmtId="0" fontId="5" fillId="0" borderId="49" xfId="0" applyFont="1" applyFill="1" applyBorder="1" applyAlignment="1">
      <alignment/>
    </xf>
    <xf numFmtId="0" fontId="3" fillId="34" borderId="50" xfId="0" applyNumberFormat="1" applyFont="1" applyFill="1" applyBorder="1" applyAlignment="1">
      <alignment horizontal="center"/>
    </xf>
    <xf numFmtId="10" fontId="3" fillId="0" borderId="51" xfId="74" applyNumberFormat="1" applyFont="1" applyFill="1" applyBorder="1" applyAlignment="1">
      <alignment horizontal="right"/>
    </xf>
    <xf numFmtId="0" fontId="3" fillId="0" borderId="32" xfId="0" applyFont="1" applyFill="1" applyBorder="1" applyAlignment="1">
      <alignment horizontal="center"/>
    </xf>
    <xf numFmtId="0" fontId="5" fillId="34" borderId="44" xfId="0" applyNumberFormat="1" applyFont="1" applyFill="1" applyBorder="1" applyAlignment="1">
      <alignment/>
    </xf>
    <xf numFmtId="164" fontId="108" fillId="0" borderId="32" xfId="74" applyNumberFormat="1" applyFont="1" applyFill="1" applyBorder="1" applyAlignment="1">
      <alignment horizontal="right"/>
    </xf>
    <xf numFmtId="0" fontId="126" fillId="33" borderId="34" xfId="0" applyFont="1" applyFill="1" applyBorder="1" applyAlignment="1">
      <alignment/>
    </xf>
    <xf numFmtId="0" fontId="126" fillId="33" borderId="33" xfId="0" applyFont="1" applyFill="1" applyBorder="1" applyAlignment="1">
      <alignment/>
    </xf>
    <xf numFmtId="2" fontId="120" fillId="33" borderId="35" xfId="0" applyNumberFormat="1" applyFont="1" applyFill="1" applyBorder="1" applyAlignment="1">
      <alignment horizontal="center"/>
    </xf>
    <xf numFmtId="0" fontId="126" fillId="33" borderId="36" xfId="0" applyFont="1" applyFill="1" applyBorder="1" applyAlignment="1">
      <alignment/>
    </xf>
    <xf numFmtId="0" fontId="126" fillId="33" borderId="52" xfId="0" applyFont="1" applyFill="1" applyBorder="1" applyAlignment="1">
      <alignment/>
    </xf>
    <xf numFmtId="164" fontId="120" fillId="33" borderId="53" xfId="74" applyNumberFormat="1" applyFont="1" applyFill="1" applyBorder="1" applyAlignment="1">
      <alignment horizontal="right"/>
    </xf>
    <xf numFmtId="0" fontId="128" fillId="33" borderId="47" xfId="58" applyFont="1" applyFill="1" applyBorder="1" applyAlignment="1" applyProtection="1">
      <alignment/>
      <protection/>
    </xf>
    <xf numFmtId="0" fontId="5" fillId="33" borderId="54" xfId="0" applyFont="1" applyFill="1" applyBorder="1" applyAlignment="1">
      <alignment/>
    </xf>
    <xf numFmtId="0" fontId="5" fillId="33" borderId="55" xfId="0" applyFont="1" applyFill="1" applyBorder="1" applyAlignment="1">
      <alignment/>
    </xf>
    <xf numFmtId="9" fontId="108" fillId="36" borderId="35" xfId="74" applyFont="1" applyFill="1" applyBorder="1" applyAlignment="1">
      <alignment horizontal="center"/>
    </xf>
    <xf numFmtId="9" fontId="108" fillId="0" borderId="42" xfId="74" applyFont="1" applyFill="1" applyBorder="1" applyAlignment="1">
      <alignment horizontal="right"/>
    </xf>
    <xf numFmtId="168" fontId="5" fillId="0" borderId="43" xfId="74" applyNumberFormat="1" applyFont="1" applyFill="1" applyBorder="1" applyAlignment="1">
      <alignment horizontal="right"/>
    </xf>
    <xf numFmtId="0" fontId="5" fillId="0" borderId="33" xfId="0" applyFont="1" applyFill="1" applyBorder="1" applyAlignment="1">
      <alignment/>
    </xf>
    <xf numFmtId="0" fontId="108" fillId="36" borderId="35" xfId="0" applyFont="1" applyFill="1" applyBorder="1" applyAlignment="1">
      <alignment horizontal="center"/>
    </xf>
    <xf numFmtId="2" fontId="108" fillId="34" borderId="20" xfId="0" applyNumberFormat="1" applyFont="1" applyFill="1" applyBorder="1" applyAlignment="1">
      <alignment horizontal="right"/>
    </xf>
    <xf numFmtId="164" fontId="108" fillId="0" borderId="42" xfId="74" applyNumberFormat="1" applyFont="1" applyFill="1" applyBorder="1" applyAlignment="1">
      <alignment horizontal="right"/>
    </xf>
    <xf numFmtId="0" fontId="2" fillId="0" borderId="34" xfId="0" applyFont="1" applyFill="1" applyBorder="1" applyAlignment="1">
      <alignment/>
    </xf>
    <xf numFmtId="0" fontId="3" fillId="0" borderId="33" xfId="0" applyFont="1" applyFill="1" applyBorder="1" applyAlignment="1">
      <alignment horizontal="center"/>
    </xf>
    <xf numFmtId="6" fontId="108" fillId="0" borderId="35" xfId="0" applyNumberFormat="1" applyFont="1" applyFill="1" applyBorder="1" applyAlignment="1">
      <alignment horizontal="right"/>
    </xf>
    <xf numFmtId="9" fontId="108" fillId="0" borderId="20" xfId="74" applyFont="1" applyFill="1" applyBorder="1" applyAlignment="1">
      <alignment horizontal="right"/>
    </xf>
    <xf numFmtId="0" fontId="108" fillId="36" borderId="20" xfId="0" applyFont="1" applyFill="1" applyBorder="1" applyAlignment="1">
      <alignment horizontal="center"/>
    </xf>
    <xf numFmtId="1" fontId="108" fillId="0" borderId="35" xfId="0" applyNumberFormat="1" applyFont="1" applyFill="1" applyBorder="1" applyAlignment="1">
      <alignment horizontal="right"/>
    </xf>
    <xf numFmtId="176" fontId="108" fillId="34" borderId="42" xfId="0" applyNumberFormat="1" applyFont="1" applyFill="1" applyBorder="1" applyAlignment="1">
      <alignment horizontal="right"/>
    </xf>
    <xf numFmtId="0" fontId="15" fillId="0" borderId="56" xfId="0" applyFont="1" applyFill="1" applyBorder="1" applyAlignment="1">
      <alignment horizontal="left"/>
    </xf>
    <xf numFmtId="0" fontId="2" fillId="0" borderId="57" xfId="0" applyFont="1" applyFill="1" applyBorder="1" applyAlignment="1">
      <alignment horizontal="center"/>
    </xf>
    <xf numFmtId="0" fontId="2" fillId="0" borderId="58" xfId="0" applyFont="1" applyFill="1" applyBorder="1" applyAlignment="1">
      <alignment horizontal="center"/>
    </xf>
    <xf numFmtId="0" fontId="5" fillId="0" borderId="59" xfId="0" applyFont="1" applyFill="1" applyBorder="1" applyAlignment="1">
      <alignment horizontal="left"/>
    </xf>
    <xf numFmtId="0" fontId="15" fillId="0" borderId="56" xfId="0" applyFont="1" applyFill="1" applyBorder="1" applyAlignment="1">
      <alignment/>
    </xf>
    <xf numFmtId="0" fontId="5" fillId="0" borderId="57" xfId="0" applyFont="1" applyFill="1" applyBorder="1" applyAlignment="1">
      <alignment/>
    </xf>
    <xf numFmtId="0" fontId="5" fillId="0" borderId="58" xfId="0" applyFont="1" applyFill="1" applyBorder="1" applyAlignment="1">
      <alignment/>
    </xf>
    <xf numFmtId="6" fontId="5" fillId="0" borderId="32" xfId="0" applyNumberFormat="1" applyFont="1" applyFill="1" applyBorder="1" applyAlignment="1">
      <alignment horizontal="right"/>
    </xf>
    <xf numFmtId="0" fontId="5" fillId="0" borderId="58" xfId="0" applyFont="1" applyFill="1" applyBorder="1" applyAlignment="1">
      <alignment horizontal="right"/>
    </xf>
    <xf numFmtId="164" fontId="108" fillId="0" borderId="41" xfId="0" applyNumberFormat="1" applyFont="1" applyFill="1" applyBorder="1" applyAlignment="1">
      <alignment horizontal="right"/>
    </xf>
    <xf numFmtId="0" fontId="15" fillId="0" borderId="39" xfId="0" applyFont="1" applyFill="1" applyBorder="1" applyAlignment="1">
      <alignment horizontal="left"/>
    </xf>
    <xf numFmtId="0" fontId="2" fillId="0" borderId="39" xfId="0" applyFont="1" applyFill="1" applyBorder="1" applyAlignment="1">
      <alignment horizontal="left"/>
    </xf>
    <xf numFmtId="0" fontId="16" fillId="0" borderId="40" xfId="0" applyFont="1" applyFill="1" applyBorder="1" applyAlignment="1">
      <alignment horizontal="center"/>
    </xf>
    <xf numFmtId="0" fontId="16" fillId="0" borderId="41" xfId="0" applyFont="1" applyFill="1" applyBorder="1" applyAlignment="1">
      <alignment horizontal="center"/>
    </xf>
    <xf numFmtId="0" fontId="5" fillId="0" borderId="39" xfId="0" applyFont="1" applyFill="1" applyBorder="1" applyAlignment="1">
      <alignment horizontal="left" indent="1"/>
    </xf>
    <xf numFmtId="164" fontId="108" fillId="0" borderId="40" xfId="74" applyNumberFormat="1" applyFont="1" applyFill="1" applyBorder="1" applyAlignment="1">
      <alignment horizontal="center"/>
    </xf>
    <xf numFmtId="164" fontId="108" fillId="0" borderId="41" xfId="74" applyNumberFormat="1" applyFont="1" applyFill="1" applyBorder="1" applyAlignment="1">
      <alignment horizontal="center"/>
    </xf>
    <xf numFmtId="0" fontId="5" fillId="0" borderId="34" xfId="0" applyFont="1" applyFill="1" applyBorder="1" applyAlignment="1">
      <alignment horizontal="left" indent="1"/>
    </xf>
    <xf numFmtId="164" fontId="108" fillId="0" borderId="33" xfId="74" applyNumberFormat="1" applyFont="1" applyFill="1" applyBorder="1" applyAlignment="1">
      <alignment horizontal="center"/>
    </xf>
    <xf numFmtId="164" fontId="108" fillId="0" borderId="35" xfId="74" applyNumberFormat="1" applyFont="1" applyFill="1" applyBorder="1" applyAlignment="1">
      <alignment horizontal="center"/>
    </xf>
    <xf numFmtId="0" fontId="5" fillId="0" borderId="36" xfId="0" applyFont="1" applyFill="1" applyBorder="1" applyAlignment="1">
      <alignment horizontal="left" indent="1"/>
    </xf>
    <xf numFmtId="164" fontId="108" fillId="0" borderId="20" xfId="74" applyNumberFormat="1" applyFont="1" applyFill="1" applyBorder="1" applyAlignment="1">
      <alignment horizontal="center"/>
    </xf>
    <xf numFmtId="0" fontId="5" fillId="0" borderId="38" xfId="0" applyFont="1" applyFill="1" applyBorder="1" applyAlignment="1">
      <alignment horizontal="left" indent="1"/>
    </xf>
    <xf numFmtId="164" fontId="108" fillId="0" borderId="30" xfId="74" applyNumberFormat="1" applyFont="1" applyFill="1" applyBorder="1" applyAlignment="1">
      <alignment horizontal="center"/>
    </xf>
    <xf numFmtId="164" fontId="108" fillId="0" borderId="32" xfId="74" applyNumberFormat="1" applyFont="1" applyFill="1" applyBorder="1" applyAlignment="1">
      <alignment horizontal="center"/>
    </xf>
    <xf numFmtId="0" fontId="129" fillId="0" borderId="39" xfId="58" applyFont="1" applyFill="1" applyBorder="1" applyAlignment="1" applyProtection="1">
      <alignment/>
      <protection/>
    </xf>
    <xf numFmtId="0" fontId="2" fillId="0" borderId="40" xfId="0" applyFont="1" applyFill="1" applyBorder="1" applyAlignment="1">
      <alignment/>
    </xf>
    <xf numFmtId="0" fontId="2" fillId="0" borderId="60" xfId="0" applyFont="1" applyFill="1" applyBorder="1" applyAlignment="1">
      <alignment/>
    </xf>
    <xf numFmtId="0" fontId="2" fillId="0" borderId="41" xfId="0" applyFont="1" applyFill="1" applyBorder="1" applyAlignment="1">
      <alignment/>
    </xf>
    <xf numFmtId="165" fontId="15" fillId="33" borderId="11" xfId="0" applyNumberFormat="1" applyFont="1" applyFill="1" applyBorder="1" applyAlignment="1">
      <alignment horizontal="center"/>
    </xf>
    <xf numFmtId="0" fontId="5" fillId="42" borderId="0" xfId="0" applyFont="1" applyFill="1" applyBorder="1" applyAlignment="1">
      <alignment/>
    </xf>
    <xf numFmtId="0" fontId="25" fillId="42" borderId="0" xfId="0" applyFont="1" applyFill="1" applyBorder="1" applyAlignment="1">
      <alignment/>
    </xf>
    <xf numFmtId="0" fontId="130" fillId="42" borderId="0" xfId="0" applyFont="1" applyFill="1" applyBorder="1" applyAlignment="1">
      <alignment/>
    </xf>
    <xf numFmtId="0" fontId="24" fillId="42" borderId="0" xfId="0" applyFont="1" applyFill="1" applyBorder="1" applyAlignment="1">
      <alignment/>
    </xf>
    <xf numFmtId="0" fontId="97" fillId="42" borderId="0" xfId="58" applyFill="1" applyBorder="1" applyAlignment="1" applyProtection="1">
      <alignment/>
      <protection/>
    </xf>
    <xf numFmtId="0" fontId="6" fillId="0" borderId="15" xfId="0" applyFont="1" applyFill="1" applyBorder="1" applyAlignment="1">
      <alignment horizontal="center"/>
    </xf>
    <xf numFmtId="0" fontId="26" fillId="33" borderId="10" xfId="0" applyFont="1" applyFill="1" applyBorder="1" applyAlignment="1">
      <alignment vertical="center"/>
    </xf>
    <xf numFmtId="0" fontId="2" fillId="0" borderId="25" xfId="0" applyFont="1" applyFill="1" applyBorder="1" applyAlignment="1">
      <alignment/>
    </xf>
    <xf numFmtId="0" fontId="5" fillId="0" borderId="61" xfId="0" applyFont="1" applyFill="1" applyBorder="1" applyAlignment="1">
      <alignment/>
    </xf>
    <xf numFmtId="0" fontId="108" fillId="36" borderId="51" xfId="0" applyFont="1" applyFill="1" applyBorder="1" applyAlignment="1">
      <alignment horizontal="center"/>
    </xf>
    <xf numFmtId="0" fontId="5" fillId="0" borderId="37" xfId="0" applyFont="1" applyFill="1" applyBorder="1" applyAlignment="1">
      <alignment/>
    </xf>
    <xf numFmtId="0" fontId="108" fillId="36" borderId="42" xfId="0" applyFont="1" applyFill="1" applyBorder="1" applyAlignment="1">
      <alignment horizontal="center"/>
    </xf>
    <xf numFmtId="6" fontId="5" fillId="0" borderId="32" xfId="0" applyNumberFormat="1" applyFont="1" applyFill="1" applyBorder="1" applyAlignment="1">
      <alignment/>
    </xf>
    <xf numFmtId="9" fontId="3" fillId="34" borderId="14" xfId="74" applyFont="1" applyFill="1" applyBorder="1" applyAlignment="1">
      <alignment horizontal="center"/>
    </xf>
    <xf numFmtId="9" fontId="3" fillId="34" borderId="50" xfId="74" applyFont="1" applyFill="1" applyBorder="1" applyAlignment="1">
      <alignment horizontal="center"/>
    </xf>
    <xf numFmtId="9" fontId="3" fillId="34" borderId="62" xfId="74" applyFont="1" applyFill="1" applyBorder="1" applyAlignment="1">
      <alignment horizontal="center"/>
    </xf>
    <xf numFmtId="0" fontId="126" fillId="33" borderId="34" xfId="0" applyFont="1" applyFill="1" applyBorder="1" applyAlignment="1">
      <alignment horizontal="left" indent="1"/>
    </xf>
    <xf numFmtId="0" fontId="119" fillId="33" borderId="33" xfId="0" applyFont="1" applyFill="1" applyBorder="1" applyAlignment="1">
      <alignment horizontal="center"/>
    </xf>
    <xf numFmtId="170" fontId="120" fillId="33" borderId="35" xfId="0" applyNumberFormat="1" applyFont="1" applyFill="1" applyBorder="1" applyAlignment="1">
      <alignment horizontal="right"/>
    </xf>
    <xf numFmtId="0" fontId="5" fillId="0" borderId="38" xfId="0" applyFont="1" applyBorder="1" applyAlignment="1">
      <alignment/>
    </xf>
    <xf numFmtId="0" fontId="5" fillId="0" borderId="31" xfId="0" applyFont="1" applyFill="1" applyBorder="1" applyAlignment="1">
      <alignment/>
    </xf>
    <xf numFmtId="0" fontId="5" fillId="0" borderId="63" xfId="0" applyFont="1" applyFill="1" applyBorder="1" applyAlignment="1">
      <alignment/>
    </xf>
    <xf numFmtId="40" fontId="3" fillId="0" borderId="0" xfId="0" applyNumberFormat="1" applyFont="1" applyAlignment="1">
      <alignment horizontal="center"/>
    </xf>
    <xf numFmtId="0" fontId="113" fillId="0" borderId="0" xfId="0" applyFont="1" applyFill="1" applyBorder="1" applyAlignment="1">
      <alignment/>
    </xf>
    <xf numFmtId="0" fontId="6" fillId="0" borderId="18" xfId="0" applyFont="1" applyFill="1" applyBorder="1" applyAlignment="1">
      <alignment horizontal="center"/>
    </xf>
    <xf numFmtId="0" fontId="2" fillId="0" borderId="18" xfId="0" applyFont="1" applyFill="1" applyBorder="1" applyAlignment="1">
      <alignment horizontal="center"/>
    </xf>
    <xf numFmtId="0" fontId="6" fillId="0" borderId="22" xfId="0" applyFont="1" applyFill="1" applyBorder="1" applyAlignment="1">
      <alignment horizontal="center"/>
    </xf>
    <xf numFmtId="0" fontId="115" fillId="0" borderId="0" xfId="0" applyFont="1" applyFill="1" applyBorder="1" applyAlignment="1">
      <alignment horizontal="center"/>
    </xf>
    <xf numFmtId="0" fontId="2" fillId="0" borderId="49" xfId="0" applyFont="1" applyFill="1" applyBorder="1" applyAlignment="1">
      <alignment/>
    </xf>
    <xf numFmtId="6" fontId="108" fillId="0" borderId="20" xfId="0" applyNumberFormat="1" applyFont="1" applyFill="1" applyBorder="1" applyAlignment="1">
      <alignment horizontal="right"/>
    </xf>
    <xf numFmtId="5" fontId="108" fillId="34" borderId="20" xfId="50" applyNumberFormat="1" applyFont="1" applyFill="1" applyBorder="1" applyAlignment="1">
      <alignment horizontal="right"/>
    </xf>
    <xf numFmtId="0" fontId="5" fillId="0" borderId="59" xfId="0" applyFont="1" applyFill="1" applyBorder="1" applyAlignment="1">
      <alignment/>
    </xf>
    <xf numFmtId="0" fontId="109" fillId="36" borderId="20" xfId="0" applyFont="1" applyFill="1" applyBorder="1" applyAlignment="1">
      <alignment horizontal="center"/>
    </xf>
    <xf numFmtId="9" fontId="108" fillId="36" borderId="20" xfId="74" applyFont="1" applyFill="1" applyBorder="1" applyAlignment="1">
      <alignment horizontal="center"/>
    </xf>
    <xf numFmtId="164" fontId="5" fillId="0" borderId="0" xfId="74" applyNumberFormat="1" applyFont="1" applyFill="1" applyBorder="1" applyAlignment="1">
      <alignment/>
    </xf>
    <xf numFmtId="0" fontId="105" fillId="0" borderId="0" xfId="0" applyFont="1" applyBorder="1" applyAlignment="1">
      <alignment horizontal="center"/>
    </xf>
    <xf numFmtId="164" fontId="108" fillId="0" borderId="64" xfId="74" applyNumberFormat="1" applyFont="1" applyFill="1" applyBorder="1" applyAlignment="1">
      <alignment horizontal="center"/>
    </xf>
    <xf numFmtId="164" fontId="108" fillId="0" borderId="65" xfId="74" applyNumberFormat="1" applyFont="1" applyFill="1" applyBorder="1" applyAlignment="1">
      <alignment horizontal="center"/>
    </xf>
    <xf numFmtId="0" fontId="16" fillId="0" borderId="60" xfId="0" applyFont="1" applyFill="1" applyBorder="1" applyAlignment="1">
      <alignment horizontal="center"/>
    </xf>
    <xf numFmtId="164" fontId="108" fillId="0" borderId="60" xfId="74" applyNumberFormat="1" applyFont="1" applyFill="1" applyBorder="1" applyAlignment="1">
      <alignment horizontal="center"/>
    </xf>
    <xf numFmtId="164" fontId="108" fillId="0" borderId="66" xfId="74" applyNumberFormat="1" applyFont="1" applyFill="1" applyBorder="1" applyAlignment="1">
      <alignment horizontal="center"/>
    </xf>
    <xf numFmtId="0" fontId="5" fillId="0" borderId="67" xfId="0" applyFont="1" applyFill="1" applyBorder="1" applyAlignment="1">
      <alignment/>
    </xf>
    <xf numFmtId="0" fontId="5" fillId="0" borderId="68" xfId="0" applyFont="1" applyFill="1" applyBorder="1" applyAlignment="1">
      <alignment horizontal="center"/>
    </xf>
    <xf numFmtId="0" fontId="5" fillId="0" borderId="16" xfId="0" applyFont="1" applyFill="1" applyBorder="1" applyAlignment="1">
      <alignment/>
    </xf>
    <xf numFmtId="0" fontId="108" fillId="0" borderId="42" xfId="0" applyFont="1" applyFill="1" applyBorder="1" applyAlignment="1">
      <alignment horizontal="right"/>
    </xf>
    <xf numFmtId="9" fontId="2" fillId="0" borderId="18" xfId="0" applyNumberFormat="1" applyFont="1" applyFill="1" applyBorder="1" applyAlignment="1">
      <alignment horizontal="center"/>
    </xf>
    <xf numFmtId="168" fontId="0" fillId="0" borderId="0" xfId="0" applyNumberFormat="1" applyAlignment="1">
      <alignment/>
    </xf>
    <xf numFmtId="0" fontId="0" fillId="0" borderId="0" xfId="0" applyAlignment="1">
      <alignment horizontal="center"/>
    </xf>
    <xf numFmtId="0" fontId="105" fillId="0" borderId="64" xfId="0" applyFont="1" applyBorder="1" applyAlignment="1">
      <alignment/>
    </xf>
    <xf numFmtId="0" fontId="105" fillId="0" borderId="63" xfId="0" applyFont="1" applyBorder="1" applyAlignment="1">
      <alignment horizontal="center"/>
    </xf>
    <xf numFmtId="0" fontId="108" fillId="0" borderId="20" xfId="74" applyNumberFormat="1" applyFont="1" applyFill="1" applyBorder="1" applyAlignment="1">
      <alignment horizontal="right"/>
    </xf>
    <xf numFmtId="2" fontId="108" fillId="36" borderId="51" xfId="0" applyNumberFormat="1" applyFont="1" applyFill="1" applyBorder="1" applyAlignment="1">
      <alignment horizontal="center"/>
    </xf>
    <xf numFmtId="0" fontId="5" fillId="0" borderId="49" xfId="0" applyFont="1" applyBorder="1" applyAlignment="1">
      <alignment/>
    </xf>
    <xf numFmtId="0" fontId="108" fillId="34" borderId="20" xfId="74" applyNumberFormat="1" applyFont="1" applyFill="1" applyBorder="1" applyAlignment="1">
      <alignment horizontal="right"/>
    </xf>
    <xf numFmtId="164" fontId="108" fillId="34" borderId="32" xfId="74" applyNumberFormat="1" applyFont="1" applyFill="1" applyBorder="1" applyAlignment="1">
      <alignment horizontal="right"/>
    </xf>
    <xf numFmtId="0" fontId="105" fillId="0" borderId="0" xfId="0" applyFont="1" applyAlignment="1">
      <alignment/>
    </xf>
    <xf numFmtId="179" fontId="62" fillId="0" borderId="19" xfId="50" applyNumberFormat="1" applyFont="1" applyBorder="1" applyAlignment="1">
      <alignment/>
    </xf>
    <xf numFmtId="10" fontId="0" fillId="0" borderId="0" xfId="0" applyNumberFormat="1" applyAlignment="1">
      <alignment/>
    </xf>
    <xf numFmtId="0" fontId="131" fillId="0" borderId="0" xfId="0" applyFont="1" applyAlignment="1">
      <alignment/>
    </xf>
    <xf numFmtId="0" fontId="132" fillId="0" borderId="0" xfId="0" applyFont="1" applyAlignment="1">
      <alignment/>
    </xf>
    <xf numFmtId="9" fontId="0" fillId="0" borderId="0" xfId="74" applyFont="1" applyAlignment="1">
      <alignment/>
    </xf>
    <xf numFmtId="0" fontId="0" fillId="0" borderId="0" xfId="0" applyBorder="1" applyAlignment="1">
      <alignment textRotation="90"/>
    </xf>
    <xf numFmtId="0" fontId="105" fillId="0" borderId="31" xfId="0" applyFont="1" applyBorder="1" applyAlignment="1">
      <alignment horizontal="center"/>
    </xf>
    <xf numFmtId="0" fontId="32" fillId="0" borderId="0" xfId="0" applyFont="1" applyAlignment="1">
      <alignment vertical="center"/>
    </xf>
    <xf numFmtId="0" fontId="65" fillId="0" borderId="0" xfId="0" applyFont="1" applyAlignment="1">
      <alignment horizontal="center" vertical="center"/>
    </xf>
    <xf numFmtId="0" fontId="65" fillId="0" borderId="0" xfId="0" applyFont="1" applyAlignment="1" quotePrefix="1">
      <alignment horizontal="center" vertical="center"/>
    </xf>
    <xf numFmtId="179" fontId="62" fillId="0" borderId="0" xfId="0" applyNumberFormat="1" applyFont="1" applyBorder="1" applyAlignment="1">
      <alignment/>
    </xf>
    <xf numFmtId="179" fontId="62" fillId="0" borderId="17" xfId="0" applyNumberFormat="1" applyFont="1" applyBorder="1" applyAlignment="1">
      <alignment/>
    </xf>
    <xf numFmtId="172" fontId="0" fillId="0" borderId="0" xfId="0" applyNumberFormat="1" applyAlignment="1">
      <alignment/>
    </xf>
    <xf numFmtId="172" fontId="105" fillId="0" borderId="0" xfId="0" applyNumberFormat="1" applyFont="1" applyBorder="1" applyAlignment="1">
      <alignment horizontal="center"/>
    </xf>
    <xf numFmtId="0" fontId="0" fillId="0" borderId="0" xfId="0" applyFill="1" applyBorder="1" applyAlignment="1">
      <alignment horizontal="center"/>
    </xf>
    <xf numFmtId="0" fontId="105" fillId="0" borderId="0" xfId="0" applyFont="1" applyBorder="1" applyAlignment="1">
      <alignment horizontal="left"/>
    </xf>
    <xf numFmtId="170" fontId="105" fillId="0" borderId="32" xfId="0" applyNumberFormat="1" applyFont="1" applyBorder="1" applyAlignment="1">
      <alignment horizontal="center"/>
    </xf>
    <xf numFmtId="170" fontId="0" fillId="0" borderId="32" xfId="0" applyNumberFormat="1" applyFont="1" applyBorder="1" applyAlignment="1">
      <alignment horizontal="center"/>
    </xf>
    <xf numFmtId="0" fontId="105" fillId="0" borderId="36" xfId="0" applyFont="1" applyBorder="1" applyAlignment="1">
      <alignment horizontal="left"/>
    </xf>
    <xf numFmtId="170" fontId="105" fillId="0" borderId="30" xfId="0" applyNumberFormat="1" applyFont="1" applyBorder="1" applyAlignment="1">
      <alignment horizontal="center"/>
    </xf>
    <xf numFmtId="170" fontId="105" fillId="0" borderId="14" xfId="0" applyNumberFormat="1" applyFont="1" applyBorder="1" applyAlignment="1">
      <alignment horizontal="center"/>
    </xf>
    <xf numFmtId="170" fontId="105" fillId="0" borderId="20" xfId="0" applyNumberFormat="1" applyFont="1" applyBorder="1" applyAlignment="1">
      <alignment horizontal="center"/>
    </xf>
    <xf numFmtId="0" fontId="0" fillId="0" borderId="29" xfId="0" applyBorder="1" applyAlignment="1">
      <alignment/>
    </xf>
    <xf numFmtId="0" fontId="0" fillId="0" borderId="28" xfId="0" applyBorder="1" applyAlignment="1">
      <alignment/>
    </xf>
    <xf numFmtId="0" fontId="0" fillId="0" borderId="69" xfId="0" applyBorder="1" applyAlignment="1">
      <alignment/>
    </xf>
    <xf numFmtId="0" fontId="0" fillId="0" borderId="70" xfId="0" applyBorder="1" applyAlignment="1">
      <alignment/>
    </xf>
    <xf numFmtId="0" fontId="66" fillId="0" borderId="0" xfId="0" applyFont="1" applyBorder="1" applyAlignment="1">
      <alignment horizontal="center" vertical="center" textRotation="90"/>
    </xf>
    <xf numFmtId="0" fontId="62" fillId="37" borderId="0" xfId="0" applyFont="1" applyFill="1" applyBorder="1" applyAlignment="1">
      <alignment/>
    </xf>
    <xf numFmtId="0" fontId="0" fillId="0" borderId="0" xfId="0" applyAlignment="1">
      <alignment horizontal="center"/>
    </xf>
    <xf numFmtId="0" fontId="0" fillId="0" borderId="67" xfId="0" applyBorder="1" applyAlignment="1" quotePrefix="1">
      <alignment horizontal="center"/>
    </xf>
    <xf numFmtId="0" fontId="0" fillId="0" borderId="67" xfId="0" applyBorder="1" applyAlignment="1">
      <alignment horizontal="center"/>
    </xf>
    <xf numFmtId="0" fontId="0" fillId="0" borderId="67" xfId="0" applyBorder="1" applyAlignment="1">
      <alignment/>
    </xf>
    <xf numFmtId="0" fontId="0" fillId="0" borderId="68" xfId="0" applyBorder="1" applyAlignment="1">
      <alignment/>
    </xf>
    <xf numFmtId="0" fontId="105" fillId="0" borderId="71" xfId="0" applyFont="1" applyBorder="1" applyAlignment="1">
      <alignment/>
    </xf>
    <xf numFmtId="0" fontId="0" fillId="0" borderId="0" xfId="0" applyBorder="1" applyAlignment="1" quotePrefix="1">
      <alignment horizontal="center"/>
    </xf>
    <xf numFmtId="2" fontId="0" fillId="0" borderId="0" xfId="0" applyNumberFormat="1" applyBorder="1" applyAlignment="1">
      <alignment horizontal="center"/>
    </xf>
    <xf numFmtId="0" fontId="0" fillId="0" borderId="16" xfId="0" applyBorder="1" applyAlignment="1">
      <alignment/>
    </xf>
    <xf numFmtId="0" fontId="0" fillId="0" borderId="16" xfId="0" applyBorder="1" applyAlignment="1" quotePrefix="1">
      <alignment horizontal="center"/>
    </xf>
    <xf numFmtId="172" fontId="105" fillId="0" borderId="16" xfId="0" applyNumberFormat="1" applyFont="1" applyBorder="1" applyAlignment="1">
      <alignment horizontal="center"/>
    </xf>
    <xf numFmtId="0" fontId="105" fillId="0" borderId="16" xfId="0" applyFont="1" applyBorder="1" applyAlignment="1">
      <alignment/>
    </xf>
    <xf numFmtId="0" fontId="0" fillId="0" borderId="0" xfId="0" applyBorder="1" applyAlignment="1">
      <alignment horizontal="center"/>
    </xf>
    <xf numFmtId="172" fontId="0" fillId="0" borderId="0" xfId="0" applyNumberFormat="1" applyBorder="1" applyAlignment="1">
      <alignment horizontal="center"/>
    </xf>
    <xf numFmtId="0" fontId="0" fillId="0" borderId="0" xfId="0" applyAlignment="1">
      <alignment/>
    </xf>
    <xf numFmtId="44" fontId="0" fillId="0" borderId="0" xfId="0" applyNumberFormat="1" applyAlignment="1">
      <alignment/>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0" xfId="0" applyNumberFormat="1" applyFont="1" applyBorder="1" applyAlignment="1">
      <alignment horizontal="center"/>
    </xf>
    <xf numFmtId="170" fontId="105" fillId="0" borderId="0" xfId="0" applyNumberFormat="1" applyFont="1" applyBorder="1" applyAlignment="1">
      <alignment horizontal="center"/>
    </xf>
    <xf numFmtId="44" fontId="0" fillId="0" borderId="0" xfId="50" applyFont="1" applyAlignment="1">
      <alignment/>
    </xf>
    <xf numFmtId="9" fontId="0" fillId="0" borderId="0" xfId="0" applyNumberFormat="1" applyAlignment="1">
      <alignment horizontal="center"/>
    </xf>
    <xf numFmtId="182" fontId="0" fillId="0" borderId="0" xfId="0" applyNumberFormat="1" applyAlignment="1">
      <alignment horizontal="center"/>
    </xf>
    <xf numFmtId="0" fontId="0" fillId="0" borderId="31" xfId="0" applyBorder="1" applyAlignment="1">
      <alignment/>
    </xf>
    <xf numFmtId="2" fontId="105" fillId="0" borderId="36" xfId="0" applyNumberFormat="1" applyFont="1" applyFill="1" applyBorder="1" applyAlignment="1">
      <alignment horizontal="left"/>
    </xf>
    <xf numFmtId="172" fontId="105" fillId="0" borderId="38" xfId="0" applyNumberFormat="1" applyFont="1" applyFill="1" applyBorder="1" applyAlignment="1">
      <alignment horizontal="left"/>
    </xf>
    <xf numFmtId="170" fontId="0" fillId="0" borderId="0" xfId="0" applyNumberFormat="1" applyAlignment="1">
      <alignment/>
    </xf>
    <xf numFmtId="170" fontId="105" fillId="0" borderId="0" xfId="0" applyNumberFormat="1" applyFont="1" applyAlignment="1">
      <alignment/>
    </xf>
    <xf numFmtId="170" fontId="0" fillId="0" borderId="0" xfId="0" applyNumberFormat="1" applyBorder="1" applyAlignment="1">
      <alignment/>
    </xf>
    <xf numFmtId="170" fontId="105" fillId="0" borderId="0" xfId="0" applyNumberFormat="1" applyFont="1" applyBorder="1" applyAlignment="1">
      <alignment/>
    </xf>
    <xf numFmtId="0" fontId="105" fillId="0" borderId="36" xfId="0" applyFont="1" applyFill="1" applyBorder="1" applyAlignment="1">
      <alignment horizontal="left"/>
    </xf>
    <xf numFmtId="170" fontId="105" fillId="0" borderId="14" xfId="0" applyNumberFormat="1" applyFont="1" applyFill="1" applyBorder="1" applyAlignment="1">
      <alignment horizontal="center"/>
    </xf>
    <xf numFmtId="170" fontId="105" fillId="0" borderId="20" xfId="0" applyNumberFormat="1" applyFont="1" applyFill="1" applyBorder="1" applyAlignment="1">
      <alignment horizontal="center"/>
    </xf>
    <xf numFmtId="0" fontId="105" fillId="0" borderId="0" xfId="0" applyFont="1" applyBorder="1" applyAlignment="1" quotePrefix="1">
      <alignment horizontal="center"/>
    </xf>
    <xf numFmtId="0" fontId="105" fillId="0" borderId="0" xfId="0" applyFont="1" applyBorder="1" applyAlignment="1">
      <alignment/>
    </xf>
    <xf numFmtId="2" fontId="105" fillId="0" borderId="37" xfId="0" applyNumberFormat="1" applyFont="1" applyFill="1" applyBorder="1" applyAlignment="1">
      <alignment horizontal="left"/>
    </xf>
    <xf numFmtId="172" fontId="133" fillId="0" borderId="0" xfId="0" applyNumberFormat="1" applyFont="1" applyBorder="1" applyAlignment="1">
      <alignment/>
    </xf>
    <xf numFmtId="170" fontId="105" fillId="0" borderId="13" xfId="0" applyNumberFormat="1" applyFont="1" applyBorder="1" applyAlignment="1">
      <alignment horizontal="center"/>
    </xf>
    <xf numFmtId="0" fontId="105" fillId="0" borderId="37" xfId="0" applyFont="1" applyBorder="1" applyAlignment="1">
      <alignment horizontal="left"/>
    </xf>
    <xf numFmtId="170" fontId="105" fillId="0" borderId="42" xfId="0" applyNumberFormat="1" applyFont="1" applyBorder="1" applyAlignment="1">
      <alignment horizontal="center"/>
    </xf>
    <xf numFmtId="0" fontId="0" fillId="0" borderId="0" xfId="0" applyBorder="1" applyAlignment="1">
      <alignment horizontal="center"/>
    </xf>
    <xf numFmtId="9" fontId="0" fillId="0" borderId="0" xfId="74" applyFont="1" applyBorder="1" applyAlignment="1">
      <alignment horizontal="center"/>
    </xf>
    <xf numFmtId="9" fontId="108" fillId="34" borderId="35" xfId="74" applyFont="1" applyFill="1" applyBorder="1" applyAlignment="1">
      <alignment horizontal="right"/>
    </xf>
    <xf numFmtId="168" fontId="108" fillId="34" borderId="42" xfId="74" applyNumberFormat="1" applyFont="1" applyFill="1" applyBorder="1" applyAlignment="1">
      <alignment horizontal="right"/>
    </xf>
    <xf numFmtId="0" fontId="134" fillId="0" borderId="0" xfId="0" applyFont="1" applyAlignment="1">
      <alignment/>
    </xf>
    <xf numFmtId="0" fontId="105" fillId="0" borderId="34" xfId="0" applyFont="1" applyBorder="1" applyAlignment="1">
      <alignment horizontal="left"/>
    </xf>
    <xf numFmtId="170" fontId="0" fillId="0" borderId="33" xfId="0" applyNumberFormat="1" applyFont="1" applyBorder="1" applyAlignment="1">
      <alignment horizontal="center"/>
    </xf>
    <xf numFmtId="170" fontId="0" fillId="0" borderId="35" xfId="0" applyNumberFormat="1" applyFont="1" applyBorder="1" applyAlignment="1">
      <alignment horizontal="center"/>
    </xf>
    <xf numFmtId="170" fontId="105" fillId="0" borderId="0" xfId="0" applyNumberFormat="1" applyFont="1" applyFill="1" applyBorder="1" applyAlignment="1">
      <alignment horizontal="center"/>
    </xf>
    <xf numFmtId="0" fontId="105" fillId="0" borderId="52" xfId="0" applyFont="1" applyBorder="1" applyAlignment="1">
      <alignment horizontal="right"/>
    </xf>
    <xf numFmtId="0" fontId="62" fillId="37" borderId="0" xfId="0" applyFont="1" applyFill="1" applyBorder="1" applyAlignment="1">
      <alignment/>
    </xf>
    <xf numFmtId="0" fontId="105" fillId="0" borderId="36" xfId="0" applyFont="1" applyBorder="1" applyAlignment="1">
      <alignment horizontal="right"/>
    </xf>
    <xf numFmtId="0" fontId="105" fillId="0" borderId="38" xfId="0" applyFont="1" applyBorder="1" applyAlignment="1">
      <alignment horizontal="left"/>
    </xf>
    <xf numFmtId="170" fontId="105" fillId="0" borderId="32" xfId="0" applyNumberFormat="1" applyFont="1" applyBorder="1" applyAlignment="1">
      <alignment horizontal="center"/>
    </xf>
    <xf numFmtId="170" fontId="105" fillId="0" borderId="30" xfId="0" applyNumberFormat="1" applyFont="1" applyBorder="1" applyAlignment="1">
      <alignment horizontal="center"/>
    </xf>
    <xf numFmtId="0" fontId="105" fillId="0" borderId="37" xfId="0" applyFont="1" applyBorder="1" applyAlignment="1">
      <alignment/>
    </xf>
    <xf numFmtId="0" fontId="105" fillId="33" borderId="40" xfId="0" applyFont="1" applyFill="1" applyBorder="1" applyAlignment="1">
      <alignment horizontal="center"/>
    </xf>
    <xf numFmtId="0" fontId="105" fillId="33" borderId="41" xfId="0" applyFont="1" applyFill="1" applyBorder="1" applyAlignment="1">
      <alignment horizontal="center"/>
    </xf>
    <xf numFmtId="183" fontId="0" fillId="0" borderId="0" xfId="0" applyNumberFormat="1" applyAlignment="1">
      <alignment/>
    </xf>
    <xf numFmtId="0" fontId="62" fillId="37" borderId="19" xfId="0" applyFont="1" applyFill="1" applyBorder="1" applyAlignment="1">
      <alignment/>
    </xf>
    <xf numFmtId="0" fontId="62" fillId="37" borderId="17" xfId="0" applyFont="1" applyFill="1" applyBorder="1" applyAlignment="1">
      <alignment/>
    </xf>
    <xf numFmtId="0" fontId="66" fillId="0" borderId="0" xfId="0" applyFont="1" applyBorder="1" applyAlignment="1">
      <alignment vertical="center" textRotation="90"/>
    </xf>
    <xf numFmtId="0" fontId="0" fillId="0" borderId="0" xfId="0" applyBorder="1" applyAlignment="1">
      <alignment/>
    </xf>
    <xf numFmtId="0" fontId="0" fillId="0" borderId="0" xfId="0" applyAlignment="1">
      <alignment horizontal="center"/>
    </xf>
    <xf numFmtId="0" fontId="0" fillId="0" borderId="0" xfId="0" applyAlignment="1">
      <alignment horizontal="center"/>
    </xf>
    <xf numFmtId="10" fontId="108" fillId="8" borderId="42" xfId="74" applyNumberFormat="1" applyFont="1" applyFill="1" applyBorder="1" applyAlignment="1">
      <alignment horizontal="right"/>
    </xf>
    <xf numFmtId="176" fontId="108" fillId="8" borderId="42" xfId="0" applyNumberFormat="1" applyFont="1" applyFill="1" applyBorder="1" applyAlignment="1">
      <alignment horizontal="right"/>
    </xf>
    <xf numFmtId="8" fontId="108" fillId="8" borderId="51" xfId="0" applyNumberFormat="1" applyFont="1" applyFill="1" applyBorder="1" applyAlignment="1">
      <alignment horizontal="right"/>
    </xf>
    <xf numFmtId="0" fontId="132" fillId="33" borderId="10" xfId="0" applyFont="1" applyFill="1" applyBorder="1" applyAlignment="1">
      <alignment vertical="center"/>
    </xf>
    <xf numFmtId="0" fontId="105" fillId="33" borderId="11" xfId="0" applyFont="1" applyFill="1" applyBorder="1" applyAlignment="1">
      <alignment horizontal="center" vertical="center" wrapText="1"/>
    </xf>
    <xf numFmtId="0" fontId="105" fillId="33" borderId="12" xfId="0" applyFont="1" applyFill="1" applyBorder="1" applyAlignment="1">
      <alignment horizontal="center" vertical="center" wrapText="1"/>
    </xf>
    <xf numFmtId="172" fontId="0" fillId="0" borderId="0" xfId="0" applyNumberFormat="1" applyAlignment="1">
      <alignment vertical="center" wrapText="1"/>
    </xf>
    <xf numFmtId="0" fontId="105" fillId="33" borderId="25" xfId="0" applyFont="1" applyFill="1" applyBorder="1" applyAlignment="1">
      <alignment horizontal="left" vertical="center" wrapText="1"/>
    </xf>
    <xf numFmtId="0" fontId="105" fillId="33" borderId="19" xfId="0" applyFont="1" applyFill="1" applyBorder="1" applyAlignment="1">
      <alignment horizontal="center" vertical="center" wrapText="1"/>
    </xf>
    <xf numFmtId="0" fontId="105" fillId="33" borderId="22" xfId="0" applyFont="1" applyFill="1" applyBorder="1" applyAlignment="1">
      <alignment horizontal="center" vertical="center" wrapText="1"/>
    </xf>
    <xf numFmtId="0" fontId="0" fillId="0" borderId="0" xfId="0" applyAlignment="1">
      <alignment vertical="center" wrapText="1"/>
    </xf>
    <xf numFmtId="0" fontId="105" fillId="33" borderId="10" xfId="0" applyFont="1" applyFill="1" applyBorder="1" applyAlignment="1">
      <alignment horizontal="left" vertical="center" wrapText="1"/>
    </xf>
    <xf numFmtId="0" fontId="132" fillId="33" borderId="10" xfId="0" applyFont="1" applyFill="1" applyBorder="1" applyAlignment="1">
      <alignment/>
    </xf>
    <xf numFmtId="10" fontId="108" fillId="8" borderId="35" xfId="74" applyNumberFormat="1" applyFont="1" applyFill="1" applyBorder="1" applyAlignment="1">
      <alignment horizontal="right"/>
    </xf>
    <xf numFmtId="164" fontId="108" fillId="8" borderId="42" xfId="74" applyNumberFormat="1" applyFont="1" applyFill="1" applyBorder="1" applyAlignment="1">
      <alignment horizontal="right"/>
    </xf>
    <xf numFmtId="170" fontId="108" fillId="8" borderId="35" xfId="0" applyNumberFormat="1" applyFont="1" applyFill="1" applyBorder="1" applyAlignment="1">
      <alignment horizontal="right"/>
    </xf>
    <xf numFmtId="2" fontId="120" fillId="43" borderId="42" xfId="0" applyNumberFormat="1" applyFont="1" applyFill="1" applyBorder="1" applyAlignment="1">
      <alignment horizontal="right"/>
    </xf>
    <xf numFmtId="168" fontId="108" fillId="8" borderId="42" xfId="0" applyNumberFormat="1" applyFont="1" applyFill="1" applyBorder="1" applyAlignment="1">
      <alignment horizontal="right"/>
    </xf>
    <xf numFmtId="9" fontId="108" fillId="8" borderId="32" xfId="0" applyNumberFormat="1" applyFont="1" applyFill="1" applyBorder="1" applyAlignment="1">
      <alignment horizontal="center"/>
    </xf>
    <xf numFmtId="6" fontId="5" fillId="0" borderId="72" xfId="0" applyNumberFormat="1" applyFont="1" applyFill="1" applyBorder="1" applyAlignment="1">
      <alignment horizontal="right"/>
    </xf>
    <xf numFmtId="168" fontId="0" fillId="0" borderId="13" xfId="0" applyNumberFormat="1" applyBorder="1" applyAlignment="1">
      <alignment horizontal="center"/>
    </xf>
    <xf numFmtId="168" fontId="0" fillId="0" borderId="42" xfId="0" applyNumberFormat="1" applyBorder="1" applyAlignment="1">
      <alignment horizontal="center"/>
    </xf>
    <xf numFmtId="168" fontId="0" fillId="0" borderId="14" xfId="0" applyNumberFormat="1" applyBorder="1" applyAlignment="1">
      <alignment horizontal="center"/>
    </xf>
    <xf numFmtId="168" fontId="0" fillId="0" borderId="20" xfId="0" applyNumberFormat="1" applyBorder="1" applyAlignment="1">
      <alignment horizontal="center"/>
    </xf>
    <xf numFmtId="168" fontId="0" fillId="0" borderId="24" xfId="42" applyNumberFormat="1" applyFont="1" applyBorder="1" applyAlignment="1">
      <alignment horizontal="center"/>
    </xf>
    <xf numFmtId="168" fontId="0" fillId="0" borderId="53" xfId="42" applyNumberFormat="1" applyFont="1" applyBorder="1" applyAlignment="1">
      <alignment horizontal="center"/>
    </xf>
    <xf numFmtId="0" fontId="0" fillId="0" borderId="0" xfId="0" applyBorder="1" applyAlignment="1">
      <alignment horizontal="center"/>
    </xf>
    <xf numFmtId="0" fontId="0" fillId="0" borderId="0" xfId="0" applyAlignment="1">
      <alignment/>
    </xf>
    <xf numFmtId="0" fontId="105" fillId="0" borderId="29" xfId="0" applyFont="1" applyBorder="1" applyAlignment="1">
      <alignment/>
    </xf>
    <xf numFmtId="0" fontId="0" fillId="0" borderId="28" xfId="0" applyBorder="1" applyAlignment="1">
      <alignment horizontal="center"/>
    </xf>
    <xf numFmtId="1" fontId="0" fillId="0" borderId="28" xfId="0" applyNumberFormat="1" applyBorder="1" applyAlignment="1">
      <alignment horizontal="center"/>
    </xf>
    <xf numFmtId="0" fontId="105" fillId="0" borderId="29" xfId="0" applyFont="1" applyFill="1" applyBorder="1" applyAlignment="1">
      <alignment/>
    </xf>
    <xf numFmtId="9" fontId="0" fillId="0" borderId="28" xfId="74" applyFont="1" applyBorder="1" applyAlignment="1">
      <alignment horizontal="center"/>
    </xf>
    <xf numFmtId="0" fontId="0" fillId="0" borderId="28" xfId="74" applyNumberFormat="1" applyFont="1" applyBorder="1" applyAlignment="1">
      <alignment horizontal="center"/>
    </xf>
    <xf numFmtId="9" fontId="0" fillId="0" borderId="28" xfId="0" applyNumberFormat="1" applyBorder="1" applyAlignment="1">
      <alignment horizontal="center"/>
    </xf>
    <xf numFmtId="0" fontId="105" fillId="0" borderId="69" xfId="0" applyFont="1" applyBorder="1" applyAlignment="1">
      <alignment/>
    </xf>
    <xf numFmtId="0" fontId="0" fillId="0" borderId="16" xfId="0" applyBorder="1" applyAlignment="1">
      <alignment horizontal="center"/>
    </xf>
    <xf numFmtId="9" fontId="0" fillId="0" borderId="70" xfId="74" applyFont="1" applyBorder="1" applyAlignment="1">
      <alignment horizontal="center"/>
    </xf>
    <xf numFmtId="0" fontId="105" fillId="0" borderId="28" xfId="0" applyFont="1" applyFill="1" applyBorder="1" applyAlignment="1">
      <alignment/>
    </xf>
    <xf numFmtId="168" fontId="0" fillId="0" borderId="28" xfId="0" applyNumberFormat="1" applyBorder="1" applyAlignment="1">
      <alignment/>
    </xf>
    <xf numFmtId="168" fontId="0" fillId="0" borderId="70" xfId="0" applyNumberFormat="1" applyBorder="1" applyAlignment="1">
      <alignment/>
    </xf>
    <xf numFmtId="0" fontId="105" fillId="0" borderId="64" xfId="0" applyFont="1" applyFill="1" applyBorder="1" applyAlignment="1">
      <alignment/>
    </xf>
    <xf numFmtId="9" fontId="0" fillId="0" borderId="68" xfId="74" applyFont="1" applyBorder="1" applyAlignment="1">
      <alignment/>
    </xf>
    <xf numFmtId="0" fontId="135" fillId="0" borderId="0" xfId="0" applyFont="1" applyAlignment="1">
      <alignment/>
    </xf>
    <xf numFmtId="0" fontId="135" fillId="0" borderId="0" xfId="0" applyFont="1" applyAlignment="1">
      <alignment horizontal="right"/>
    </xf>
    <xf numFmtId="0" fontId="135" fillId="0" borderId="0" xfId="0" applyFont="1" applyAlignment="1" quotePrefix="1">
      <alignment horizontal="center"/>
    </xf>
    <xf numFmtId="3" fontId="135" fillId="0" borderId="0" xfId="0" applyNumberFormat="1" applyFont="1" applyAlignment="1">
      <alignment/>
    </xf>
    <xf numFmtId="0" fontId="136" fillId="0" borderId="0" xfId="0" applyFont="1" applyAlignment="1">
      <alignment horizontal="center"/>
    </xf>
    <xf numFmtId="0" fontId="136" fillId="0" borderId="0" xfId="0" applyFont="1" applyAlignment="1">
      <alignment/>
    </xf>
    <xf numFmtId="0" fontId="135" fillId="0" borderId="0" xfId="0" applyFont="1" applyAlignment="1">
      <alignment horizontal="center"/>
    </xf>
    <xf numFmtId="3" fontId="135" fillId="0" borderId="0" xfId="0" applyNumberFormat="1" applyFont="1" applyAlignment="1">
      <alignment horizontal="center"/>
    </xf>
    <xf numFmtId="9" fontId="135" fillId="0" borderId="0" xfId="74" applyFont="1" applyAlignment="1">
      <alignment/>
    </xf>
    <xf numFmtId="4" fontId="135" fillId="0" borderId="0" xfId="0" applyNumberFormat="1" applyFont="1" applyAlignment="1">
      <alignment/>
    </xf>
    <xf numFmtId="164" fontId="135" fillId="0" borderId="0" xfId="0" applyNumberFormat="1" applyFont="1" applyAlignment="1">
      <alignment/>
    </xf>
    <xf numFmtId="164" fontId="135" fillId="0" borderId="0" xfId="0" applyNumberFormat="1" applyFont="1" applyAlignment="1">
      <alignment horizontal="center"/>
    </xf>
    <xf numFmtId="180" fontId="135" fillId="0" borderId="0" xfId="0" applyNumberFormat="1" applyFont="1" applyAlignment="1">
      <alignment horizontal="center"/>
    </xf>
    <xf numFmtId="164" fontId="135" fillId="0" borderId="0" xfId="74" applyNumberFormat="1" applyFont="1" applyAlignment="1">
      <alignment horizontal="center"/>
    </xf>
    <xf numFmtId="3" fontId="0" fillId="0" borderId="24" xfId="42" applyNumberFormat="1" applyFont="1" applyBorder="1" applyAlignment="1">
      <alignment horizontal="center"/>
    </xf>
    <xf numFmtId="3" fontId="0" fillId="0" borderId="53" xfId="42" applyNumberFormat="1" applyFont="1" applyBorder="1" applyAlignment="1">
      <alignment horizontal="center"/>
    </xf>
    <xf numFmtId="10" fontId="0" fillId="0" borderId="28" xfId="0" applyNumberFormat="1" applyBorder="1" applyAlignment="1">
      <alignment horizontal="center"/>
    </xf>
    <xf numFmtId="164" fontId="108" fillId="8" borderId="35" xfId="74" applyNumberFormat="1" applyFont="1" applyFill="1" applyBorder="1" applyAlignment="1">
      <alignment horizontal="right"/>
    </xf>
    <xf numFmtId="0" fontId="0" fillId="0" borderId="0" xfId="0" applyAlignment="1">
      <alignment/>
    </xf>
    <xf numFmtId="0" fontId="0" fillId="0" borderId="69" xfId="0" applyBorder="1" applyAlignment="1">
      <alignment/>
    </xf>
    <xf numFmtId="0" fontId="0" fillId="0" borderId="67" xfId="0" applyBorder="1" applyAlignment="1" quotePrefix="1">
      <alignment horizontal="center"/>
    </xf>
    <xf numFmtId="0" fontId="0" fillId="0" borderId="67" xfId="0" applyBorder="1" applyAlignment="1">
      <alignment/>
    </xf>
    <xf numFmtId="0" fontId="0" fillId="0" borderId="68" xfId="0" applyBorder="1" applyAlignment="1">
      <alignment/>
    </xf>
    <xf numFmtId="0" fontId="105" fillId="0" borderId="71" xfId="0" applyFont="1" applyBorder="1" applyAlignment="1">
      <alignment/>
    </xf>
    <xf numFmtId="0" fontId="0" fillId="0" borderId="16" xfId="0" applyBorder="1" applyAlignment="1">
      <alignment/>
    </xf>
    <xf numFmtId="0" fontId="0" fillId="0" borderId="16" xfId="0" applyBorder="1" applyAlignment="1" quotePrefix="1">
      <alignment horizontal="center"/>
    </xf>
    <xf numFmtId="0" fontId="105" fillId="0" borderId="70" xfId="0" applyFont="1" applyBorder="1" applyAlignment="1">
      <alignment/>
    </xf>
    <xf numFmtId="0" fontId="0" fillId="0" borderId="67" xfId="0" applyBorder="1" applyAlignment="1">
      <alignment/>
    </xf>
    <xf numFmtId="181" fontId="105" fillId="0" borderId="16" xfId="0" applyNumberFormat="1" applyFont="1" applyBorder="1" applyAlignment="1">
      <alignment/>
    </xf>
    <xf numFmtId="164" fontId="0" fillId="0" borderId="28" xfId="74" applyNumberFormat="1" applyFont="1" applyBorder="1" applyAlignment="1">
      <alignment horizontal="center"/>
    </xf>
    <xf numFmtId="170" fontId="0" fillId="0" borderId="32" xfId="0" applyNumberFormat="1" applyFont="1" applyBorder="1" applyAlignment="1">
      <alignment horizontal="center"/>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0" xfId="0" applyNumberFormat="1" applyFont="1" applyBorder="1" applyAlignment="1">
      <alignment horizontal="center"/>
    </xf>
    <xf numFmtId="170" fontId="0" fillId="0" borderId="33" xfId="0" applyNumberFormat="1" applyFont="1" applyBorder="1" applyAlignment="1">
      <alignment horizontal="center"/>
    </xf>
    <xf numFmtId="170" fontId="0" fillId="0" borderId="35" xfId="0" applyNumberFormat="1" applyFont="1" applyBorder="1" applyAlignment="1">
      <alignment horizontal="center"/>
    </xf>
    <xf numFmtId="0" fontId="132" fillId="0" borderId="0" xfId="0" applyFont="1" applyBorder="1" applyAlignment="1">
      <alignment horizontal="center"/>
    </xf>
    <xf numFmtId="164" fontId="108" fillId="0" borderId="64" xfId="74" applyNumberFormat="1" applyFont="1" applyFill="1" applyBorder="1" applyAlignment="1">
      <alignment horizontal="center"/>
    </xf>
    <xf numFmtId="164" fontId="108" fillId="0" borderId="63" xfId="74" applyNumberFormat="1" applyFont="1" applyFill="1" applyBorder="1" applyAlignment="1">
      <alignment horizontal="center"/>
    </xf>
    <xf numFmtId="164" fontId="108" fillId="0" borderId="31" xfId="74" applyNumberFormat="1" applyFont="1" applyFill="1" applyBorder="1" applyAlignment="1">
      <alignment horizontal="center"/>
    </xf>
    <xf numFmtId="164" fontId="108" fillId="0" borderId="65" xfId="74" applyNumberFormat="1" applyFont="1" applyFill="1" applyBorder="1" applyAlignment="1">
      <alignment horizontal="center"/>
    </xf>
    <xf numFmtId="164" fontId="108" fillId="0" borderId="54" xfId="74" applyNumberFormat="1" applyFont="1" applyFill="1" applyBorder="1" applyAlignment="1">
      <alignment horizontal="center"/>
    </xf>
    <xf numFmtId="164" fontId="108" fillId="0" borderId="48" xfId="74" applyNumberFormat="1" applyFont="1" applyFill="1" applyBorder="1" applyAlignment="1">
      <alignment horizontal="center"/>
    </xf>
    <xf numFmtId="0" fontId="2" fillId="0" borderId="60" xfId="0" applyFont="1" applyFill="1" applyBorder="1" applyAlignment="1">
      <alignment horizontal="center"/>
    </xf>
    <xf numFmtId="0" fontId="2" fillId="0" borderId="11" xfId="0" applyFont="1" applyFill="1" applyBorder="1" applyAlignment="1">
      <alignment horizontal="center"/>
    </xf>
    <xf numFmtId="0" fontId="2" fillId="0" borderId="73" xfId="0" applyFont="1" applyFill="1" applyBorder="1" applyAlignment="1">
      <alignment horizontal="center"/>
    </xf>
    <xf numFmtId="0" fontId="137" fillId="0" borderId="17" xfId="0" applyFont="1" applyFill="1" applyBorder="1" applyAlignment="1">
      <alignment horizontal="center"/>
    </xf>
    <xf numFmtId="0" fontId="6" fillId="33" borderId="11" xfId="0" applyFont="1" applyFill="1" applyBorder="1" applyAlignment="1">
      <alignment horizontal="center" vertical="center"/>
    </xf>
    <xf numFmtId="0" fontId="16" fillId="0" borderId="60" xfId="0" applyFont="1" applyFill="1" applyBorder="1" applyAlignment="1">
      <alignment horizontal="center"/>
    </xf>
    <xf numFmtId="0" fontId="16" fillId="0" borderId="11" xfId="0" applyFont="1" applyFill="1" applyBorder="1" applyAlignment="1">
      <alignment horizontal="center"/>
    </xf>
    <xf numFmtId="0" fontId="16" fillId="0" borderId="73" xfId="0" applyFont="1" applyFill="1" applyBorder="1" applyAlignment="1">
      <alignment horizontal="center"/>
    </xf>
    <xf numFmtId="164" fontId="108" fillId="0" borderId="60" xfId="74" applyNumberFormat="1" applyFont="1" applyFill="1" applyBorder="1" applyAlignment="1">
      <alignment horizontal="center"/>
    </xf>
    <xf numFmtId="164" fontId="108" fillId="0" borderId="11" xfId="74" applyNumberFormat="1" applyFont="1" applyFill="1" applyBorder="1" applyAlignment="1">
      <alignment horizontal="center"/>
    </xf>
    <xf numFmtId="164" fontId="108" fillId="0" borderId="73" xfId="74" applyNumberFormat="1" applyFont="1" applyFill="1" applyBorder="1" applyAlignment="1">
      <alignment horizontal="center"/>
    </xf>
    <xf numFmtId="164" fontId="108" fillId="0" borderId="66" xfId="74" applyNumberFormat="1" applyFont="1" applyFill="1" applyBorder="1" applyAlignment="1">
      <alignment horizontal="center"/>
    </xf>
    <xf numFmtId="164" fontId="108" fillId="0" borderId="57" xfId="74" applyNumberFormat="1" applyFont="1" applyFill="1" applyBorder="1" applyAlignment="1">
      <alignment horizontal="center"/>
    </xf>
    <xf numFmtId="164" fontId="108" fillId="0" borderId="74" xfId="74" applyNumberFormat="1" applyFont="1" applyFill="1" applyBorder="1" applyAlignment="1">
      <alignment horizontal="center"/>
    </xf>
    <xf numFmtId="0" fontId="0" fillId="0" borderId="0" xfId="0" applyBorder="1" applyAlignment="1">
      <alignment horizontal="center"/>
    </xf>
    <xf numFmtId="0" fontId="2" fillId="37" borderId="0" xfId="0" applyNumberFormat="1" applyFont="1" applyFill="1" applyAlignment="1">
      <alignment horizontal="center"/>
    </xf>
    <xf numFmtId="0" fontId="2" fillId="41" borderId="10" xfId="0" applyNumberFormat="1" applyFont="1" applyFill="1" applyBorder="1" applyAlignment="1">
      <alignment horizontal="left" vertical="center" wrapText="1"/>
    </xf>
    <xf numFmtId="0" fontId="2" fillId="41" borderId="12" xfId="0" applyNumberFormat="1" applyFont="1" applyFill="1" applyBorder="1" applyAlignment="1">
      <alignment horizontal="left" vertical="center" wrapText="1"/>
    </xf>
    <xf numFmtId="178" fontId="2" fillId="41" borderId="10" xfId="0" applyNumberFormat="1" applyFont="1" applyFill="1" applyBorder="1" applyAlignment="1">
      <alignment horizontal="left"/>
    </xf>
    <xf numFmtId="178" fontId="2" fillId="41" borderId="12" xfId="0" applyNumberFormat="1" applyFont="1" applyFill="1" applyBorder="1" applyAlignment="1">
      <alignment horizontal="left"/>
    </xf>
    <xf numFmtId="0" fontId="72" fillId="0" borderId="0" xfId="0" applyFont="1" applyBorder="1" applyAlignment="1">
      <alignment horizontal="center" vertical="center" textRotation="90" wrapText="1"/>
    </xf>
    <xf numFmtId="0" fontId="134" fillId="0" borderId="0" xfId="0" applyFont="1" applyAlignment="1">
      <alignment horizontal="center"/>
    </xf>
    <xf numFmtId="0" fontId="134" fillId="0" borderId="0" xfId="0" applyFont="1" applyAlignment="1">
      <alignment/>
    </xf>
    <xf numFmtId="0" fontId="105" fillId="0" borderId="71" xfId="0" applyFont="1" applyBorder="1" applyAlignment="1">
      <alignment horizontal="right"/>
    </xf>
    <xf numFmtId="0" fontId="105" fillId="0" borderId="67" xfId="0" applyFont="1" applyBorder="1" applyAlignment="1">
      <alignment horizontal="right"/>
    </xf>
    <xf numFmtId="0" fontId="134" fillId="0" borderId="0" xfId="0" applyFont="1" applyAlignment="1">
      <alignment horizontal="center" wrapText="1"/>
    </xf>
    <xf numFmtId="0" fontId="0" fillId="0" borderId="0" xfId="0" applyAlignment="1">
      <alignment horizontal="center"/>
    </xf>
    <xf numFmtId="0" fontId="105" fillId="0" borderId="0" xfId="0" applyFont="1" applyBorder="1" applyAlignment="1">
      <alignment horizontal="righ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5 2"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rmal 4 2" xfId="66"/>
    <cellStyle name="Normal 5" xfId="67"/>
    <cellStyle name="Normal 6" xfId="68"/>
    <cellStyle name="Normal 7" xfId="69"/>
    <cellStyle name="Normal 7 2" xfId="70"/>
    <cellStyle name="Normal 8" xfId="71"/>
    <cellStyle name="Note" xfId="72"/>
    <cellStyle name="Output" xfId="73"/>
    <cellStyle name="Percent" xfId="74"/>
    <cellStyle name="Percent 2" xfId="75"/>
    <cellStyle name="Percent 3" xfId="76"/>
    <cellStyle name="Title" xfId="77"/>
    <cellStyle name="Total" xfId="78"/>
    <cellStyle name="Warning Text" xfId="79"/>
  </cellStyles>
  <dxfs count="143">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ont>
        <color rgb="FF0070C0"/>
      </font>
      <fill>
        <patternFill>
          <bgColor theme="0"/>
        </patternFill>
      </fill>
    </dxf>
    <dxf>
      <font>
        <color rgb="FF0070C0"/>
      </font>
      <fill>
        <patternFill>
          <bgColor theme="0"/>
        </patternFill>
      </fill>
    </dxf>
    <dxf>
      <fill>
        <patternFill patternType="none">
          <bgColor indexed="65"/>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ont>
        <color theme="0" tint="-0.149959996342659"/>
      </font>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patternType="none">
          <bgColor indexed="65"/>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3" tint="0.3999499976634979"/>
      </font>
      <fill>
        <patternFill>
          <bgColor rgb="FFFFFF99"/>
        </patternFill>
      </fill>
    </dxf>
    <dxf>
      <font>
        <color auto="1"/>
      </font>
      <fill>
        <patternFill patternType="none">
          <bgColor indexed="65"/>
        </patternFill>
      </fill>
    </dxf>
    <dxf>
      <fill>
        <patternFill patternType="none">
          <bgColor indexed="65"/>
        </patternFill>
      </fill>
    </dxf>
    <dxf>
      <font>
        <color theme="3" tint="0.3999499976634979"/>
      </font>
      <fill>
        <patternFill patternType="none">
          <bgColor indexed="65"/>
        </patternFill>
      </fill>
    </dxf>
    <dxf>
      <font>
        <color theme="3" tint="0.3999499976634979"/>
      </font>
      <fill>
        <patternFill patternType="none">
          <bgColor indexed="65"/>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tint="-0.149959996342659"/>
      </font>
      <fill>
        <patternFill>
          <bgColor theme="0" tint="-0.149959996342659"/>
        </patternFill>
      </fill>
    </dxf>
    <dxf>
      <font>
        <color theme="3" tint="0.3999499976634979"/>
      </font>
      <fill>
        <patternFill patternType="none">
          <bgColor indexed="65"/>
        </patternFill>
      </fill>
    </dxf>
    <dxf>
      <font>
        <color auto="1"/>
      </font>
      <fill>
        <patternFill patternType="none">
          <bgColor indexed="65"/>
        </patternFill>
      </fill>
    </dxf>
    <dxf>
      <font>
        <color theme="3" tint="0.3999499976634979"/>
      </font>
      <fill>
        <patternFill patternType="none">
          <bgColor indexed="65"/>
        </patternFill>
      </fill>
    </dxf>
    <dxf>
      <font>
        <b/>
        <i val="0"/>
        <color rgb="FFFFFF00"/>
      </font>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59996342659"/>
      </font>
      <fill>
        <patternFill>
          <bgColor theme="0" tint="-0.149959996342659"/>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59996342659"/>
      </font>
      <fill>
        <patternFill>
          <bgColor theme="0" tint="-0.149959996342659"/>
        </patternFill>
      </fill>
      <border/>
    </dxf>
    <dxf>
      <font>
        <b/>
        <i val="0"/>
        <color rgb="FFFFFF00"/>
      </font>
      <fill>
        <patternFill>
          <bgColor rgb="FFFF0000"/>
        </patternFill>
      </fill>
      <border/>
    </dxf>
    <dxf>
      <font>
        <color theme="3" tint="0.3999499976634979"/>
      </font>
      <fill>
        <patternFill patternType="none">
          <bgColor indexed="65"/>
        </patternFill>
      </fill>
      <border/>
    </dxf>
    <dxf>
      <font>
        <color auto="1"/>
      </font>
      <fill>
        <patternFill patternType="none">
          <bgColor indexed="65"/>
        </patternFill>
      </fill>
      <border/>
    </dxf>
    <dxf>
      <font>
        <color theme="4"/>
      </font>
      <fill>
        <patternFill patternType="none">
          <bgColor indexed="65"/>
        </patternFill>
      </fill>
      <border/>
    </dxf>
    <dxf>
      <font>
        <color theme="3" tint="0.3999499976634979"/>
      </font>
      <fill>
        <patternFill>
          <bgColor rgb="FFFFFF99"/>
        </patternFill>
      </fill>
      <border/>
    </dxf>
    <dxf>
      <font>
        <color rgb="FFFF0000"/>
      </font>
      <fill>
        <patternFill patternType="none">
          <bgColor indexed="65"/>
        </patternFill>
      </fill>
      <border/>
    </dxf>
    <dxf>
      <font>
        <color rgb="FF0070C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xdr:row>
      <xdr:rowOff>38100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590550" y="609600"/>
          <a:ext cx="5667375" cy="416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57150</xdr:rowOff>
    </xdr:from>
    <xdr:to>
      <xdr:col>9</xdr:col>
      <xdr:colOff>552450</xdr:colOff>
      <xdr:row>23</xdr:row>
      <xdr:rowOff>180975</xdr:rowOff>
    </xdr:to>
    <xdr:pic>
      <xdr:nvPicPr>
        <xdr:cNvPr id="1" name="Picture 1"/>
        <xdr:cNvPicPr preferRelativeResize="1">
          <a:picLocks noChangeAspect="1"/>
        </xdr:cNvPicPr>
      </xdr:nvPicPr>
      <xdr:blipFill>
        <a:blip r:embed="rId1"/>
        <a:stretch>
          <a:fillRect/>
        </a:stretch>
      </xdr:blipFill>
      <xdr:spPr>
        <a:xfrm>
          <a:off x="95250" y="247650"/>
          <a:ext cx="5943600" cy="431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51"/>
  <sheetViews>
    <sheetView showGridLines="0" tabSelected="1" zoomScale="90" zoomScaleNormal="90" zoomScalePageLayoutView="0" workbookViewId="0" topLeftCell="A1">
      <selection activeCell="B16" sqref="B16"/>
    </sheetView>
  </sheetViews>
  <sheetFormatPr defaultColWidth="9.140625" defaultRowHeight="15"/>
  <cols>
    <col min="1" max="1" width="4.00390625" style="0" customWidth="1"/>
    <col min="2" max="2" width="43.57421875" style="0" customWidth="1"/>
    <col min="3" max="3" width="15.28125" style="0" customWidth="1"/>
    <col min="4" max="4" width="13.140625" style="0" customWidth="1"/>
    <col min="5" max="5" width="4.00390625" style="0" customWidth="1"/>
    <col min="6" max="7" width="19.421875" style="0" customWidth="1"/>
    <col min="8" max="8" width="18.57421875" style="0" customWidth="1"/>
    <col min="9" max="9" width="4.00390625" style="0" customWidth="1"/>
    <col min="10" max="10" width="14.421875" style="0" customWidth="1"/>
    <col min="11" max="11" width="22.140625" style="0" customWidth="1"/>
    <col min="12" max="12" width="22.7109375" style="0" customWidth="1"/>
  </cols>
  <sheetData>
    <row r="1" ht="16.5" customHeight="1" thickBot="1">
      <c r="F1" s="544"/>
    </row>
    <row r="2" spans="2:4" ht="19.5" thickBot="1">
      <c r="B2" s="595" t="s">
        <v>389</v>
      </c>
      <c r="C2" s="574" t="s">
        <v>410</v>
      </c>
      <c r="D2" s="575" t="s">
        <v>337</v>
      </c>
    </row>
    <row r="3" spans="1:8" ht="15.75">
      <c r="A3" s="497"/>
      <c r="B3" s="573" t="s">
        <v>383</v>
      </c>
      <c r="C3" s="603">
        <f>NPV('Input Assumptions'!$D$8,'Cash Flow'!$G$23:$AE$23)</f>
        <v>5266156.397063236</v>
      </c>
      <c r="D3" s="604">
        <f>NPV('Input Assumptions'!$D$8,'Cash Flow'!$G$23:$AE$23)</f>
        <v>5266156.397063236</v>
      </c>
      <c r="G3" s="494"/>
      <c r="H3" s="494"/>
    </row>
    <row r="4" spans="1:4" ht="15.75">
      <c r="A4" s="498"/>
      <c r="B4" s="569" t="s">
        <v>384</v>
      </c>
      <c r="C4" s="605">
        <f>NPV('Input Assumptions'!$D$8,'Net Metering Credit'!$C$19:$AA$19)*'Input Assumptions'!$D$12</f>
        <v>940186.9018937997</v>
      </c>
      <c r="D4" s="606">
        <f>NPV('Input Assumptions'!$D$8,'Net Metering Credit'!$C$18:$AA$18)*'Input Assumptions'!$D$12</f>
        <v>905655.6819128186</v>
      </c>
    </row>
    <row r="5" spans="1:4" ht="15.75">
      <c r="A5" s="498"/>
      <c r="B5" s="567" t="s">
        <v>378</v>
      </c>
      <c r="C5" s="607">
        <f>C3-C4</f>
        <v>4325969.495169437</v>
      </c>
      <c r="D5" s="608">
        <f>D3-D4</f>
        <v>4360500.715150417</v>
      </c>
    </row>
    <row r="6" spans="1:4" ht="15.75">
      <c r="A6" s="498"/>
      <c r="B6" s="569" t="s">
        <v>379</v>
      </c>
      <c r="C6" s="640">
        <f>SUM('Cash Flow'!G5:U5)/1000</f>
        <v>47375.6888753081</v>
      </c>
      <c r="D6" s="641">
        <f>SUM('Cash Flow'!G5:U5)/1000</f>
        <v>47375.6888753081</v>
      </c>
    </row>
    <row r="7" spans="1:4" ht="16.5" thickBot="1">
      <c r="A7" s="499"/>
      <c r="B7" s="570" t="s">
        <v>390</v>
      </c>
      <c r="C7" s="572">
        <f>C5/C6</f>
        <v>91.31201250825724</v>
      </c>
      <c r="D7" s="571">
        <f>D5/D6</f>
        <v>92.04089309660849</v>
      </c>
    </row>
    <row r="8" spans="1:4" ht="15.75">
      <c r="A8" s="499"/>
      <c r="B8" s="505"/>
      <c r="C8" s="503"/>
      <c r="D8" s="503"/>
    </row>
    <row r="9" spans="2:5" ht="17.25" customHeight="1">
      <c r="B9" s="505"/>
      <c r="C9" s="537"/>
      <c r="D9" s="537"/>
      <c r="E9" s="502"/>
    </row>
    <row r="10" spans="2:12" ht="17.25" customHeight="1" thickBot="1">
      <c r="B10" s="14"/>
      <c r="C10" s="554"/>
      <c r="D10" s="14"/>
      <c r="E10" s="502"/>
      <c r="F10" s="662" t="s">
        <v>407</v>
      </c>
      <c r="G10" s="662"/>
      <c r="H10" s="662"/>
      <c r="J10" s="662" t="s">
        <v>363</v>
      </c>
      <c r="K10" s="662"/>
      <c r="L10" s="662"/>
    </row>
    <row r="11" spans="2:12" ht="31.5" customHeight="1" thickBot="1">
      <c r="B11" s="586" t="s">
        <v>385</v>
      </c>
      <c r="C11" s="587" t="s">
        <v>404</v>
      </c>
      <c r="D11" s="588" t="s">
        <v>386</v>
      </c>
      <c r="E11" s="589"/>
      <c r="F11" s="590" t="s">
        <v>387</v>
      </c>
      <c r="G11" s="591" t="s">
        <v>405</v>
      </c>
      <c r="H11" s="592" t="s">
        <v>403</v>
      </c>
      <c r="I11" s="593"/>
      <c r="J11" s="594" t="s">
        <v>351</v>
      </c>
      <c r="K11" s="587" t="s">
        <v>406</v>
      </c>
      <c r="L11" s="588" t="s">
        <v>388</v>
      </c>
    </row>
    <row r="12" spans="2:13" ht="15.75" customHeight="1">
      <c r="B12" s="556" t="s">
        <v>402</v>
      </c>
      <c r="C12" s="555">
        <f>$C$17+G12</f>
        <v>155.8727117995013</v>
      </c>
      <c r="D12" s="557">
        <f>$D$17+H12</f>
        <v>156.57087098543903</v>
      </c>
      <c r="F12" s="563" t="s">
        <v>402</v>
      </c>
      <c r="G12" s="564">
        <v>64.56069929124406</v>
      </c>
      <c r="H12" s="565">
        <v>64.52997788883054</v>
      </c>
      <c r="J12" s="553" t="s">
        <v>364</v>
      </c>
      <c r="K12" s="660">
        <v>155.8727117995013</v>
      </c>
      <c r="L12" s="661">
        <v>156.57087098543903</v>
      </c>
      <c r="M12" s="544"/>
    </row>
    <row r="13" spans="2:13" ht="15">
      <c r="B13" s="556" t="s">
        <v>397</v>
      </c>
      <c r="C13" s="510">
        <f>$C$17+G13</f>
        <v>142.55487929052626</v>
      </c>
      <c r="D13" s="511">
        <f>$D$17+H13</f>
        <v>143.2570123034237</v>
      </c>
      <c r="F13" s="556" t="s">
        <v>397</v>
      </c>
      <c r="G13" s="535">
        <v>51.24286678226902</v>
      </c>
      <c r="H13" s="534">
        <v>51.21611920681521</v>
      </c>
      <c r="J13" s="553" t="s">
        <v>372</v>
      </c>
      <c r="K13" s="658">
        <v>129.23704678155121</v>
      </c>
      <c r="L13" s="657">
        <v>129.94315362140836</v>
      </c>
      <c r="M13" s="544"/>
    </row>
    <row r="14" spans="2:13" ht="15">
      <c r="B14" s="508" t="s">
        <v>398</v>
      </c>
      <c r="C14" s="510">
        <f>$C$17+G14</f>
        <v>118.5729328102642</v>
      </c>
      <c r="D14" s="511">
        <f>$D$17+H14</f>
        <v>119.28457454091966</v>
      </c>
      <c r="F14" s="508" t="s">
        <v>398</v>
      </c>
      <c r="G14" s="535">
        <v>27.260920302006966</v>
      </c>
      <c r="H14" s="534">
        <v>27.24368144431118</v>
      </c>
      <c r="J14" s="542" t="s">
        <v>365</v>
      </c>
      <c r="K14" s="658">
        <v>107.9088188389772</v>
      </c>
      <c r="L14" s="657">
        <v>108.62599546043097</v>
      </c>
      <c r="M14" s="544"/>
    </row>
    <row r="15" spans="2:13" ht="15">
      <c r="B15" s="548" t="s">
        <v>399</v>
      </c>
      <c r="C15" s="549">
        <f>$C$17+G15</f>
        <v>102.82838221498434</v>
      </c>
      <c r="D15" s="550">
        <f>$D$17+H15</f>
        <v>103.54895196359229</v>
      </c>
      <c r="F15" s="548" t="s">
        <v>399</v>
      </c>
      <c r="G15" s="535">
        <v>11.516369706727104</v>
      </c>
      <c r="H15" s="534">
        <v>11.508058866983802</v>
      </c>
      <c r="J15" s="542" t="s">
        <v>366</v>
      </c>
      <c r="K15" s="658">
        <v>97.74794559099148</v>
      </c>
      <c r="L15" s="657">
        <v>98.47190846675359</v>
      </c>
      <c r="M15" s="544"/>
    </row>
    <row r="16" spans="2:13" ht="15">
      <c r="B16" s="508" t="s">
        <v>400</v>
      </c>
      <c r="C16" s="510">
        <f>$C$17+G16</f>
        <v>95.613431857866</v>
      </c>
      <c r="D16" s="511">
        <f>$D$17+H16</f>
        <v>96.33912857766052</v>
      </c>
      <c r="F16" s="508" t="s">
        <v>400</v>
      </c>
      <c r="G16" s="535">
        <v>4.301419349608764</v>
      </c>
      <c r="H16" s="534">
        <v>4.298235481052032</v>
      </c>
      <c r="J16" s="542" t="s">
        <v>367</v>
      </c>
      <c r="K16" s="658">
        <v>93.47891812474055</v>
      </c>
      <c r="L16" s="657">
        <v>94.20634868856743</v>
      </c>
      <c r="M16" s="544"/>
    </row>
    <row r="17" spans="2:12" ht="15.75" thickBot="1">
      <c r="B17" s="570" t="s">
        <v>401</v>
      </c>
      <c r="C17" s="509">
        <f>$C$7</f>
        <v>91.31201250825724</v>
      </c>
      <c r="D17" s="506">
        <f>$D$7</f>
        <v>92.04089309660849</v>
      </c>
      <c r="F17" s="570" t="s">
        <v>401</v>
      </c>
      <c r="G17" s="536">
        <v>0</v>
      </c>
      <c r="H17" s="507">
        <v>0</v>
      </c>
      <c r="J17" s="543" t="s">
        <v>368</v>
      </c>
      <c r="K17" s="659">
        <v>91.31201250825724</v>
      </c>
      <c r="L17" s="656">
        <v>92.04089309660849</v>
      </c>
    </row>
    <row r="18" ht="15">
      <c r="D18" s="502"/>
    </row>
    <row r="19" spans="3:4" ht="15">
      <c r="C19" s="545"/>
      <c r="D19" s="545"/>
    </row>
    <row r="20" spans="3:4" ht="15">
      <c r="C20" s="545"/>
      <c r="D20" s="545"/>
    </row>
    <row r="21" spans="3:4" ht="15">
      <c r="C21" s="545"/>
      <c r="D21" s="545"/>
    </row>
    <row r="22" spans="3:4" ht="15">
      <c r="C22" s="545"/>
      <c r="D22" s="545"/>
    </row>
    <row r="23" spans="3:4" ht="15">
      <c r="C23" s="545"/>
      <c r="D23" s="545"/>
    </row>
    <row r="24" spans="3:4" ht="15">
      <c r="C24" s="545"/>
      <c r="D24" s="545"/>
    </row>
    <row r="25" spans="3:4" ht="15">
      <c r="C25" s="545"/>
      <c r="D25" s="545"/>
    </row>
    <row r="26" spans="3:4" ht="15">
      <c r="C26" s="545"/>
      <c r="D26" s="545"/>
    </row>
    <row r="28" spans="3:8" ht="15">
      <c r="C28" s="544"/>
      <c r="D28" s="544"/>
      <c r="F28" s="14"/>
      <c r="G28" s="546"/>
      <c r="H28" s="544"/>
    </row>
    <row r="29" spans="3:8" ht="15">
      <c r="C29" s="544"/>
      <c r="D29" s="544"/>
      <c r="F29" s="537"/>
      <c r="G29" s="537"/>
      <c r="H29" s="537"/>
    </row>
    <row r="30" spans="3:8" ht="15">
      <c r="C30" s="544"/>
      <c r="D30" s="544"/>
      <c r="F30" s="537"/>
      <c r="H30" s="544"/>
    </row>
    <row r="31" spans="3:8" ht="15">
      <c r="C31" s="544"/>
      <c r="D31" s="544"/>
      <c r="F31" s="566"/>
      <c r="G31" s="566"/>
      <c r="H31" s="544"/>
    </row>
    <row r="32" spans="3:8" ht="15">
      <c r="C32" s="544"/>
      <c r="D32" s="544"/>
      <c r="F32" s="537"/>
      <c r="G32" s="537"/>
      <c r="H32" s="544"/>
    </row>
    <row r="33" spans="6:7" ht="15">
      <c r="F33" s="537"/>
      <c r="G33" s="537"/>
    </row>
    <row r="34" spans="6:7" ht="15">
      <c r="F34" s="14"/>
      <c r="G34" s="14"/>
    </row>
    <row r="38" spans="1:13" ht="15">
      <c r="A38" s="14"/>
      <c r="I38" s="14"/>
      <c r="L38" s="14"/>
      <c r="M38" s="14"/>
    </row>
    <row r="39" spans="1:13" ht="15">
      <c r="A39" s="14"/>
      <c r="B39" s="14"/>
      <c r="C39" s="546"/>
      <c r="D39" s="14"/>
      <c r="E39" s="14"/>
      <c r="I39" s="505"/>
      <c r="J39" s="546"/>
      <c r="K39" s="14"/>
      <c r="L39" s="14"/>
      <c r="M39" s="14"/>
    </row>
    <row r="40" spans="1:13" ht="15">
      <c r="A40" s="14"/>
      <c r="B40" s="505"/>
      <c r="C40" s="547"/>
      <c r="D40" s="547"/>
      <c r="E40" s="14"/>
      <c r="F40" s="14"/>
      <c r="G40" s="14"/>
      <c r="H40" s="14"/>
      <c r="I40" s="505"/>
      <c r="J40" s="547"/>
      <c r="K40" s="547"/>
      <c r="L40" s="14"/>
      <c r="M40" s="14"/>
    </row>
    <row r="41" spans="1:13" ht="15">
      <c r="A41" s="14"/>
      <c r="B41" s="505"/>
      <c r="C41" s="547"/>
      <c r="D41" s="547"/>
      <c r="E41" s="14"/>
      <c r="F41" s="14"/>
      <c r="G41" s="14"/>
      <c r="H41" s="14"/>
      <c r="I41" s="505"/>
      <c r="J41" s="547"/>
      <c r="K41" s="547"/>
      <c r="L41" s="14"/>
      <c r="M41" s="14"/>
    </row>
    <row r="42" spans="1:13" ht="15">
      <c r="A42" s="14"/>
      <c r="B42" s="505"/>
      <c r="C42" s="547"/>
      <c r="D42" s="547"/>
      <c r="E42" s="14"/>
      <c r="F42" s="14"/>
      <c r="G42" s="14"/>
      <c r="H42" s="14"/>
      <c r="I42" s="505"/>
      <c r="J42" s="547"/>
      <c r="K42" s="547"/>
      <c r="L42" s="14"/>
      <c r="M42" s="14"/>
    </row>
    <row r="43" spans="1:13" ht="15">
      <c r="A43" s="14"/>
      <c r="B43" s="505"/>
      <c r="C43" s="547"/>
      <c r="D43" s="547"/>
      <c r="E43" s="14"/>
      <c r="F43" s="14"/>
      <c r="G43" s="14"/>
      <c r="H43" s="14"/>
      <c r="I43" s="505"/>
      <c r="J43" s="547"/>
      <c r="K43" s="547"/>
      <c r="L43" s="14"/>
      <c r="M43" s="14"/>
    </row>
    <row r="44" spans="1:13" ht="15">
      <c r="A44" s="14"/>
      <c r="B44" s="505"/>
      <c r="C44" s="547"/>
      <c r="D44" s="547"/>
      <c r="E44" s="14"/>
      <c r="F44" s="14"/>
      <c r="G44" s="14"/>
      <c r="H44" s="14"/>
      <c r="I44" s="14"/>
      <c r="J44" s="547"/>
      <c r="K44" s="547"/>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row r="48" spans="1:13" ht="15">
      <c r="A48" s="14"/>
      <c r="B48" s="14"/>
      <c r="C48" s="14"/>
      <c r="D48" s="14"/>
      <c r="E48" s="14"/>
      <c r="F48" s="14"/>
      <c r="G48" s="14"/>
      <c r="H48" s="14"/>
      <c r="I48" s="14"/>
      <c r="J48" s="14"/>
      <c r="K48" s="14"/>
      <c r="L48" s="14"/>
      <c r="M48" s="14"/>
    </row>
    <row r="49" spans="1:13" ht="15">
      <c r="A49" s="14"/>
      <c r="B49" s="14"/>
      <c r="C49" s="14"/>
      <c r="D49" s="14"/>
      <c r="E49" s="14"/>
      <c r="F49" s="14"/>
      <c r="G49" s="14"/>
      <c r="H49" s="14"/>
      <c r="I49" s="14"/>
      <c r="J49" s="14"/>
      <c r="K49" s="14"/>
      <c r="L49" s="14"/>
      <c r="M49" s="14"/>
    </row>
    <row r="50" spans="2:11" ht="15">
      <c r="B50" s="14"/>
      <c r="C50" s="14"/>
      <c r="D50" s="14"/>
      <c r="E50" s="14"/>
      <c r="F50" s="14"/>
      <c r="G50" s="14"/>
      <c r="H50" s="14"/>
      <c r="J50" s="14"/>
      <c r="K50" s="14"/>
    </row>
    <row r="51" spans="6:8" ht="15">
      <c r="F51" s="14"/>
      <c r="G51" s="14"/>
      <c r="H51" s="14"/>
    </row>
  </sheetData>
  <sheetProtection/>
  <mergeCells count="2">
    <mergeCell ref="F10:H10"/>
    <mergeCell ref="J10:L10"/>
  </mergeCells>
  <printOptions/>
  <pageMargins left="0.7" right="0.7" top="0.75" bottom="0.75" header="0.3" footer="0.3"/>
  <pageSetup fitToHeight="1" fitToWidth="1" horizontalDpi="600" verticalDpi="600" orientation="landscape" scale="60" r:id="rId3"/>
  <headerFooter>
    <oddHeader>&amp;L&amp;F
Worksheet: &amp;A
&amp;D</oddHeader>
    <oddFooter>&amp;C&amp;P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D104"/>
  <sheetViews>
    <sheetView showGridLines="0" zoomScale="85" zoomScaleNormal="85" zoomScalePageLayoutView="70" workbookViewId="0" topLeftCell="A25">
      <selection activeCell="G70" sqref="G70"/>
    </sheetView>
  </sheetViews>
  <sheetFormatPr defaultColWidth="9.140625" defaultRowHeight="15"/>
  <cols>
    <col min="1" max="1" width="1.7109375" style="1" customWidth="1"/>
    <col min="2" max="2" width="0.9921875" style="1" customWidth="1"/>
    <col min="3" max="3" width="8.57421875" style="1" customWidth="1"/>
    <col min="4" max="4" width="0.9921875" style="1" customWidth="1"/>
    <col min="5" max="5" width="54.00390625" style="1" customWidth="1"/>
    <col min="6" max="6" width="13.421875" style="1" customWidth="1"/>
    <col min="7" max="7" width="19.140625" style="1" bestFit="1" customWidth="1"/>
    <col min="8" max="8" width="0.85546875" style="1" customWidth="1"/>
    <col min="9" max="9" width="7.421875" style="1" customWidth="1"/>
    <col min="10" max="11" width="1.8515625" style="1" customWidth="1"/>
    <col min="12" max="12" width="1.1484375" style="1" customWidth="1"/>
    <col min="13" max="13" width="8.57421875" style="1" customWidth="1"/>
    <col min="14" max="14" width="0.9921875" style="1" customWidth="1"/>
    <col min="15" max="15" width="58.00390625" style="1" customWidth="1"/>
    <col min="16" max="16" width="19.00390625" style="1" customWidth="1"/>
    <col min="17" max="17" width="24.28125" style="1" customWidth="1"/>
    <col min="18" max="18" width="0.85546875" style="1" customWidth="1"/>
    <col min="19" max="19" width="7.57421875" style="1" customWidth="1"/>
    <col min="20" max="20" width="11.140625" style="1" customWidth="1"/>
    <col min="21" max="26" width="19.140625" style="1" customWidth="1"/>
    <col min="27" max="27" width="0.85546875" style="1" customWidth="1"/>
    <col min="28" max="16384" width="9.140625" style="1" customWidth="1"/>
  </cols>
  <sheetData>
    <row r="1" ht="7.5" customHeight="1" thickBot="1">
      <c r="B1" s="80"/>
    </row>
    <row r="2" spans="2:28" s="148" customFormat="1" ht="30" customHeight="1" thickBot="1">
      <c r="B2" s="440"/>
      <c r="C2" s="673" t="s">
        <v>197</v>
      </c>
      <c r="D2" s="673"/>
      <c r="E2" s="673"/>
      <c r="F2" s="673"/>
      <c r="G2" s="673"/>
      <c r="H2" s="673"/>
      <c r="I2" s="673"/>
      <c r="J2" s="673"/>
      <c r="K2" s="673"/>
      <c r="L2" s="673"/>
      <c r="M2" s="673"/>
      <c r="N2" s="673"/>
      <c r="O2" s="673"/>
      <c r="P2" s="673"/>
      <c r="Q2" s="673"/>
      <c r="R2" s="673"/>
      <c r="S2" s="673"/>
      <c r="T2" s="673"/>
      <c r="U2" s="213"/>
      <c r="V2" s="214"/>
      <c r="W2" s="214"/>
      <c r="X2" s="214"/>
      <c r="Y2" s="214"/>
      <c r="Z2" s="214"/>
      <c r="AA2" s="214"/>
      <c r="AB2" s="215"/>
    </row>
    <row r="3" spans="2:28" ht="18.75" customHeight="1">
      <c r="B3" s="280"/>
      <c r="C3" s="158"/>
      <c r="D3" s="158"/>
      <c r="E3" s="158"/>
      <c r="F3" s="158"/>
      <c r="G3" s="158"/>
      <c r="H3" s="158"/>
      <c r="I3" s="158"/>
      <c r="J3" s="460"/>
      <c r="K3" s="458"/>
      <c r="L3" s="439"/>
      <c r="M3" s="16"/>
      <c r="N3" s="16"/>
      <c r="O3" s="16"/>
      <c r="P3" s="16"/>
      <c r="Q3" s="16"/>
      <c r="R3" s="16"/>
      <c r="S3" s="16"/>
      <c r="T3" s="16"/>
      <c r="U3" s="158"/>
      <c r="V3" s="159"/>
      <c r="W3" s="159"/>
      <c r="X3" s="159"/>
      <c r="Y3" s="159"/>
      <c r="Z3" s="159"/>
      <c r="AA3" s="159"/>
      <c r="AB3" s="187"/>
    </row>
    <row r="4" spans="2:28" ht="18.75" thickBot="1">
      <c r="B4" s="11"/>
      <c r="C4" s="279" t="s">
        <v>20</v>
      </c>
      <c r="D4" s="16"/>
      <c r="F4" s="17"/>
      <c r="H4" s="273"/>
      <c r="I4" s="303" t="s">
        <v>19</v>
      </c>
      <c r="J4" s="147"/>
      <c r="K4" s="459"/>
      <c r="L4" s="188"/>
      <c r="M4" s="279" t="s">
        <v>20</v>
      </c>
      <c r="N4" s="17"/>
      <c r="O4" s="672" t="s">
        <v>14</v>
      </c>
      <c r="P4" s="672"/>
      <c r="Q4" s="290"/>
      <c r="R4" s="196"/>
      <c r="S4" s="291" t="s">
        <v>19</v>
      </c>
      <c r="T4" s="274"/>
      <c r="U4" s="16"/>
      <c r="AB4" s="147"/>
    </row>
    <row r="5" spans="2:30" ht="30" customHeight="1" thickBot="1">
      <c r="B5" s="280"/>
      <c r="C5" s="283"/>
      <c r="D5" s="159"/>
      <c r="E5" s="82" t="s">
        <v>15</v>
      </c>
      <c r="F5" s="18"/>
      <c r="G5" s="78" t="s">
        <v>13</v>
      </c>
      <c r="H5" s="284"/>
      <c r="I5" s="304" t="s">
        <v>8</v>
      </c>
      <c r="J5" s="285"/>
      <c r="L5" s="280"/>
      <c r="M5" s="159"/>
      <c r="N5" s="159"/>
      <c r="O5" s="281" t="s">
        <v>13</v>
      </c>
      <c r="P5" s="281" t="s">
        <v>143</v>
      </c>
      <c r="Q5" s="159"/>
      <c r="R5" s="282"/>
      <c r="S5" s="159"/>
      <c r="T5" s="282"/>
      <c r="U5" s="282"/>
      <c r="V5" s="159"/>
      <c r="W5" s="159"/>
      <c r="X5" s="159"/>
      <c r="Y5" s="159"/>
      <c r="Z5" s="159"/>
      <c r="AA5" s="159"/>
      <c r="AB5" s="187"/>
      <c r="AD5" s="468"/>
    </row>
    <row r="6" spans="2:30" ht="18.75" thickBot="1">
      <c r="B6" s="11"/>
      <c r="E6" s="23"/>
      <c r="F6" s="18"/>
      <c r="G6" s="22"/>
      <c r="H6" s="83"/>
      <c r="I6" s="19"/>
      <c r="J6" s="286"/>
      <c r="K6" s="17"/>
      <c r="L6" s="11"/>
      <c r="AB6" s="147"/>
      <c r="AD6" s="468"/>
    </row>
    <row r="7" spans="2:30" ht="16.5" thickBot="1">
      <c r="B7" s="11"/>
      <c r="E7" s="2" t="s">
        <v>16</v>
      </c>
      <c r="F7" s="232" t="s">
        <v>236</v>
      </c>
      <c r="G7" s="294" t="s">
        <v>265</v>
      </c>
      <c r="H7" s="65"/>
      <c r="I7" s="19"/>
      <c r="J7" s="287"/>
      <c r="K7" s="17"/>
      <c r="L7" s="11"/>
      <c r="O7" s="2" t="s">
        <v>288</v>
      </c>
      <c r="P7" s="232" t="s">
        <v>236</v>
      </c>
      <c r="Q7" s="294" t="s">
        <v>265</v>
      </c>
      <c r="AB7" s="147"/>
      <c r="AD7" s="468"/>
    </row>
    <row r="8" spans="2:30" ht="15.75">
      <c r="B8" s="11"/>
      <c r="E8" s="312" t="s">
        <v>29</v>
      </c>
      <c r="F8" s="7" t="s">
        <v>369</v>
      </c>
      <c r="G8" s="314">
        <f>'Input Assumptions'!D3</f>
        <v>2666.6666666666665</v>
      </c>
      <c r="H8" s="161"/>
      <c r="I8" s="13" t="s">
        <v>8</v>
      </c>
      <c r="J8" s="288"/>
      <c r="K8" s="17"/>
      <c r="L8" s="11"/>
      <c r="M8" s="255"/>
      <c r="N8" s="1">
        <f>IF(OR(Q8&lt;=0,Q8&gt;G15),1,0)</f>
        <v>0</v>
      </c>
      <c r="O8" s="312" t="s">
        <v>296</v>
      </c>
      <c r="P8" s="313" t="s">
        <v>4</v>
      </c>
      <c r="Q8" s="348">
        <v>15</v>
      </c>
      <c r="R8" s="164"/>
      <c r="S8" s="13" t="s">
        <v>8</v>
      </c>
      <c r="T8" s="227"/>
      <c r="AB8" s="147"/>
      <c r="AD8" s="468"/>
    </row>
    <row r="9" spans="2:30" ht="15.75">
      <c r="B9" s="11"/>
      <c r="C9" s="253"/>
      <c r="E9" s="465" t="s">
        <v>392</v>
      </c>
      <c r="F9" s="454"/>
      <c r="G9" s="466" t="s">
        <v>291</v>
      </c>
      <c r="I9" s="13" t="s">
        <v>8</v>
      </c>
      <c r="J9" s="147"/>
      <c r="K9" s="17"/>
      <c r="L9" s="11"/>
      <c r="M9" s="203"/>
      <c r="O9" s="315" t="s">
        <v>167</v>
      </c>
      <c r="P9" s="7" t="s">
        <v>1</v>
      </c>
      <c r="Q9" s="316">
        <v>0.01</v>
      </c>
      <c r="R9" s="162"/>
      <c r="S9" s="13" t="s">
        <v>8</v>
      </c>
      <c r="T9" s="227"/>
      <c r="AB9" s="147"/>
      <c r="AD9" s="468"/>
    </row>
    <row r="10" spans="2:30" ht="16.5" thickBot="1">
      <c r="B10" s="11"/>
      <c r="C10" s="457"/>
      <c r="E10" s="465" t="s">
        <v>393</v>
      </c>
      <c r="F10" s="455"/>
      <c r="G10" s="466" t="s">
        <v>292</v>
      </c>
      <c r="I10" s="13" t="s">
        <v>8</v>
      </c>
      <c r="J10" s="147"/>
      <c r="K10" s="17"/>
      <c r="L10" s="11"/>
      <c r="M10" s="202"/>
      <c r="O10" s="379" t="s">
        <v>289</v>
      </c>
      <c r="P10" s="322" t="s">
        <v>1</v>
      </c>
      <c r="Q10" s="380">
        <v>0</v>
      </c>
      <c r="R10" s="162"/>
      <c r="S10" s="13" t="s">
        <v>8</v>
      </c>
      <c r="T10" s="227"/>
      <c r="U10" s="17"/>
      <c r="AB10" s="147"/>
      <c r="AD10" s="468"/>
    </row>
    <row r="11" spans="2:30" ht="16.5" thickBot="1">
      <c r="B11" s="11"/>
      <c r="C11" s="457"/>
      <c r="E11" s="315" t="s">
        <v>293</v>
      </c>
      <c r="F11" s="7" t="str">
        <f>IF($G$5="Photovoltaic","% dc","% ac")</f>
        <v>% dc</v>
      </c>
      <c r="G11" s="316">
        <v>0.14</v>
      </c>
      <c r="I11" s="13" t="s">
        <v>8</v>
      </c>
      <c r="J11" s="147"/>
      <c r="K11" s="17"/>
      <c r="L11" s="188"/>
      <c r="M11" s="17"/>
      <c r="N11" s="17"/>
      <c r="O11" s="17"/>
      <c r="P11" s="17"/>
      <c r="Q11" s="17"/>
      <c r="R11" s="17"/>
      <c r="S11" s="17"/>
      <c r="T11" s="17"/>
      <c r="U11" s="90"/>
      <c r="V11" s="90"/>
      <c r="W11" s="90"/>
      <c r="X11" s="90"/>
      <c r="Y11" s="90"/>
      <c r="Z11" s="90"/>
      <c r="AB11" s="147"/>
      <c r="AD11" s="468"/>
    </row>
    <row r="12" spans="2:30" ht="16.5" thickBot="1">
      <c r="B12" s="11"/>
      <c r="C12" s="254"/>
      <c r="D12" s="1">
        <f>IF(OR(G12&lt;=0,G12&gt;1),1,0)</f>
        <v>0</v>
      </c>
      <c r="E12" s="318" t="s">
        <v>216</v>
      </c>
      <c r="F12" s="7" t="s">
        <v>411</v>
      </c>
      <c r="G12" s="643">
        <f>'Input Assumptions'!D5</f>
        <v>0.14</v>
      </c>
      <c r="H12" s="162"/>
      <c r="I12" s="13" t="s">
        <v>8</v>
      </c>
      <c r="J12" s="288"/>
      <c r="K12" s="17"/>
      <c r="L12" s="188"/>
      <c r="O12" s="2" t="s">
        <v>290</v>
      </c>
      <c r="P12" s="3"/>
      <c r="Q12" s="4"/>
      <c r="R12" s="17"/>
      <c r="S12" s="13" t="s">
        <v>8</v>
      </c>
      <c r="T12" s="87"/>
      <c r="U12" s="88"/>
      <c r="V12" s="88"/>
      <c r="W12" s="88"/>
      <c r="X12" s="88"/>
      <c r="Y12" s="88"/>
      <c r="Z12" s="88"/>
      <c r="AB12" s="147"/>
      <c r="AD12" s="468"/>
    </row>
    <row r="13" spans="2:30" ht="15.75">
      <c r="B13" s="11"/>
      <c r="C13" s="175"/>
      <c r="E13" s="318" t="s">
        <v>224</v>
      </c>
      <c r="F13" s="8" t="s">
        <v>2</v>
      </c>
      <c r="G13" s="319">
        <f>G8*G12*8760</f>
        <v>3270400.0000000005</v>
      </c>
      <c r="H13" s="163"/>
      <c r="I13" s="13" t="s">
        <v>314</v>
      </c>
      <c r="J13" s="288"/>
      <c r="K13" s="17"/>
      <c r="L13" s="188"/>
      <c r="M13" s="253"/>
      <c r="O13" s="381" t="s">
        <v>207</v>
      </c>
      <c r="P13" s="382"/>
      <c r="Q13" s="383" t="s">
        <v>258</v>
      </c>
      <c r="S13" s="230" t="s">
        <v>8</v>
      </c>
      <c r="T13" s="231">
        <f>IF(Q8&lt;G15,1,0)</f>
        <v>1</v>
      </c>
      <c r="Y13" s="87"/>
      <c r="Z13" s="87"/>
      <c r="AB13" s="147"/>
      <c r="AD13" s="468"/>
    </row>
    <row r="14" spans="2:30" ht="15.75">
      <c r="B14" s="11"/>
      <c r="C14" s="253"/>
      <c r="D14" s="1">
        <f>IF(OR(G14&lt;0,G14&gt;1),1,0)</f>
        <v>0</v>
      </c>
      <c r="E14" s="320" t="s">
        <v>166</v>
      </c>
      <c r="F14" s="7" t="s">
        <v>1</v>
      </c>
      <c r="G14" s="316">
        <v>0.005</v>
      </c>
      <c r="H14" s="162"/>
      <c r="I14" s="13" t="s">
        <v>8</v>
      </c>
      <c r="J14" s="288"/>
      <c r="K14" s="17"/>
      <c r="L14" s="188"/>
      <c r="M14" s="253"/>
      <c r="N14" s="1">
        <f>IF(OR(Q14&lt;=0,Q14=""),1,0)</f>
        <v>0</v>
      </c>
      <c r="O14" s="384" t="s">
        <v>176</v>
      </c>
      <c r="P14" s="228" t="s">
        <v>50</v>
      </c>
      <c r="Q14" s="599">
        <f>AVERAGE('Net Metering Credit'!C10,'Net Metering Credit'!C15)*100*'Input Assumptions'!$D$12</f>
        <v>2.3558726403788617</v>
      </c>
      <c r="S14" s="230" t="s">
        <v>8</v>
      </c>
      <c r="T14" s="231">
        <f>IF(AND($Q$8&lt;$G$15,$Q$13="Year One"),1,0)</f>
        <v>1</v>
      </c>
      <c r="Y14" s="87"/>
      <c r="Z14" s="87"/>
      <c r="AB14" s="147"/>
      <c r="AD14" s="468"/>
    </row>
    <row r="15" spans="2:30" ht="16.5" thickBot="1">
      <c r="B15" s="11"/>
      <c r="C15" s="255"/>
      <c r="D15" s="1">
        <f>IF(OR(G15&lt;1,G15&gt;30),1,0)</f>
        <v>0</v>
      </c>
      <c r="E15" s="321" t="s">
        <v>175</v>
      </c>
      <c r="F15" s="322" t="s">
        <v>4</v>
      </c>
      <c r="G15" s="484">
        <v>25</v>
      </c>
      <c r="H15" s="164"/>
      <c r="I15" s="13" t="s">
        <v>8</v>
      </c>
      <c r="J15" s="288"/>
      <c r="K15" s="17"/>
      <c r="L15" s="188"/>
      <c r="M15" s="253"/>
      <c r="N15" s="1">
        <f>IF(OR(Q15&lt;=0,Q15=""),1,0)</f>
        <v>0</v>
      </c>
      <c r="O15" s="385" t="s">
        <v>177</v>
      </c>
      <c r="P15" s="229" t="s">
        <v>1</v>
      </c>
      <c r="Q15" s="386">
        <v>0.02</v>
      </c>
      <c r="S15" s="252" t="s">
        <v>8</v>
      </c>
      <c r="T15" s="231">
        <f>IF(AND($Q$8&lt;$G$15,$Q$13="Year One"),1,0)</f>
        <v>1</v>
      </c>
      <c r="Y15" s="87"/>
      <c r="Z15" s="87"/>
      <c r="AB15" s="147"/>
      <c r="AD15" s="468"/>
    </row>
    <row r="16" spans="2:30" ht="16.5" thickBot="1">
      <c r="B16" s="11"/>
      <c r="G16" s="19"/>
      <c r="H16" s="19"/>
      <c r="I16" s="15"/>
      <c r="J16" s="288"/>
      <c r="K16" s="17"/>
      <c r="L16" s="188"/>
      <c r="O16" s="387">
        <f>IF(OR($Q$13="Year One",$Q$8=$G$15),"","Click Here for Complex Input Worksheet")</f>
      </c>
      <c r="P16" s="388"/>
      <c r="Q16" s="389"/>
      <c r="S16" s="250" t="s">
        <v>8</v>
      </c>
      <c r="T16" s="231">
        <f>IF(AND($Q$8&lt;$G$15,$Q$13="Year-by-Year"),1,0)</f>
        <v>0</v>
      </c>
      <c r="U16" s="87"/>
      <c r="V16" s="87"/>
      <c r="W16" s="87"/>
      <c r="X16" s="87"/>
      <c r="Y16" s="87"/>
      <c r="Z16" s="87"/>
      <c r="AB16" s="147"/>
      <c r="AD16" s="468"/>
    </row>
    <row r="17" spans="2:30" ht="16.5" thickBot="1">
      <c r="B17" s="11"/>
      <c r="E17" s="9" t="s">
        <v>145</v>
      </c>
      <c r="F17" s="232" t="s">
        <v>236</v>
      </c>
      <c r="G17" s="294" t="s">
        <v>265</v>
      </c>
      <c r="H17" s="173"/>
      <c r="I17" s="15"/>
      <c r="J17" s="288"/>
      <c r="K17" s="17"/>
      <c r="L17" s="188"/>
      <c r="T17" s="89"/>
      <c r="U17" s="87"/>
      <c r="V17" s="87"/>
      <c r="W17" s="87"/>
      <c r="X17" s="87"/>
      <c r="Y17" s="87"/>
      <c r="Z17" s="87"/>
      <c r="AB17" s="147"/>
      <c r="AD17" s="468"/>
    </row>
    <row r="18" spans="2:30" ht="16.5" thickBot="1">
      <c r="B18" s="11"/>
      <c r="C18" s="204"/>
      <c r="E18" s="323" t="s">
        <v>9</v>
      </c>
      <c r="F18" s="324"/>
      <c r="G18" s="325" t="s">
        <v>311</v>
      </c>
      <c r="H18" s="171"/>
      <c r="I18" s="13" t="s">
        <v>8</v>
      </c>
      <c r="J18" s="288"/>
      <c r="K18" s="17"/>
      <c r="L18" s="188"/>
      <c r="O18" s="5" t="s">
        <v>26</v>
      </c>
      <c r="P18" s="232" t="s">
        <v>236</v>
      </c>
      <c r="Q18" s="294" t="s">
        <v>265</v>
      </c>
      <c r="R18" s="84"/>
      <c r="S18" s="15"/>
      <c r="T18" s="17"/>
      <c r="AA18" s="17"/>
      <c r="AB18" s="147"/>
      <c r="AD18" s="468"/>
    </row>
    <row r="19" spans="2:30" ht="15.75">
      <c r="B19" s="11"/>
      <c r="C19" s="205"/>
      <c r="E19" s="450" t="s">
        <v>123</v>
      </c>
      <c r="F19" s="451" t="str">
        <f>IF($G$5="Photovoltaic","$/Watt dc","$/Watt ac")</f>
        <v>$/Watt dc</v>
      </c>
      <c r="G19" s="452">
        <v>2.03</v>
      </c>
      <c r="H19" s="165"/>
      <c r="I19" s="250" t="s">
        <v>8</v>
      </c>
      <c r="J19" s="289"/>
      <c r="K19" s="17"/>
      <c r="L19" s="188"/>
      <c r="M19" s="258"/>
      <c r="O19" s="441" t="s">
        <v>304</v>
      </c>
      <c r="P19" s="442"/>
      <c r="Q19" s="443" t="s">
        <v>312</v>
      </c>
      <c r="R19" s="231">
        <f>IF(OR(Q19="Performance-Based",Q19="Neither"),1,IF(OR(Q19="Cost-Based",Q19="Neither"),2,0))</f>
        <v>2</v>
      </c>
      <c r="S19" s="13" t="s">
        <v>8</v>
      </c>
      <c r="T19" s="17"/>
      <c r="Z19" s="17"/>
      <c r="AA19" s="17"/>
      <c r="AB19" s="459"/>
      <c r="AD19" s="468"/>
    </row>
    <row r="20" spans="2:30" ht="15.75">
      <c r="B20" s="11"/>
      <c r="C20" s="206"/>
      <c r="E20" s="326" t="s">
        <v>146</v>
      </c>
      <c r="F20" s="228" t="s">
        <v>0</v>
      </c>
      <c r="G20" s="327">
        <f>('Input Assumptions'!G3*(1-('Input Assumptions'!$G$9*('Input Assumptions'!$G$11-'Input Assumptions'!$G$10))))</f>
        <v>2228656.1479162793</v>
      </c>
      <c r="H20" s="166"/>
      <c r="I20" s="250" t="s">
        <v>8</v>
      </c>
      <c r="J20" s="288"/>
      <c r="K20" s="17"/>
      <c r="L20" s="188"/>
      <c r="M20" s="258"/>
      <c r="O20" s="320" t="s">
        <v>249</v>
      </c>
      <c r="P20" s="7"/>
      <c r="Q20" s="467" t="s">
        <v>313</v>
      </c>
      <c r="R20" s="17"/>
      <c r="S20" s="13" t="s">
        <v>8</v>
      </c>
      <c r="T20" s="17"/>
      <c r="Z20" s="17"/>
      <c r="AA20" s="17"/>
      <c r="AB20" s="459"/>
      <c r="AD20" s="468"/>
    </row>
    <row r="21" spans="2:30" ht="15.75">
      <c r="B21" s="11"/>
      <c r="C21" s="260"/>
      <c r="E21" s="326" t="s">
        <v>147</v>
      </c>
      <c r="F21" s="228" t="s">
        <v>0</v>
      </c>
      <c r="G21" s="327">
        <f>('Input Assumptions'!G4*(1-('Input Assumptions'!$G$9*('Input Assumptions'!$G$11-'Input Assumptions'!$G$10))))</f>
        <v>1008911.0833662653</v>
      </c>
      <c r="H21" s="166"/>
      <c r="I21" s="250" t="s">
        <v>8</v>
      </c>
      <c r="J21" s="288"/>
      <c r="K21" s="17"/>
      <c r="L21" s="188"/>
      <c r="M21" s="258"/>
      <c r="N21" s="1">
        <f>IF(OR(Q21&lt;0,Q21&gt;1,Q21=""),1,0)</f>
        <v>0</v>
      </c>
      <c r="O21" s="317" t="s">
        <v>182</v>
      </c>
      <c r="P21" s="6" t="s">
        <v>1</v>
      </c>
      <c r="Q21" s="391">
        <v>0.3</v>
      </c>
      <c r="R21" s="17"/>
      <c r="S21" s="13" t="s">
        <v>8</v>
      </c>
      <c r="T21" s="17"/>
      <c r="Z21" s="17"/>
      <c r="AA21" s="17"/>
      <c r="AB21" s="479"/>
      <c r="AD21" s="468"/>
    </row>
    <row r="22" spans="2:30" ht="15.75">
      <c r="B22" s="11"/>
      <c r="C22" s="260"/>
      <c r="E22" s="328" t="s">
        <v>148</v>
      </c>
      <c r="F22" s="228" t="s">
        <v>0</v>
      </c>
      <c r="G22" s="327">
        <f>'Input Assumptions'!G5</f>
        <v>279044.61779311934</v>
      </c>
      <c r="H22" s="166"/>
      <c r="I22" s="250" t="s">
        <v>8</v>
      </c>
      <c r="J22" s="288"/>
      <c r="K22" s="17"/>
      <c r="L22" s="11"/>
      <c r="N22" s="475">
        <f>IF(OR(Q22&lt;0,Q22&gt;1,Q22=""),1,0)</f>
        <v>0</v>
      </c>
      <c r="O22" s="317" t="s">
        <v>18</v>
      </c>
      <c r="P22" s="6" t="s">
        <v>1</v>
      </c>
      <c r="Q22" s="391">
        <v>1</v>
      </c>
      <c r="R22" s="476">
        <f>IF(AND($Q$19="Cost-Based",$Q$20="ITC"),1,0)</f>
        <v>1</v>
      </c>
      <c r="AB22" s="147"/>
      <c r="AD22" s="468"/>
    </row>
    <row r="23" spans="2:30" ht="16.5" thickBot="1">
      <c r="B23" s="11"/>
      <c r="C23" s="260"/>
      <c r="E23" s="328" t="s">
        <v>149</v>
      </c>
      <c r="F23" s="228" t="s">
        <v>0</v>
      </c>
      <c r="G23" s="327">
        <f>('Input Assumptions'!G6*(1-('Input Assumptions'!$G$9*('Input Assumptions'!$G$11-'Input Assumptions'!$G$10))))</f>
        <v>973324.6211829972</v>
      </c>
      <c r="H23" s="166"/>
      <c r="I23" s="250" t="s">
        <v>8</v>
      </c>
      <c r="J23" s="288"/>
      <c r="K23" s="17"/>
      <c r="L23" s="188"/>
      <c r="O23" s="321" t="s">
        <v>121</v>
      </c>
      <c r="P23" s="368" t="s">
        <v>0</v>
      </c>
      <c r="Q23" s="392">
        <f>IF($G$73="Yes",IF($Q$20="ITC",IF($G$18="Complex",0,'Cash Flow'!$C$99)*'CREST Inputs'!$Q$21*'CREST Inputs'!$Q$22,IF($Q$20="Cash Grant",IF($G$18="Complex",0,'Cash Flow'!$C$99)*'CREST Inputs'!$Q$21,0)),0)</f>
        <v>0</v>
      </c>
      <c r="R23" s="85"/>
      <c r="S23" s="13" t="s">
        <v>8</v>
      </c>
      <c r="AB23" s="147"/>
      <c r="AD23" s="468"/>
    </row>
    <row r="24" spans="2:30" ht="15.75">
      <c r="B24" s="11"/>
      <c r="C24" s="207"/>
      <c r="E24" s="328" t="s">
        <v>85</v>
      </c>
      <c r="F24" s="228" t="s">
        <v>0</v>
      </c>
      <c r="G24" s="329">
        <f>($G$54*$G$51*SUM($G$20:$G$23)+$G$48+$G$64+$Q$63+$Q$66)</f>
        <v>236687.3943636028</v>
      </c>
      <c r="H24" s="167"/>
      <c r="I24" s="250" t="s">
        <v>8</v>
      </c>
      <c r="J24" s="288"/>
      <c r="K24" s="17"/>
      <c r="L24" s="188"/>
      <c r="M24" s="258"/>
      <c r="O24" s="344" t="s">
        <v>250</v>
      </c>
      <c r="P24" s="393"/>
      <c r="Q24" s="394" t="s">
        <v>248</v>
      </c>
      <c r="S24" s="13" t="s">
        <v>8</v>
      </c>
      <c r="AB24" s="147"/>
      <c r="AD24" s="468"/>
    </row>
    <row r="25" spans="2:30" ht="16.5" thickBot="1">
      <c r="B25" s="11"/>
      <c r="C25" s="207"/>
      <c r="E25" s="330" t="s">
        <v>252</v>
      </c>
      <c r="F25" s="331">
        <f>IF($G$18="Complex","$","")</f>
      </c>
      <c r="G25" s="332">
        <f>IF($G$18="Complex",0,"")</f>
      </c>
      <c r="H25" s="168"/>
      <c r="I25" s="250" t="s">
        <v>8</v>
      </c>
      <c r="J25" s="288"/>
      <c r="K25" s="17"/>
      <c r="L25" s="188"/>
      <c r="M25" s="253"/>
      <c r="O25" s="315" t="s">
        <v>124</v>
      </c>
      <c r="P25" s="93" t="s">
        <v>50</v>
      </c>
      <c r="Q25" s="395">
        <v>2.3</v>
      </c>
      <c r="R25" s="17"/>
      <c r="S25" s="13" t="s">
        <v>8</v>
      </c>
      <c r="AB25" s="147"/>
      <c r="AD25" s="468"/>
    </row>
    <row r="26" spans="2:30" ht="15.75">
      <c r="B26" s="11"/>
      <c r="C26" s="208"/>
      <c r="E26" s="333" t="s">
        <v>298</v>
      </c>
      <c r="F26" s="313" t="s">
        <v>0</v>
      </c>
      <c r="G26" s="334">
        <f>IF($G$18="Simple",($G$19*$G$8*1000),IF($G$18="Intermediate",SUM($G$20:$G$24),IF($G$18="Complex",$G$25,0)))</f>
        <v>4726623.864622263</v>
      </c>
      <c r="H26" s="168"/>
      <c r="I26" s="13" t="s">
        <v>8</v>
      </c>
      <c r="J26" s="288"/>
      <c r="K26" s="17"/>
      <c r="L26" s="11"/>
      <c r="N26" s="1">
        <f>IF(OR(Q26&lt;0,Q26&gt;1),1,0)</f>
        <v>0</v>
      </c>
      <c r="O26" s="315" t="s">
        <v>284</v>
      </c>
      <c r="P26" s="6" t="s">
        <v>1</v>
      </c>
      <c r="Q26" s="396">
        <v>1</v>
      </c>
      <c r="T26" s="17"/>
      <c r="AB26" s="147"/>
      <c r="AD26" s="468"/>
    </row>
    <row r="27" spans="2:30" ht="16.5" thickBot="1">
      <c r="B27" s="11"/>
      <c r="C27" s="208"/>
      <c r="E27" s="453" t="s">
        <v>298</v>
      </c>
      <c r="F27" s="336" t="str">
        <f>F19</f>
        <v>$/Watt dc</v>
      </c>
      <c r="G27" s="337">
        <f>G26/G8/1000</f>
        <v>1.7724839492333488</v>
      </c>
      <c r="H27" s="174"/>
      <c r="I27" s="13" t="s">
        <v>8</v>
      </c>
      <c r="J27" s="288"/>
      <c r="K27" s="17"/>
      <c r="L27" s="188"/>
      <c r="M27" s="253"/>
      <c r="N27" s="1">
        <f>IF(OR(Q27&lt;0,Q27&gt;G15),1,0)</f>
        <v>0</v>
      </c>
      <c r="O27" s="315" t="s">
        <v>34</v>
      </c>
      <c r="P27" s="21" t="s">
        <v>33</v>
      </c>
      <c r="Q27" s="478">
        <v>10</v>
      </c>
      <c r="R27" s="17"/>
      <c r="S27" s="13" t="s">
        <v>8</v>
      </c>
      <c r="AB27" s="147"/>
      <c r="AD27" s="468"/>
    </row>
    <row r="28" spans="2:30" ht="16.5" thickBot="1">
      <c r="B28" s="11"/>
      <c r="C28" s="209"/>
      <c r="E28" s="20"/>
      <c r="F28" s="12"/>
      <c r="G28" s="12"/>
      <c r="I28" s="19"/>
      <c r="J28" s="288"/>
      <c r="K28" s="17"/>
      <c r="L28" s="188"/>
      <c r="M28" s="253"/>
      <c r="O28" s="315" t="s">
        <v>129</v>
      </c>
      <c r="P28" s="6" t="s">
        <v>1</v>
      </c>
      <c r="Q28" s="396">
        <v>0.02</v>
      </c>
      <c r="R28" s="17"/>
      <c r="S28" s="13" t="s">
        <v>8</v>
      </c>
      <c r="T28" s="17"/>
      <c r="AB28" s="147"/>
      <c r="AD28" s="468"/>
    </row>
    <row r="29" spans="2:30" ht="16.5" thickBot="1">
      <c r="B29" s="11"/>
      <c r="E29" s="5" t="s">
        <v>10</v>
      </c>
      <c r="F29" s="232" t="s">
        <v>236</v>
      </c>
      <c r="G29" s="294" t="s">
        <v>265</v>
      </c>
      <c r="H29" s="175"/>
      <c r="I29" s="19"/>
      <c r="J29" s="288"/>
      <c r="K29" s="17"/>
      <c r="L29" s="188"/>
      <c r="M29" s="253"/>
      <c r="O29" s="397" t="s">
        <v>307</v>
      </c>
      <c r="P29" s="398" t="s">
        <v>0</v>
      </c>
      <c r="Q29" s="399">
        <v>0</v>
      </c>
      <c r="R29" s="85"/>
      <c r="S29" s="13" t="s">
        <v>8</v>
      </c>
      <c r="T29" s="17" t="s">
        <v>314</v>
      </c>
      <c r="AB29" s="147"/>
      <c r="AD29" s="468"/>
    </row>
    <row r="30" spans="2:30" ht="16.5" thickBot="1">
      <c r="B30" s="11"/>
      <c r="C30" s="204"/>
      <c r="E30" s="486" t="s">
        <v>9</v>
      </c>
      <c r="F30" s="376"/>
      <c r="G30" s="485" t="s">
        <v>311</v>
      </c>
      <c r="H30" s="171"/>
      <c r="I30" s="13" t="s">
        <v>8</v>
      </c>
      <c r="J30" s="288"/>
      <c r="K30" s="17"/>
      <c r="L30" s="188"/>
      <c r="M30" s="258"/>
      <c r="O30" s="321" t="s">
        <v>198</v>
      </c>
      <c r="P30" s="322"/>
      <c r="Q30" s="374" t="s">
        <v>12</v>
      </c>
      <c r="R30" s="24"/>
      <c r="S30" s="13" t="s">
        <v>8</v>
      </c>
      <c r="T30" s="17"/>
      <c r="AB30" s="147"/>
      <c r="AD30" s="468"/>
    </row>
    <row r="31" spans="2:30" ht="16.5" thickBot="1">
      <c r="B31" s="11"/>
      <c r="C31" s="210"/>
      <c r="E31" s="312" t="s">
        <v>174</v>
      </c>
      <c r="F31" s="338" t="str">
        <f>IF($G$5=$O$5,"$/kW-yr dc",IF($G$5=$P$5,"$/kW-yr ac","error"))</f>
        <v>$/kW-yr dc</v>
      </c>
      <c r="G31" s="598">
        <v>10</v>
      </c>
      <c r="H31" s="176"/>
      <c r="I31" s="13" t="s">
        <v>8</v>
      </c>
      <c r="J31" s="288"/>
      <c r="K31" s="17"/>
      <c r="L31" s="11"/>
      <c r="AB31" s="147"/>
      <c r="AD31" s="468"/>
    </row>
    <row r="32" spans="2:30" ht="16.5" thickBot="1">
      <c r="B32" s="11"/>
      <c r="C32" s="253"/>
      <c r="E32" s="317" t="s">
        <v>86</v>
      </c>
      <c r="F32" s="6" t="s">
        <v>87</v>
      </c>
      <c r="G32" s="339">
        <v>0</v>
      </c>
      <c r="H32" s="177"/>
      <c r="I32" s="13" t="s">
        <v>8</v>
      </c>
      <c r="J32" s="288"/>
      <c r="K32" s="17"/>
      <c r="L32" s="188"/>
      <c r="O32" s="5" t="s">
        <v>303</v>
      </c>
      <c r="P32" s="232" t="s">
        <v>236</v>
      </c>
      <c r="Q32" s="294" t="s">
        <v>265</v>
      </c>
      <c r="R32" s="17"/>
      <c r="AB32" s="147"/>
      <c r="AD32" s="468"/>
    </row>
    <row r="33" spans="2:30" ht="15.75">
      <c r="B33" s="11"/>
      <c r="C33" s="211"/>
      <c r="D33" s="17"/>
      <c r="E33" s="340" t="s">
        <v>173</v>
      </c>
      <c r="F33" s="7" t="s">
        <v>1</v>
      </c>
      <c r="G33" s="560">
        <v>0.02</v>
      </c>
      <c r="H33" s="176"/>
      <c r="I33" s="13" t="s">
        <v>8</v>
      </c>
      <c r="J33" s="289"/>
      <c r="K33" s="17"/>
      <c r="L33" s="188"/>
      <c r="M33" s="258"/>
      <c r="O33" s="441" t="s">
        <v>305</v>
      </c>
      <c r="P33" s="442"/>
      <c r="Q33" s="443" t="s">
        <v>318</v>
      </c>
      <c r="S33" s="13" t="s">
        <v>8</v>
      </c>
      <c r="AB33" s="147"/>
      <c r="AD33" s="468"/>
    </row>
    <row r="34" spans="2:30" ht="15.75">
      <c r="B34" s="11"/>
      <c r="C34" s="203"/>
      <c r="E34" s="315" t="s">
        <v>171</v>
      </c>
      <c r="F34" s="7" t="s">
        <v>28</v>
      </c>
      <c r="G34" s="487">
        <v>10</v>
      </c>
      <c r="H34" s="176"/>
      <c r="I34" s="13" t="s">
        <v>8</v>
      </c>
      <c r="J34" s="289"/>
      <c r="K34" s="17"/>
      <c r="L34" s="188"/>
      <c r="M34" s="253"/>
      <c r="N34" s="1">
        <f>IF(OR(Q34&lt;0,Q34&gt;1),1,0)</f>
        <v>0</v>
      </c>
      <c r="O34" s="320" t="s">
        <v>169</v>
      </c>
      <c r="P34" s="7" t="s">
        <v>1</v>
      </c>
      <c r="Q34" s="400">
        <v>0.3</v>
      </c>
      <c r="R34" s="461">
        <f>IF(OR($Q$33="Performance-Based",$Q$33="Neither"),1,0)</f>
        <v>1</v>
      </c>
      <c r="S34" s="13" t="s">
        <v>8</v>
      </c>
      <c r="T34" s="17"/>
      <c r="AB34" s="147"/>
      <c r="AD34" s="468"/>
    </row>
    <row r="35" spans="2:30" ht="16.5" thickBot="1">
      <c r="B35" s="11"/>
      <c r="C35" s="211"/>
      <c r="D35" s="17"/>
      <c r="E35" s="343" t="s">
        <v>172</v>
      </c>
      <c r="F35" s="322" t="s">
        <v>1</v>
      </c>
      <c r="G35" s="488">
        <v>0.02</v>
      </c>
      <c r="H35" s="176"/>
      <c r="I35" s="13" t="s">
        <v>8</v>
      </c>
      <c r="J35" s="288"/>
      <c r="K35" s="17"/>
      <c r="L35" s="11"/>
      <c r="N35" s="1">
        <f>IF(OR(Q35&lt;0,Q35&gt;1),1,0)</f>
        <v>0</v>
      </c>
      <c r="O35" s="320" t="s">
        <v>27</v>
      </c>
      <c r="P35" s="7" t="s">
        <v>1</v>
      </c>
      <c r="Q35" s="400">
        <v>1</v>
      </c>
      <c r="AB35" s="147"/>
      <c r="AD35" s="468"/>
    </row>
    <row r="36" spans="2:30" ht="15.75">
      <c r="B36" s="11"/>
      <c r="C36" s="253"/>
      <c r="E36" s="444" t="s">
        <v>55</v>
      </c>
      <c r="F36" s="6" t="s">
        <v>1</v>
      </c>
      <c r="G36" s="597">
        <f>0.2/100</f>
        <v>0.002</v>
      </c>
      <c r="H36" s="176"/>
      <c r="I36" s="250" t="s">
        <v>8</v>
      </c>
      <c r="J36" s="288"/>
      <c r="K36" s="17"/>
      <c r="L36" s="188"/>
      <c r="M36" s="253"/>
      <c r="N36" s="1">
        <f>IF(OR(Q36&lt;1,Q36&gt;G15),1,0)</f>
        <v>0</v>
      </c>
      <c r="O36" s="315" t="s">
        <v>32</v>
      </c>
      <c r="P36" s="21" t="s">
        <v>33</v>
      </c>
      <c r="Q36" s="478">
        <v>5</v>
      </c>
      <c r="R36" s="231"/>
      <c r="S36" s="13" t="s">
        <v>8</v>
      </c>
      <c r="AB36" s="147"/>
      <c r="AD36" s="468"/>
    </row>
    <row r="37" spans="2:30" ht="16.5" thickBot="1">
      <c r="B37" s="11"/>
      <c r="E37" s="315" t="s">
        <v>261</v>
      </c>
      <c r="F37" s="7" t="s">
        <v>0</v>
      </c>
      <c r="G37" s="345">
        <f>$G$36*IF($G$18="Simple",$G$26,IF($G$18="Intermediate",SUM($G$20:$G$23),SUM(0)))</f>
        <v>8979.872940517322</v>
      </c>
      <c r="H37" s="176"/>
      <c r="I37" s="250" t="s">
        <v>8</v>
      </c>
      <c r="J37" s="288"/>
      <c r="K37" s="17"/>
      <c r="L37" s="11"/>
      <c r="O37" s="321" t="s">
        <v>287</v>
      </c>
      <c r="P37" s="276" t="s">
        <v>0</v>
      </c>
      <c r="Q37" s="446">
        <f>IF(AND($G$73="Yes",$Q$33="Cost-Based"),SUM('Cash Flow'!$G$177:$AJ$177),0)</f>
        <v>0</v>
      </c>
      <c r="R37" s="231"/>
      <c r="S37" s="13" t="s">
        <v>8</v>
      </c>
      <c r="AB37" s="147"/>
      <c r="AD37" s="468"/>
    </row>
    <row r="38" spans="2:30" ht="15.75">
      <c r="B38" s="11"/>
      <c r="C38" s="253"/>
      <c r="E38" s="317" t="s">
        <v>168</v>
      </c>
      <c r="F38" s="6" t="s">
        <v>11</v>
      </c>
      <c r="G38" s="600">
        <f>5*G8</f>
        <v>13333.333333333332</v>
      </c>
      <c r="H38" s="176"/>
      <c r="I38" s="250" t="s">
        <v>8</v>
      </c>
      <c r="J38" s="289"/>
      <c r="K38" s="17"/>
      <c r="L38" s="188"/>
      <c r="M38" s="258"/>
      <c r="O38" s="444" t="s">
        <v>251</v>
      </c>
      <c r="P38" s="6"/>
      <c r="Q38" s="445" t="s">
        <v>309</v>
      </c>
      <c r="R38" s="461">
        <f>IF(OR($Q$33="Cost-Based",$Q$33="Neither"),1,0)</f>
        <v>1</v>
      </c>
      <c r="S38" s="13" t="s">
        <v>8</v>
      </c>
      <c r="AB38" s="147"/>
      <c r="AD38" s="468"/>
    </row>
    <row r="39" spans="2:30" ht="15.75">
      <c r="B39" s="11"/>
      <c r="C39" s="253"/>
      <c r="E39" s="315" t="s">
        <v>200</v>
      </c>
      <c r="F39" s="6" t="s">
        <v>11</v>
      </c>
      <c r="G39" s="561">
        <v>0</v>
      </c>
      <c r="H39" s="176"/>
      <c r="I39" s="250" t="s">
        <v>8</v>
      </c>
      <c r="J39" s="288"/>
      <c r="K39" s="17"/>
      <c r="L39" s="11"/>
      <c r="O39" s="315" t="s">
        <v>300</v>
      </c>
      <c r="P39" s="79" t="s">
        <v>0</v>
      </c>
      <c r="Q39" s="464">
        <v>250</v>
      </c>
      <c r="R39" s="144"/>
      <c r="S39" s="13" t="s">
        <v>8</v>
      </c>
      <c r="T39" s="17"/>
      <c r="U39" s="17"/>
      <c r="AB39" s="147"/>
      <c r="AD39" s="468"/>
    </row>
    <row r="40" spans="2:30" ht="15.75">
      <c r="B40" s="11"/>
      <c r="C40" s="253"/>
      <c r="E40" s="315" t="s">
        <v>199</v>
      </c>
      <c r="F40" s="6" t="s">
        <v>1</v>
      </c>
      <c r="G40" s="597">
        <v>-0.035</v>
      </c>
      <c r="H40" s="176"/>
      <c r="I40" s="250" t="s">
        <v>8</v>
      </c>
      <c r="J40" s="288"/>
      <c r="K40" s="17"/>
      <c r="L40" s="188"/>
      <c r="M40" s="258"/>
      <c r="O40" s="315" t="s">
        <v>310</v>
      </c>
      <c r="P40" s="10"/>
      <c r="Q40" s="401" t="s">
        <v>315</v>
      </c>
      <c r="R40" s="461">
        <f>IF(OR($Q$33="Cost-Based",$Q$33="Neither",$Q$38="Tax Credit"),1,0)</f>
        <v>1</v>
      </c>
      <c r="S40" s="13" t="s">
        <v>8</v>
      </c>
      <c r="U40" s="233"/>
      <c r="AB40" s="147"/>
      <c r="AD40" s="468"/>
    </row>
    <row r="41" spans="2:30" ht="15.75">
      <c r="B41" s="11"/>
      <c r="C41" s="253"/>
      <c r="E41" s="315" t="s">
        <v>268</v>
      </c>
      <c r="F41" s="6" t="s">
        <v>11</v>
      </c>
      <c r="G41" s="561">
        <v>0</v>
      </c>
      <c r="H41" s="176"/>
      <c r="I41" s="250" t="s">
        <v>8</v>
      </c>
      <c r="J41" s="147"/>
      <c r="K41" s="17"/>
      <c r="L41" s="188"/>
      <c r="M41" s="253"/>
      <c r="O41" s="315" t="s">
        <v>301</v>
      </c>
      <c r="P41" s="93" t="s">
        <v>50</v>
      </c>
      <c r="Q41" s="395">
        <v>1.5</v>
      </c>
      <c r="R41" s="144"/>
      <c r="S41" s="13" t="s">
        <v>8</v>
      </c>
      <c r="T41" s="231">
        <f>IF(OR($Q$33="Cost-Based",$Q$33="Neither",$Q$38="Tax Credit"),1,0)</f>
        <v>1</v>
      </c>
      <c r="AB41" s="147"/>
      <c r="AD41" s="468"/>
    </row>
    <row r="42" spans="2:30" ht="15.75">
      <c r="B42" s="11"/>
      <c r="C42" s="253"/>
      <c r="E42" s="317" t="s">
        <v>101</v>
      </c>
      <c r="F42" s="6" t="s">
        <v>1</v>
      </c>
      <c r="G42" s="597">
        <v>0</v>
      </c>
      <c r="H42" s="176"/>
      <c r="I42" s="250" t="s">
        <v>8</v>
      </c>
      <c r="J42" s="288"/>
      <c r="K42" s="17"/>
      <c r="L42" s="11"/>
      <c r="N42" s="477">
        <f>IF(OR(Q42&lt;0,Q42&gt;1),1,0)</f>
        <v>0</v>
      </c>
      <c r="O42" s="315" t="s">
        <v>144</v>
      </c>
      <c r="P42" s="7" t="s">
        <v>1</v>
      </c>
      <c r="Q42" s="396">
        <v>1</v>
      </c>
      <c r="T42" s="231"/>
      <c r="U42" s="24"/>
      <c r="AB42" s="147"/>
      <c r="AD42" s="468"/>
    </row>
    <row r="43" spans="2:30" ht="16.5" thickBot="1">
      <c r="B43" s="11"/>
      <c r="E43" s="321" t="s">
        <v>262</v>
      </c>
      <c r="F43" s="322" t="s">
        <v>0</v>
      </c>
      <c r="G43" s="346">
        <f>-'Cash Flow'!G34</f>
        <v>0</v>
      </c>
      <c r="H43" s="176"/>
      <c r="I43" s="250" t="s">
        <v>8</v>
      </c>
      <c r="J43" s="147"/>
      <c r="K43" s="17"/>
      <c r="L43" s="188"/>
      <c r="M43" s="253"/>
      <c r="N43" s="1">
        <f>IF(OR(Q43&lt;0,Q43&gt;G15),1,0)</f>
        <v>0</v>
      </c>
      <c r="O43" s="315" t="s">
        <v>308</v>
      </c>
      <c r="P43" s="21" t="s">
        <v>33</v>
      </c>
      <c r="Q43" s="478">
        <v>10</v>
      </c>
      <c r="R43" s="24"/>
      <c r="S43" s="13" t="s">
        <v>8</v>
      </c>
      <c r="U43" s="24"/>
      <c r="AB43" s="147"/>
      <c r="AD43" s="468"/>
    </row>
    <row r="44" spans="2:30" ht="16.5" thickBot="1">
      <c r="B44" s="11"/>
      <c r="C44" s="212"/>
      <c r="E44" s="12"/>
      <c r="F44" s="12"/>
      <c r="G44" s="12"/>
      <c r="I44" s="19"/>
      <c r="J44" s="288"/>
      <c r="K44" s="17"/>
      <c r="L44" s="188"/>
      <c r="M44" s="253"/>
      <c r="O44" s="315" t="s">
        <v>302</v>
      </c>
      <c r="P44" s="6" t="s">
        <v>1</v>
      </c>
      <c r="Q44" s="396">
        <v>0.02</v>
      </c>
      <c r="R44" s="17"/>
      <c r="S44" s="13" t="s">
        <v>8</v>
      </c>
      <c r="T44" s="231"/>
      <c r="U44" s="249"/>
      <c r="AB44" s="147"/>
      <c r="AD44" s="468"/>
    </row>
    <row r="45" spans="2:30" ht="16.5" thickBot="1">
      <c r="B45" s="11"/>
      <c r="C45" s="212"/>
      <c r="E45" s="5" t="s">
        <v>163</v>
      </c>
      <c r="F45" s="232" t="s">
        <v>236</v>
      </c>
      <c r="G45" s="294" t="s">
        <v>265</v>
      </c>
      <c r="H45" s="179"/>
      <c r="I45" s="19"/>
      <c r="J45" s="288"/>
      <c r="K45" s="17"/>
      <c r="L45" s="188"/>
      <c r="M45" s="253"/>
      <c r="N45" s="17"/>
      <c r="O45" s="462" t="s">
        <v>306</v>
      </c>
      <c r="P45" s="376" t="s">
        <v>30</v>
      </c>
      <c r="Q45" s="585">
        <v>0.25</v>
      </c>
      <c r="S45" s="13" t="s">
        <v>8</v>
      </c>
      <c r="U45" s="24"/>
      <c r="AB45" s="147"/>
      <c r="AD45" s="468"/>
    </row>
    <row r="46" spans="2:30" ht="15.75">
      <c r="B46" s="11"/>
      <c r="C46" s="256"/>
      <c r="E46" s="347" t="s">
        <v>5</v>
      </c>
      <c r="F46" s="313" t="s">
        <v>37</v>
      </c>
      <c r="G46" s="348">
        <v>6</v>
      </c>
      <c r="H46" s="179"/>
      <c r="I46" s="13" t="s">
        <v>8</v>
      </c>
      <c r="J46" s="288"/>
      <c r="K46" s="17"/>
      <c r="L46" s="11"/>
      <c r="O46" s="315" t="s">
        <v>297</v>
      </c>
      <c r="P46" s="21" t="s">
        <v>0</v>
      </c>
      <c r="Q46" s="463">
        <v>1000000</v>
      </c>
      <c r="S46" s="13" t="s">
        <v>8</v>
      </c>
      <c r="U46" s="24"/>
      <c r="AB46" s="147"/>
      <c r="AD46" s="468"/>
    </row>
    <row r="47" spans="2:30" ht="16.5" thickBot="1">
      <c r="B47" s="11"/>
      <c r="C47" s="256"/>
      <c r="E47" s="340" t="s">
        <v>36</v>
      </c>
      <c r="F47" s="7" t="s">
        <v>1</v>
      </c>
      <c r="G47" s="341">
        <v>0.05</v>
      </c>
      <c r="H47" s="179"/>
      <c r="I47" s="13" t="s">
        <v>8</v>
      </c>
      <c r="J47" s="288"/>
      <c r="K47" s="17"/>
      <c r="L47" s="188"/>
      <c r="M47" s="258"/>
      <c r="O47" s="321" t="s">
        <v>299</v>
      </c>
      <c r="P47" s="322"/>
      <c r="Q47" s="374" t="s">
        <v>12</v>
      </c>
      <c r="R47" s="24"/>
      <c r="S47" s="13" t="s">
        <v>8</v>
      </c>
      <c r="U47" s="17"/>
      <c r="AB47" s="147"/>
      <c r="AD47" s="468"/>
    </row>
    <row r="48" spans="2:30" ht="16.5" thickBot="1">
      <c r="B48" s="11"/>
      <c r="C48" s="212"/>
      <c r="E48" s="343" t="s">
        <v>38</v>
      </c>
      <c r="F48" s="336" t="s">
        <v>0</v>
      </c>
      <c r="G48" s="346">
        <f>IF($G$18="intermediate",SUM(G20:G23)*($G$47/12)*($G$46/2),IF($G$18="complex",0,0))</f>
        <v>56124.20587823325</v>
      </c>
      <c r="H48" s="179"/>
      <c r="I48" s="13" t="s">
        <v>8</v>
      </c>
      <c r="J48" s="288"/>
      <c r="K48" s="17"/>
      <c r="L48" s="11"/>
      <c r="U48" s="190"/>
      <c r="AB48" s="147"/>
      <c r="AD48" s="468"/>
    </row>
    <row r="49" spans="2:30" ht="16.5" thickBot="1">
      <c r="B49" s="11"/>
      <c r="G49" s="91"/>
      <c r="H49" s="91"/>
      <c r="I49" s="19"/>
      <c r="J49" s="288"/>
      <c r="K49" s="17"/>
      <c r="L49" s="188"/>
      <c r="M49" s="17"/>
      <c r="N49" s="17"/>
      <c r="O49" s="5" t="s">
        <v>225</v>
      </c>
      <c r="P49" s="26"/>
      <c r="Q49" s="294" t="s">
        <v>265</v>
      </c>
      <c r="R49" s="17"/>
      <c r="S49" s="17"/>
      <c r="T49" s="17"/>
      <c r="U49" s="17"/>
      <c r="AB49" s="147"/>
      <c r="AD49" s="468"/>
    </row>
    <row r="50" spans="2:30" ht="16.5" thickBot="1">
      <c r="B50" s="11"/>
      <c r="C50" s="212"/>
      <c r="E50" s="5" t="s">
        <v>35</v>
      </c>
      <c r="F50" s="232" t="s">
        <v>236</v>
      </c>
      <c r="G50" s="294" t="s">
        <v>265</v>
      </c>
      <c r="H50" s="179"/>
      <c r="I50" s="292"/>
      <c r="J50" s="288"/>
      <c r="K50" s="17"/>
      <c r="L50" s="188"/>
      <c r="M50" s="259"/>
      <c r="N50" s="17">
        <f>IF(OR(Q50&lt;1,Q50&gt;$G$15),1,0)</f>
        <v>0</v>
      </c>
      <c r="O50" s="347" t="s">
        <v>53</v>
      </c>
      <c r="P50" s="398" t="s">
        <v>28</v>
      </c>
      <c r="Q50" s="402">
        <v>10</v>
      </c>
      <c r="R50" s="17"/>
      <c r="S50" s="13" t="s">
        <v>8</v>
      </c>
      <c r="T50" s="17"/>
      <c r="U50" s="17"/>
      <c r="AB50" s="147"/>
      <c r="AD50" s="468"/>
    </row>
    <row r="51" spans="2:30" ht="16.5" thickBot="1">
      <c r="B51" s="11"/>
      <c r="C51" s="253"/>
      <c r="D51" s="1">
        <f>IF(OR(G51="",G51&lt;0,G51&gt;1),1,0)</f>
        <v>0</v>
      </c>
      <c r="E51" s="344" t="s">
        <v>201</v>
      </c>
      <c r="F51" s="313" t="s">
        <v>1</v>
      </c>
      <c r="G51" s="349">
        <v>0.45</v>
      </c>
      <c r="H51" s="180"/>
      <c r="I51" s="13" t="s">
        <v>8</v>
      </c>
      <c r="J51" s="289"/>
      <c r="K51" s="17"/>
      <c r="L51" s="188"/>
      <c r="M51" s="211"/>
      <c r="N51" s="17"/>
      <c r="O51" s="340" t="s">
        <v>208</v>
      </c>
      <c r="P51" s="21" t="str">
        <f>F19</f>
        <v>$/Watt dc</v>
      </c>
      <c r="Q51" s="584">
        <v>0.13</v>
      </c>
      <c r="R51" s="17"/>
      <c r="S51" s="13" t="s">
        <v>8</v>
      </c>
      <c r="T51" s="17"/>
      <c r="U51" s="17"/>
      <c r="AB51" s="147"/>
      <c r="AD51" s="468"/>
    </row>
    <row r="52" spans="2:30" ht="15.75">
      <c r="B52" s="11"/>
      <c r="C52" s="253"/>
      <c r="D52" s="1">
        <f>IF(OR(G52&lt;=0,G52&gt;G15),1,0)</f>
        <v>0</v>
      </c>
      <c r="E52" s="315" t="s">
        <v>295</v>
      </c>
      <c r="F52" s="6" t="s">
        <v>4</v>
      </c>
      <c r="G52" s="342">
        <v>15</v>
      </c>
      <c r="H52" s="164"/>
      <c r="I52" s="13" t="s">
        <v>8</v>
      </c>
      <c r="J52" s="289"/>
      <c r="K52" s="17"/>
      <c r="L52" s="188"/>
      <c r="M52" s="259"/>
      <c r="N52" s="17">
        <f>IF(OR(Q52&lt;=Q50,Q52&gt;$G$15),1,0)</f>
        <v>1</v>
      </c>
      <c r="O52" s="340" t="s">
        <v>54</v>
      </c>
      <c r="P52" s="21" t="s">
        <v>28</v>
      </c>
      <c r="Q52" s="402"/>
      <c r="R52" s="17"/>
      <c r="S52" s="13" t="s">
        <v>8</v>
      </c>
      <c r="T52" s="17"/>
      <c r="U52" s="17"/>
      <c r="AB52" s="147"/>
      <c r="AD52" s="468"/>
    </row>
    <row r="53" spans="2:30" ht="16.5" thickBot="1">
      <c r="B53" s="11"/>
      <c r="C53" s="256"/>
      <c r="D53" s="1">
        <f>IF(OR(G53&lt;0,G53=""),1,0)</f>
        <v>0</v>
      </c>
      <c r="E53" s="315" t="s">
        <v>170</v>
      </c>
      <c r="F53" s="7" t="s">
        <v>1</v>
      </c>
      <c r="G53" s="583">
        <v>0.06</v>
      </c>
      <c r="H53" s="181"/>
      <c r="I53" s="13" t="s">
        <v>8</v>
      </c>
      <c r="J53" s="289"/>
      <c r="K53" s="17"/>
      <c r="L53" s="188"/>
      <c r="M53" s="211"/>
      <c r="N53" s="17"/>
      <c r="O53" s="343" t="s">
        <v>209</v>
      </c>
      <c r="P53" s="276" t="str">
        <f>F19</f>
        <v>$/Watt dc</v>
      </c>
      <c r="Q53" s="403"/>
      <c r="R53" s="17"/>
      <c r="S53" s="13" t="s">
        <v>8</v>
      </c>
      <c r="T53" s="17"/>
      <c r="U53" s="17"/>
      <c r="AB53" s="147"/>
      <c r="AD53" s="468"/>
    </row>
    <row r="54" spans="2:30" ht="16.5" thickBot="1">
      <c r="B54" s="11"/>
      <c r="C54" s="253"/>
      <c r="D54" s="1">
        <f>IF(OR(G54&lt;0,G54=""),1,0)</f>
        <v>0</v>
      </c>
      <c r="E54" s="350" t="s">
        <v>49</v>
      </c>
      <c r="F54" s="322" t="s">
        <v>1</v>
      </c>
      <c r="G54" s="351">
        <v>0.03</v>
      </c>
      <c r="H54" s="162"/>
      <c r="I54" s="13" t="s">
        <v>8</v>
      </c>
      <c r="J54" s="288"/>
      <c r="K54" s="17"/>
      <c r="L54" s="188"/>
      <c r="M54" s="17"/>
      <c r="N54" s="17"/>
      <c r="R54" s="17"/>
      <c r="T54" s="17"/>
      <c r="U54" s="17"/>
      <c r="AB54" s="147"/>
      <c r="AD54" s="468"/>
    </row>
    <row r="55" spans="2:28" ht="16.5" thickBot="1">
      <c r="B55" s="11"/>
      <c r="C55" s="253"/>
      <c r="E55" s="352" t="s">
        <v>180</v>
      </c>
      <c r="F55" s="353"/>
      <c r="G55" s="354">
        <v>1.2</v>
      </c>
      <c r="H55" s="169"/>
      <c r="I55" s="13" t="s">
        <v>8</v>
      </c>
      <c r="J55" s="288"/>
      <c r="K55" s="17"/>
      <c r="L55" s="188"/>
      <c r="M55" s="17"/>
      <c r="N55" s="17"/>
      <c r="O55" s="5" t="s">
        <v>46</v>
      </c>
      <c r="P55" s="232" t="s">
        <v>236</v>
      </c>
      <c r="Q55" s="294" t="s">
        <v>265</v>
      </c>
      <c r="R55" s="17"/>
      <c r="S55" s="17"/>
      <c r="T55" s="17"/>
      <c r="U55" s="17"/>
      <c r="AB55" s="147"/>
    </row>
    <row r="56" spans="2:28" ht="15.75">
      <c r="B56" s="11"/>
      <c r="E56" s="355" t="s">
        <v>181</v>
      </c>
      <c r="F56" s="149">
        <f>MAX('Cash Flow'!G42:AJ42)</f>
        <v>9</v>
      </c>
      <c r="G56" s="356">
        <f>ROUND('Cash Flow'!$F$41,2)</f>
        <v>2.8</v>
      </c>
      <c r="H56" s="170"/>
      <c r="I56" s="13" t="s">
        <v>8</v>
      </c>
      <c r="J56" s="288"/>
      <c r="K56" s="17"/>
      <c r="L56" s="188"/>
      <c r="M56" s="17"/>
      <c r="N56" s="17"/>
      <c r="O56" s="404" t="s">
        <v>45</v>
      </c>
      <c r="P56" s="405"/>
      <c r="Q56" s="406"/>
      <c r="R56" s="17"/>
      <c r="S56" s="17"/>
      <c r="T56" s="17"/>
      <c r="AB56" s="147"/>
    </row>
    <row r="57" spans="2:28" ht="15.75">
      <c r="B57" s="11"/>
      <c r="C57" s="253"/>
      <c r="E57" s="355" t="s">
        <v>263</v>
      </c>
      <c r="F57" s="10" t="s">
        <v>161</v>
      </c>
      <c r="G57" s="357" t="str">
        <f>IF($G$56&gt;=$G$55,"Pass","Fail")</f>
        <v>Pass</v>
      </c>
      <c r="H57" s="293"/>
      <c r="I57" s="13" t="s">
        <v>8</v>
      </c>
      <c r="J57" s="289"/>
      <c r="K57" s="17"/>
      <c r="L57" s="188"/>
      <c r="M57" s="258"/>
      <c r="N57" s="17"/>
      <c r="O57" s="407" t="s">
        <v>47</v>
      </c>
      <c r="P57" s="295"/>
      <c r="Q57" s="401" t="s">
        <v>257</v>
      </c>
      <c r="R57" s="17"/>
      <c r="S57" s="13" t="s">
        <v>8</v>
      </c>
      <c r="T57" s="17"/>
      <c r="U57" s="17"/>
      <c r="AB57" s="147"/>
    </row>
    <row r="58" spans="2:28" ht="16.5" thickBot="1">
      <c r="B58" s="11"/>
      <c r="C58" s="253"/>
      <c r="E58" s="355" t="s">
        <v>206</v>
      </c>
      <c r="F58" s="10"/>
      <c r="G58" s="358">
        <v>1.45</v>
      </c>
      <c r="H58" s="169"/>
      <c r="I58" s="13" t="s">
        <v>8</v>
      </c>
      <c r="J58" s="288"/>
      <c r="K58" s="17"/>
      <c r="L58" s="188"/>
      <c r="M58" s="259"/>
      <c r="N58" s="17"/>
      <c r="O58" s="343" t="s">
        <v>48</v>
      </c>
      <c r="P58" s="276" t="s">
        <v>0</v>
      </c>
      <c r="Q58" s="364">
        <v>0</v>
      </c>
      <c r="R58" s="17"/>
      <c r="S58" s="13" t="s">
        <v>8</v>
      </c>
      <c r="T58" s="17"/>
      <c r="U58" s="266"/>
      <c r="AB58" s="147"/>
    </row>
    <row r="59" spans="2:28" ht="16.5" thickBot="1">
      <c r="B59" s="11"/>
      <c r="E59" s="355" t="s">
        <v>205</v>
      </c>
      <c r="F59" s="149"/>
      <c r="G59" s="356">
        <f>ROUND('Cash Flow'!$E$41,2)</f>
        <v>2.88</v>
      </c>
      <c r="H59" s="170"/>
      <c r="I59" s="13" t="s">
        <v>8</v>
      </c>
      <c r="J59" s="288"/>
      <c r="K59" s="17"/>
      <c r="L59" s="188"/>
      <c r="U59" s="266"/>
      <c r="AB59" s="147"/>
    </row>
    <row r="60" spans="2:28" ht="16.5" thickBot="1">
      <c r="B60" s="11"/>
      <c r="C60" s="253"/>
      <c r="E60" s="335" t="s">
        <v>264</v>
      </c>
      <c r="F60" s="336" t="s">
        <v>161</v>
      </c>
      <c r="G60" s="359" t="str">
        <f>IF($G$59&gt;=$G$58,"Pass","Fail")</f>
        <v>Pass</v>
      </c>
      <c r="H60" s="293"/>
      <c r="I60" s="13" t="s">
        <v>8</v>
      </c>
      <c r="J60" s="288"/>
      <c r="K60" s="17"/>
      <c r="L60" s="188"/>
      <c r="M60" s="17"/>
      <c r="N60" s="17"/>
      <c r="O60" s="5" t="s">
        <v>39</v>
      </c>
      <c r="P60" s="232" t="s">
        <v>236</v>
      </c>
      <c r="Q60" s="294" t="s">
        <v>265</v>
      </c>
      <c r="R60" s="17"/>
      <c r="S60" s="17"/>
      <c r="T60" s="17"/>
      <c r="U60" s="262"/>
      <c r="AB60" s="147"/>
    </row>
    <row r="61" spans="2:28" ht="15.75">
      <c r="B61" s="11"/>
      <c r="E61" s="333" t="s">
        <v>267</v>
      </c>
      <c r="F61" s="313" t="s">
        <v>1</v>
      </c>
      <c r="G61" s="360">
        <f>1-G51</f>
        <v>0.55</v>
      </c>
      <c r="H61" s="182"/>
      <c r="I61" s="13" t="s">
        <v>8</v>
      </c>
      <c r="J61" s="288"/>
      <c r="K61" s="17"/>
      <c r="L61" s="188"/>
      <c r="M61" s="17"/>
      <c r="N61" s="17"/>
      <c r="O61" s="408" t="s">
        <v>40</v>
      </c>
      <c r="P61" s="409"/>
      <c r="Q61" s="410"/>
      <c r="R61" s="17"/>
      <c r="S61" s="17"/>
      <c r="T61" s="17"/>
      <c r="U61" s="17"/>
      <c r="AB61" s="147"/>
    </row>
    <row r="62" spans="2:28" ht="16.5" thickBot="1">
      <c r="B62" s="11"/>
      <c r="C62" s="253"/>
      <c r="D62" s="1">
        <f>IF(OR(G62&lt;0,G62=""),1,0)</f>
        <v>0</v>
      </c>
      <c r="E62" s="361" t="s">
        <v>217</v>
      </c>
      <c r="F62" s="322" t="s">
        <v>1</v>
      </c>
      <c r="G62" s="362">
        <v>0.12</v>
      </c>
      <c r="H62" s="181"/>
      <c r="I62" s="13" t="s">
        <v>8</v>
      </c>
      <c r="J62" s="288"/>
      <c r="K62" s="17"/>
      <c r="L62" s="188"/>
      <c r="M62" s="259"/>
      <c r="N62" s="17"/>
      <c r="O62" s="315" t="s">
        <v>44</v>
      </c>
      <c r="P62" s="7" t="s">
        <v>37</v>
      </c>
      <c r="Q62" s="342">
        <v>6</v>
      </c>
      <c r="R62" s="17"/>
      <c r="S62" s="13" t="s">
        <v>8</v>
      </c>
      <c r="T62" s="17"/>
      <c r="U62" s="17"/>
      <c r="AB62" s="147"/>
    </row>
    <row r="63" spans="2:28" ht="16.5" thickBot="1">
      <c r="B63" s="11"/>
      <c r="E63" s="344" t="s">
        <v>255</v>
      </c>
      <c r="F63" s="313" t="s">
        <v>1</v>
      </c>
      <c r="G63" s="363">
        <f>(G62*F68)+(F67*G53*(1-G78))</f>
        <v>0.08123484966332795</v>
      </c>
      <c r="I63" s="13" t="s">
        <v>8</v>
      </c>
      <c r="J63" s="147"/>
      <c r="K63" s="17"/>
      <c r="L63" s="188"/>
      <c r="M63" s="17"/>
      <c r="N63" s="17"/>
      <c r="O63" s="321" t="s">
        <v>43</v>
      </c>
      <c r="P63" s="322" t="s">
        <v>0</v>
      </c>
      <c r="Q63" s="411">
        <f>-'Cash Flow'!$G$85/12*$Q$62</f>
        <v>88572.24592306139</v>
      </c>
      <c r="R63" s="17"/>
      <c r="S63" s="13" t="s">
        <v>8</v>
      </c>
      <c r="T63" s="17"/>
      <c r="U63" s="17"/>
      <c r="AB63" s="147"/>
    </row>
    <row r="64" spans="2:28" ht="16.5" thickBot="1">
      <c r="B64" s="11"/>
      <c r="C64" s="253"/>
      <c r="E64" s="350" t="s">
        <v>150</v>
      </c>
      <c r="F64" s="322" t="s">
        <v>0</v>
      </c>
      <c r="G64" s="364">
        <v>0</v>
      </c>
      <c r="H64" s="178"/>
      <c r="I64" s="13" t="s">
        <v>8</v>
      </c>
      <c r="J64" s="147"/>
      <c r="K64" s="17"/>
      <c r="L64" s="188"/>
      <c r="M64" s="17"/>
      <c r="N64" s="17"/>
      <c r="O64" s="408" t="s">
        <v>52</v>
      </c>
      <c r="P64" s="409"/>
      <c r="Q64" s="412"/>
      <c r="R64" s="17"/>
      <c r="S64" s="17"/>
      <c r="T64" s="17"/>
      <c r="U64" s="17"/>
      <c r="AB64" s="147"/>
    </row>
    <row r="65" spans="2:28" ht="16.5" thickBot="1">
      <c r="B65" s="11"/>
      <c r="J65" s="147"/>
      <c r="K65" s="17"/>
      <c r="L65" s="188"/>
      <c r="M65" s="259"/>
      <c r="N65" s="17"/>
      <c r="O65" s="340" t="s">
        <v>41</v>
      </c>
      <c r="P65" s="7" t="s">
        <v>37</v>
      </c>
      <c r="Q65" s="342">
        <v>6</v>
      </c>
      <c r="R65" s="17"/>
      <c r="S65" s="13" t="s">
        <v>8</v>
      </c>
      <c r="T65" s="17"/>
      <c r="AB65" s="147"/>
    </row>
    <row r="66" spans="2:28" ht="16.5" thickBot="1">
      <c r="B66" s="188"/>
      <c r="E66" s="200" t="s">
        <v>204</v>
      </c>
      <c r="F66" s="26"/>
      <c r="G66" s="201"/>
      <c r="J66" s="147"/>
      <c r="L66" s="188"/>
      <c r="M66" s="17"/>
      <c r="N66" s="17"/>
      <c r="O66" s="343" t="s">
        <v>42</v>
      </c>
      <c r="P66" s="322" t="s">
        <v>0</v>
      </c>
      <c r="Q66" s="411">
        <f>-(AVERAGE('Cash Flow'!G36:AJ36)/12*$Q$65)</f>
        <v>31376.800213816212</v>
      </c>
      <c r="R66" s="17"/>
      <c r="S66" s="13" t="s">
        <v>8</v>
      </c>
      <c r="T66" s="17"/>
      <c r="U66" s="17"/>
      <c r="AB66" s="147"/>
    </row>
    <row r="67" spans="2:28" ht="16.5" thickBot="1">
      <c r="B67" s="188"/>
      <c r="E67" s="344" t="s">
        <v>202</v>
      </c>
      <c r="F67" s="448">
        <f>G67/$G$70</f>
        <v>0.36399583738696584</v>
      </c>
      <c r="G67" s="365">
        <f>'Cash Flow'!F82</f>
        <v>1720471.4116163973</v>
      </c>
      <c r="I67" s="13" t="s">
        <v>8</v>
      </c>
      <c r="J67" s="147"/>
      <c r="K67" s="17"/>
      <c r="L67" s="188"/>
      <c r="M67" s="259"/>
      <c r="N67" s="17"/>
      <c r="O67" s="414" t="s">
        <v>133</v>
      </c>
      <c r="P67" s="324" t="s">
        <v>1</v>
      </c>
      <c r="Q67" s="413">
        <v>0.02</v>
      </c>
      <c r="R67" s="17"/>
      <c r="S67" s="13" t="s">
        <v>8</v>
      </c>
      <c r="T67" s="17"/>
      <c r="AB67" s="147"/>
    </row>
    <row r="68" spans="2:28" ht="16.5" thickBot="1">
      <c r="B68" s="188"/>
      <c r="E68" s="315" t="s">
        <v>203</v>
      </c>
      <c r="F68" s="447">
        <f>G68/$G$70</f>
        <v>0.49495916183425004</v>
      </c>
      <c r="G68" s="345">
        <f>-'Cash Flow'!$F$52</f>
        <v>2339485.786339199</v>
      </c>
      <c r="I68" s="13" t="s">
        <v>8</v>
      </c>
      <c r="J68" s="147"/>
      <c r="L68" s="11"/>
      <c r="AB68" s="147"/>
    </row>
    <row r="69" spans="2:28" ht="16.5" thickBot="1">
      <c r="B69" s="11"/>
      <c r="E69" s="366" t="s">
        <v>260</v>
      </c>
      <c r="F69" s="449">
        <f>G69/$G$70</f>
        <v>0.1410450007787841</v>
      </c>
      <c r="G69" s="602">
        <f>(Q45*1000*G8)</f>
        <v>666666.6666666666</v>
      </c>
      <c r="I69" s="13" t="s">
        <v>8</v>
      </c>
      <c r="J69" s="147"/>
      <c r="L69" s="11"/>
      <c r="O69" s="301" t="s">
        <v>84</v>
      </c>
      <c r="P69" s="433" t="s">
        <v>266</v>
      </c>
      <c r="Q69" s="433"/>
      <c r="R69" s="433"/>
      <c r="S69" s="433"/>
      <c r="T69" s="433"/>
      <c r="U69" s="433"/>
      <c r="V69" s="433"/>
      <c r="W69" s="433"/>
      <c r="X69" s="433"/>
      <c r="Y69" s="433"/>
      <c r="Z69" s="201"/>
      <c r="AB69" s="147"/>
    </row>
    <row r="70" spans="2:28" ht="17.25" thickBot="1" thickTop="1">
      <c r="B70" s="188"/>
      <c r="E70" s="367" t="s">
        <v>123</v>
      </c>
      <c r="F70" s="368" t="s">
        <v>0</v>
      </c>
      <c r="G70" s="369">
        <f>SUM(G67:G69)</f>
        <v>4726623.864622263</v>
      </c>
      <c r="I70" s="13" t="s">
        <v>8</v>
      </c>
      <c r="J70" s="147"/>
      <c r="L70" s="11"/>
      <c r="M70" s="257"/>
      <c r="N70" s="17"/>
      <c r="O70" s="397" t="s">
        <v>269</v>
      </c>
      <c r="P70" s="390" t="s">
        <v>12</v>
      </c>
      <c r="S70" s="300" t="s">
        <v>8</v>
      </c>
      <c r="Z70" s="147"/>
      <c r="AB70" s="147"/>
    </row>
    <row r="71" spans="2:28" ht="16.5" thickBot="1">
      <c r="B71" s="11"/>
      <c r="J71" s="147"/>
      <c r="L71" s="11"/>
      <c r="M71" s="259"/>
      <c r="O71" s="321" t="s">
        <v>270</v>
      </c>
      <c r="P71" s="601">
        <v>1</v>
      </c>
      <c r="S71" s="13" t="s">
        <v>8</v>
      </c>
      <c r="Z71" s="195"/>
      <c r="AB71" s="147"/>
    </row>
    <row r="72" spans="2:28" ht="16.5" thickBot="1">
      <c r="B72" s="11"/>
      <c r="E72" s="5" t="s">
        <v>142</v>
      </c>
      <c r="F72" s="232" t="s">
        <v>236</v>
      </c>
      <c r="G72" s="294" t="s">
        <v>265</v>
      </c>
      <c r="H72" s="183"/>
      <c r="I72" s="19"/>
      <c r="J72" s="147"/>
      <c r="L72" s="11"/>
      <c r="M72" s="17"/>
      <c r="N72" s="17"/>
      <c r="O72" s="415" t="s">
        <v>280</v>
      </c>
      <c r="P72" s="416" t="s">
        <v>21</v>
      </c>
      <c r="Q72" s="472" t="s">
        <v>116</v>
      </c>
      <c r="R72" s="674" t="s">
        <v>22</v>
      </c>
      <c r="S72" s="675"/>
      <c r="T72" s="676"/>
      <c r="U72" s="416" t="s">
        <v>117</v>
      </c>
      <c r="V72" s="416" t="s">
        <v>118</v>
      </c>
      <c r="W72" s="416" t="s">
        <v>23</v>
      </c>
      <c r="X72" s="416" t="s">
        <v>24</v>
      </c>
      <c r="Y72" s="416" t="s">
        <v>119</v>
      </c>
      <c r="Z72" s="417" t="s">
        <v>25</v>
      </c>
      <c r="AB72" s="147"/>
    </row>
    <row r="73" spans="2:28" ht="16.5" thickBot="1">
      <c r="B73" s="11"/>
      <c r="C73" s="257"/>
      <c r="E73" s="323" t="s">
        <v>17</v>
      </c>
      <c r="F73" s="370"/>
      <c r="G73" s="371" t="s">
        <v>315</v>
      </c>
      <c r="H73" s="172"/>
      <c r="I73" s="13" t="s">
        <v>8</v>
      </c>
      <c r="J73" s="147"/>
      <c r="L73" s="11">
        <f>IF(AND($G$73="Yes",$G$18="Simple"),1,0)</f>
        <v>0</v>
      </c>
      <c r="M73" s="17"/>
      <c r="N73" s="144">
        <f>IF(AND($G$18="Simple",SUM(P73:Z73)=1),1,IF(AND($G$18="Simple",SUM(P73:Z73)&lt;&gt;1),2,0))</f>
        <v>0</v>
      </c>
      <c r="O73" s="418" t="str">
        <f aca="true" t="shared" si="0" ref="O73:O78">E19</f>
        <v>Total Installed Cost</v>
      </c>
      <c r="P73" s="419">
        <v>0.94</v>
      </c>
      <c r="Q73" s="473">
        <v>0</v>
      </c>
      <c r="R73" s="677">
        <v>0.015</v>
      </c>
      <c r="S73" s="678"/>
      <c r="T73" s="679"/>
      <c r="U73" s="419">
        <v>0.01</v>
      </c>
      <c r="V73" s="419">
        <v>0</v>
      </c>
      <c r="W73" s="419">
        <v>0</v>
      </c>
      <c r="X73" s="419">
        <v>0.01</v>
      </c>
      <c r="Y73" s="419">
        <v>0</v>
      </c>
      <c r="Z73" s="420">
        <v>0.025</v>
      </c>
      <c r="AB73" s="184" t="s">
        <v>8</v>
      </c>
    </row>
    <row r="74" spans="2:28" ht="15.75">
      <c r="B74" s="11"/>
      <c r="C74" s="253"/>
      <c r="D74" s="1">
        <f>IF(OR(G74&lt;0,G74=""),1,0)</f>
        <v>0</v>
      </c>
      <c r="E74" s="312" t="s">
        <v>6</v>
      </c>
      <c r="F74" s="313" t="s">
        <v>1</v>
      </c>
      <c r="G74" s="596">
        <v>0.21</v>
      </c>
      <c r="H74" s="162"/>
      <c r="I74" s="13" t="s">
        <v>8</v>
      </c>
      <c r="J74" s="288"/>
      <c r="L74" s="11">
        <f>IF(AND($G$73="Yes",$G$18="Intermediate"),1,0)</f>
        <v>0</v>
      </c>
      <c r="M74" s="17"/>
      <c r="N74" s="144">
        <f>IF(AND($G$18="Intermediate",SUM(P74:Z74)=1),1,IF(AND($G$18="Intermediate",SUM(P74:Z74)&lt;&gt;1),2,0))</f>
        <v>1</v>
      </c>
      <c r="O74" s="421" t="str">
        <f t="shared" si="0"/>
        <v>Generation Equipment</v>
      </c>
      <c r="P74" s="422">
        <v>0.96</v>
      </c>
      <c r="Q74" s="474">
        <v>0</v>
      </c>
      <c r="R74" s="680">
        <v>0.02</v>
      </c>
      <c r="S74" s="681"/>
      <c r="T74" s="682"/>
      <c r="U74" s="422">
        <v>0</v>
      </c>
      <c r="V74" s="422">
        <v>0</v>
      </c>
      <c r="W74" s="422">
        <v>0</v>
      </c>
      <c r="X74" s="422">
        <v>0.02</v>
      </c>
      <c r="Y74" s="422">
        <v>0</v>
      </c>
      <c r="Z74" s="423">
        <v>0</v>
      </c>
      <c r="AB74" s="184" t="s">
        <v>8</v>
      </c>
    </row>
    <row r="75" spans="2:28" ht="16.5" thickBot="1">
      <c r="B75" s="11"/>
      <c r="C75" s="257"/>
      <c r="E75" s="372" t="s">
        <v>231</v>
      </c>
      <c r="F75" s="373"/>
      <c r="G75" s="374" t="s">
        <v>259</v>
      </c>
      <c r="H75" s="172"/>
      <c r="I75" s="13" t="s">
        <v>8</v>
      </c>
      <c r="J75" s="147"/>
      <c r="L75" s="11">
        <f>IF(AND($G$73="Yes",$G$18="Intermediate"),1,0)</f>
        <v>0</v>
      </c>
      <c r="M75" s="17"/>
      <c r="N75" s="144">
        <f>IF(AND($G$18="Intermediate",SUM(P75:Z75)=1),1,IF(AND($G$18="Intermediate",SUM(P75:Z75)&lt;&gt;1),2,0))</f>
        <v>1</v>
      </c>
      <c r="O75" s="424" t="str">
        <f t="shared" si="0"/>
        <v>Balance of Plant</v>
      </c>
      <c r="P75" s="251">
        <v>0.5</v>
      </c>
      <c r="Q75" s="470">
        <v>0</v>
      </c>
      <c r="R75" s="663">
        <v>0</v>
      </c>
      <c r="S75" s="664"/>
      <c r="T75" s="665"/>
      <c r="U75" s="251">
        <v>0</v>
      </c>
      <c r="V75" s="251">
        <v>0</v>
      </c>
      <c r="W75" s="251">
        <v>0.5</v>
      </c>
      <c r="X75" s="251">
        <v>0</v>
      </c>
      <c r="Y75" s="251">
        <v>0</v>
      </c>
      <c r="Z75" s="425">
        <v>0</v>
      </c>
      <c r="AB75" s="184" t="s">
        <v>8</v>
      </c>
    </row>
    <row r="76" spans="2:28" ht="15.75">
      <c r="B76" s="11"/>
      <c r="C76" s="253"/>
      <c r="D76" s="1">
        <f>IF(OR(G76&lt;0,G76=""),1,0)</f>
        <v>0</v>
      </c>
      <c r="E76" s="312" t="s">
        <v>7</v>
      </c>
      <c r="F76" s="313" t="s">
        <v>1</v>
      </c>
      <c r="G76" s="596">
        <v>0.095</v>
      </c>
      <c r="H76" s="162"/>
      <c r="I76" s="13" t="s">
        <v>8</v>
      </c>
      <c r="J76" s="288"/>
      <c r="L76" s="11">
        <f>IF(AND($G$73="Yes",$G$18="Intermediate"),1,0)</f>
        <v>0</v>
      </c>
      <c r="M76" s="17"/>
      <c r="N76" s="144">
        <f>IF(AND($G$18="Intermediate",SUM(P76:Z76)=1),1,IF(AND($G$18="Intermediate",SUM(P76:Z76)&lt;&gt;1),2,0))</f>
        <v>1</v>
      </c>
      <c r="O76" s="424" t="str">
        <f t="shared" si="0"/>
        <v>Interconnection</v>
      </c>
      <c r="P76" s="251">
        <v>0</v>
      </c>
      <c r="Q76" s="470">
        <v>0</v>
      </c>
      <c r="R76" s="663">
        <v>1</v>
      </c>
      <c r="S76" s="664"/>
      <c r="T76" s="665"/>
      <c r="U76" s="251">
        <v>0</v>
      </c>
      <c r="V76" s="251">
        <v>0</v>
      </c>
      <c r="W76" s="251">
        <v>0</v>
      </c>
      <c r="X76" s="251">
        <v>0</v>
      </c>
      <c r="Y76" s="251">
        <v>0</v>
      </c>
      <c r="Z76" s="425">
        <v>0</v>
      </c>
      <c r="AB76" s="184" t="s">
        <v>8</v>
      </c>
    </row>
    <row r="77" spans="2:28" ht="16.5" thickBot="1">
      <c r="B77" s="11"/>
      <c r="C77" s="257"/>
      <c r="E77" s="372" t="s">
        <v>232</v>
      </c>
      <c r="F77" s="373"/>
      <c r="G77" s="374" t="s">
        <v>259</v>
      </c>
      <c r="H77" s="172"/>
      <c r="I77" s="13" t="s">
        <v>8</v>
      </c>
      <c r="J77" s="288"/>
      <c r="L77" s="11">
        <f>IF(AND($G$73="Yes",$G$18="Intermediate"),1,0)</f>
        <v>0</v>
      </c>
      <c r="M77" s="17"/>
      <c r="N77" s="144">
        <f>IF(AND($G$18="Intermediate",SUM(P77:Z77)=1),1,IF(AND($G$18="Intermediate",SUM(P77:Z77)&lt;&gt;1),2,0))</f>
        <v>1</v>
      </c>
      <c r="O77" s="424" t="str">
        <f t="shared" si="0"/>
        <v>Development Costs &amp; Fee</v>
      </c>
      <c r="P77" s="251">
        <v>0.8</v>
      </c>
      <c r="Q77" s="470">
        <v>0</v>
      </c>
      <c r="R77" s="663">
        <v>0</v>
      </c>
      <c r="S77" s="664"/>
      <c r="T77" s="665"/>
      <c r="U77" s="251">
        <v>0</v>
      </c>
      <c r="V77" s="251">
        <v>0</v>
      </c>
      <c r="W77" s="251">
        <v>0.05</v>
      </c>
      <c r="X77" s="251">
        <v>0.05</v>
      </c>
      <c r="Y77" s="251">
        <v>0</v>
      </c>
      <c r="Z77" s="425">
        <v>0.1</v>
      </c>
      <c r="AB77" s="184" t="s">
        <v>8</v>
      </c>
    </row>
    <row r="78" spans="2:28" ht="16.5" thickBot="1">
      <c r="B78" s="11"/>
      <c r="E78" s="375" t="s">
        <v>31</v>
      </c>
      <c r="F78" s="376" t="s">
        <v>1</v>
      </c>
      <c r="G78" s="377">
        <f>IF($G$73="Yes",$G$74+(G76*(1-$G$74)),0%)</f>
        <v>0</v>
      </c>
      <c r="H78" s="185"/>
      <c r="I78" s="13" t="s">
        <v>8</v>
      </c>
      <c r="J78" s="288"/>
      <c r="L78" s="11">
        <f>IF(AND($G$73="Yes",$G$18="Intermediate"),1,0)</f>
        <v>0</v>
      </c>
      <c r="M78" s="17"/>
      <c r="N78" s="144">
        <f>IF(AND($G$18="Intermediate",SUM(P78:Z78)=1),1,IF(AND($G$18="Intermediate",SUM(P78:Z78)&lt;&gt;1),2,0))</f>
        <v>1</v>
      </c>
      <c r="O78" s="426" t="str">
        <f t="shared" si="0"/>
        <v>Reserves &amp; Financing Costs</v>
      </c>
      <c r="P78" s="427">
        <v>0</v>
      </c>
      <c r="Q78" s="471">
        <v>0</v>
      </c>
      <c r="R78" s="666">
        <v>0</v>
      </c>
      <c r="S78" s="667"/>
      <c r="T78" s="668"/>
      <c r="U78" s="427">
        <v>0</v>
      </c>
      <c r="V78" s="427">
        <v>0</v>
      </c>
      <c r="W78" s="427">
        <v>0</v>
      </c>
      <c r="X78" s="427">
        <v>0.5</v>
      </c>
      <c r="Y78" s="427">
        <v>0</v>
      </c>
      <c r="Z78" s="428">
        <v>0.5</v>
      </c>
      <c r="AB78" s="184" t="s">
        <v>8</v>
      </c>
    </row>
    <row r="79" spans="2:28" ht="16.5" thickBot="1">
      <c r="B79" s="186"/>
      <c r="C79" s="80"/>
      <c r="D79" s="80"/>
      <c r="E79" s="321" t="s">
        <v>84</v>
      </c>
      <c r="F79" s="275"/>
      <c r="G79" s="378" t="s">
        <v>88</v>
      </c>
      <c r="H79" s="277"/>
      <c r="I79" s="278" t="s">
        <v>8</v>
      </c>
      <c r="J79" s="195"/>
      <c r="L79" s="186">
        <f>IF(AND($G$73="Yes",$G$18="Complex"),1,0)</f>
        <v>0</v>
      </c>
      <c r="M79" s="196"/>
      <c r="N79" s="196"/>
      <c r="O79" s="429" t="s">
        <v>256</v>
      </c>
      <c r="P79" s="430"/>
      <c r="Q79" s="431"/>
      <c r="R79" s="669"/>
      <c r="S79" s="670"/>
      <c r="T79" s="671"/>
      <c r="U79" s="430"/>
      <c r="V79" s="430"/>
      <c r="W79" s="430"/>
      <c r="X79" s="430"/>
      <c r="Y79" s="430"/>
      <c r="Z79" s="432"/>
      <c r="AA79" s="80"/>
      <c r="AB79" s="302" t="s">
        <v>8</v>
      </c>
    </row>
    <row r="80" ht="15"/>
    <row r="81" ht="15.75" thickBot="1"/>
    <row r="82" spans="2:28" ht="15.75">
      <c r="B82" s="236"/>
      <c r="C82" s="237"/>
      <c r="D82" s="237"/>
      <c r="E82" s="248" t="s">
        <v>237</v>
      </c>
      <c r="F82" s="237"/>
      <c r="G82" s="237"/>
      <c r="H82" s="237"/>
      <c r="I82" s="237"/>
      <c r="J82" s="237"/>
      <c r="K82" s="237"/>
      <c r="L82" s="237"/>
      <c r="M82" s="238"/>
      <c r="N82" s="238"/>
      <c r="O82" s="238"/>
      <c r="P82" s="238"/>
      <c r="Q82" s="238"/>
      <c r="R82" s="238"/>
      <c r="S82" s="238"/>
      <c r="T82" s="238"/>
      <c r="U82" s="238"/>
      <c r="V82" s="237"/>
      <c r="W82" s="237"/>
      <c r="X82" s="237"/>
      <c r="Y82" s="237"/>
      <c r="Z82" s="237"/>
      <c r="AA82" s="237"/>
      <c r="AB82" s="239"/>
    </row>
    <row r="83" spans="2:28" ht="15.75">
      <c r="B83" s="240"/>
      <c r="C83" s="234"/>
      <c r="D83" s="234"/>
      <c r="E83" s="241" t="s">
        <v>239</v>
      </c>
      <c r="F83" s="234"/>
      <c r="G83" s="234"/>
      <c r="H83" s="234"/>
      <c r="I83" s="234"/>
      <c r="J83" s="234"/>
      <c r="K83" s="234"/>
      <c r="L83" s="234"/>
      <c r="M83" s="235"/>
      <c r="N83" s="235"/>
      <c r="O83" s="235"/>
      <c r="P83" s="235"/>
      <c r="Q83" s="235"/>
      <c r="R83" s="235"/>
      <c r="S83" s="235"/>
      <c r="T83" s="235"/>
      <c r="U83" s="235"/>
      <c r="V83" s="234"/>
      <c r="W83" s="234"/>
      <c r="X83" s="234"/>
      <c r="Y83" s="234"/>
      <c r="Z83" s="234"/>
      <c r="AA83" s="234"/>
      <c r="AB83" s="242"/>
    </row>
    <row r="84" spans="2:28" ht="15.75">
      <c r="B84" s="240"/>
      <c r="C84" s="234"/>
      <c r="D84" s="234"/>
      <c r="E84" s="241" t="s">
        <v>240</v>
      </c>
      <c r="F84" s="234"/>
      <c r="G84" s="234"/>
      <c r="H84" s="234"/>
      <c r="I84" s="234"/>
      <c r="J84" s="234"/>
      <c r="K84" s="234"/>
      <c r="L84" s="234"/>
      <c r="M84" s="235"/>
      <c r="N84" s="235"/>
      <c r="O84" s="235"/>
      <c r="P84" s="235"/>
      <c r="Q84" s="235"/>
      <c r="R84" s="235"/>
      <c r="S84" s="235"/>
      <c r="T84" s="235"/>
      <c r="U84" s="235"/>
      <c r="V84" s="234"/>
      <c r="W84" s="234"/>
      <c r="X84" s="234"/>
      <c r="Y84" s="234"/>
      <c r="Z84" s="234"/>
      <c r="AA84" s="234"/>
      <c r="AB84" s="242"/>
    </row>
    <row r="85" spans="2:28" ht="15.75">
      <c r="B85" s="240"/>
      <c r="C85" s="234"/>
      <c r="D85" s="234"/>
      <c r="E85" s="241" t="s">
        <v>241</v>
      </c>
      <c r="F85" s="234"/>
      <c r="G85" s="234"/>
      <c r="H85" s="234"/>
      <c r="I85" s="234"/>
      <c r="J85" s="234"/>
      <c r="K85" s="234"/>
      <c r="L85" s="234"/>
      <c r="M85" s="235"/>
      <c r="N85" s="235"/>
      <c r="O85" s="235"/>
      <c r="P85" s="235"/>
      <c r="Q85" s="235"/>
      <c r="R85" s="235"/>
      <c r="S85" s="235"/>
      <c r="T85" s="235"/>
      <c r="U85" s="235"/>
      <c r="V85" s="234"/>
      <c r="W85" s="234"/>
      <c r="X85" s="234"/>
      <c r="Y85" s="234"/>
      <c r="Z85" s="234"/>
      <c r="AA85" s="234"/>
      <c r="AB85" s="242"/>
    </row>
    <row r="86" spans="2:28" ht="15.75">
      <c r="B86" s="240"/>
      <c r="C86" s="234"/>
      <c r="D86" s="234"/>
      <c r="E86" s="241" t="s">
        <v>242</v>
      </c>
      <c r="F86" s="234"/>
      <c r="G86" s="234"/>
      <c r="H86" s="234"/>
      <c r="I86" s="234"/>
      <c r="J86" s="234"/>
      <c r="K86" s="234"/>
      <c r="L86" s="234"/>
      <c r="M86" s="235"/>
      <c r="N86" s="235"/>
      <c r="O86" s="235"/>
      <c r="P86" s="235"/>
      <c r="Q86" s="235"/>
      <c r="R86" s="235"/>
      <c r="S86" s="235"/>
      <c r="T86" s="235"/>
      <c r="U86" s="235"/>
      <c r="V86" s="234"/>
      <c r="W86" s="234"/>
      <c r="X86" s="234"/>
      <c r="Y86" s="234"/>
      <c r="Z86" s="234"/>
      <c r="AA86" s="234"/>
      <c r="AB86" s="242"/>
    </row>
    <row r="87" spans="2:28" ht="15.75">
      <c r="B87" s="240"/>
      <c r="C87" s="234"/>
      <c r="D87" s="234"/>
      <c r="E87" s="241" t="s">
        <v>253</v>
      </c>
      <c r="F87" s="234"/>
      <c r="G87" s="234"/>
      <c r="H87" s="234"/>
      <c r="I87" s="234"/>
      <c r="J87" s="234"/>
      <c r="K87" s="234"/>
      <c r="L87" s="234"/>
      <c r="M87" s="235"/>
      <c r="N87" s="235"/>
      <c r="O87" s="235"/>
      <c r="P87" s="235"/>
      <c r="Q87" s="235"/>
      <c r="R87" s="235"/>
      <c r="S87" s="235"/>
      <c r="T87" s="235"/>
      <c r="U87" s="235"/>
      <c r="V87" s="234"/>
      <c r="W87" s="234"/>
      <c r="X87" s="234"/>
      <c r="Y87" s="234"/>
      <c r="Z87" s="234"/>
      <c r="AA87" s="234"/>
      <c r="AB87" s="242"/>
    </row>
    <row r="88" spans="2:28" ht="15.75">
      <c r="B88" s="240"/>
      <c r="C88" s="234"/>
      <c r="D88" s="234"/>
      <c r="E88" s="241" t="s">
        <v>254</v>
      </c>
      <c r="F88" s="234"/>
      <c r="G88" s="234"/>
      <c r="H88" s="234"/>
      <c r="I88" s="234"/>
      <c r="J88" s="234"/>
      <c r="K88" s="234"/>
      <c r="L88" s="234"/>
      <c r="M88" s="235"/>
      <c r="N88" s="235"/>
      <c r="O88" s="235"/>
      <c r="P88" s="235"/>
      <c r="Q88" s="235"/>
      <c r="R88" s="235"/>
      <c r="S88" s="235"/>
      <c r="T88" s="235"/>
      <c r="U88" s="235"/>
      <c r="V88" s="234"/>
      <c r="W88" s="234"/>
      <c r="X88" s="234"/>
      <c r="Y88" s="234"/>
      <c r="Z88" s="234"/>
      <c r="AA88" s="234"/>
      <c r="AB88" s="242"/>
    </row>
    <row r="89" spans="2:28" ht="15.75">
      <c r="B89" s="240"/>
      <c r="C89" s="234"/>
      <c r="D89" s="234"/>
      <c r="E89" s="241" t="s">
        <v>243</v>
      </c>
      <c r="F89" s="234"/>
      <c r="G89" s="234"/>
      <c r="H89" s="234"/>
      <c r="I89" s="234"/>
      <c r="J89" s="234"/>
      <c r="K89" s="234"/>
      <c r="L89" s="234"/>
      <c r="M89" s="235"/>
      <c r="N89" s="235"/>
      <c r="O89" s="235"/>
      <c r="P89" s="235"/>
      <c r="Q89" s="235"/>
      <c r="R89" s="235"/>
      <c r="S89" s="235"/>
      <c r="T89" s="235"/>
      <c r="U89" s="235"/>
      <c r="V89" s="234"/>
      <c r="W89" s="234"/>
      <c r="X89" s="234"/>
      <c r="Y89" s="234"/>
      <c r="Z89" s="234"/>
      <c r="AA89" s="234"/>
      <c r="AB89" s="242"/>
    </row>
    <row r="90" spans="2:28" ht="15.75">
      <c r="B90" s="240"/>
      <c r="C90" s="234"/>
      <c r="D90" s="234"/>
      <c r="E90" s="241" t="s">
        <v>244</v>
      </c>
      <c r="F90" s="234"/>
      <c r="G90" s="234"/>
      <c r="H90" s="234"/>
      <c r="I90" s="234"/>
      <c r="J90" s="234"/>
      <c r="K90" s="234"/>
      <c r="L90" s="234"/>
      <c r="M90" s="235"/>
      <c r="N90" s="235"/>
      <c r="O90" s="235"/>
      <c r="P90" s="235"/>
      <c r="Q90" s="235"/>
      <c r="R90" s="235"/>
      <c r="S90" s="235"/>
      <c r="T90" s="235"/>
      <c r="U90" s="235"/>
      <c r="V90" s="234"/>
      <c r="W90" s="234"/>
      <c r="X90" s="234"/>
      <c r="Y90" s="234"/>
      <c r="Z90" s="234"/>
      <c r="AA90" s="234"/>
      <c r="AB90" s="242"/>
    </row>
    <row r="91" spans="2:28" ht="15.75">
      <c r="B91" s="240"/>
      <c r="C91" s="234"/>
      <c r="D91" s="234"/>
      <c r="E91" s="241" t="s">
        <v>245</v>
      </c>
      <c r="F91" s="234"/>
      <c r="G91" s="234"/>
      <c r="H91" s="234"/>
      <c r="I91" s="234"/>
      <c r="J91" s="234"/>
      <c r="K91" s="235"/>
      <c r="L91" s="235"/>
      <c r="M91" s="235"/>
      <c r="N91" s="235"/>
      <c r="O91" s="235"/>
      <c r="P91" s="235"/>
      <c r="Q91" s="235"/>
      <c r="R91" s="235"/>
      <c r="S91" s="235"/>
      <c r="T91" s="235"/>
      <c r="U91" s="235"/>
      <c r="V91" s="234"/>
      <c r="W91" s="234"/>
      <c r="X91" s="234"/>
      <c r="Y91" s="234"/>
      <c r="Z91" s="234"/>
      <c r="AA91" s="234"/>
      <c r="AB91" s="242"/>
    </row>
    <row r="92" spans="2:28" ht="15.75">
      <c r="B92" s="240"/>
      <c r="C92" s="234"/>
      <c r="D92" s="234"/>
      <c r="E92" s="241" t="s">
        <v>246</v>
      </c>
      <c r="F92" s="234"/>
      <c r="G92" s="234"/>
      <c r="H92" s="234"/>
      <c r="I92" s="234"/>
      <c r="J92" s="234"/>
      <c r="K92" s="235"/>
      <c r="L92" s="235"/>
      <c r="M92" s="235"/>
      <c r="N92" s="235"/>
      <c r="O92" s="235"/>
      <c r="P92" s="235"/>
      <c r="Q92" s="235"/>
      <c r="R92" s="235"/>
      <c r="S92" s="235"/>
      <c r="T92" s="235"/>
      <c r="U92" s="235"/>
      <c r="V92" s="234"/>
      <c r="W92" s="234"/>
      <c r="X92" s="234"/>
      <c r="Y92" s="234"/>
      <c r="Z92" s="234"/>
      <c r="AA92" s="234"/>
      <c r="AB92" s="242"/>
    </row>
    <row r="93" spans="2:28" ht="15.75">
      <c r="B93" s="240"/>
      <c r="C93" s="234"/>
      <c r="D93" s="234"/>
      <c r="E93" s="241" t="s">
        <v>247</v>
      </c>
      <c r="F93" s="234"/>
      <c r="G93" s="234"/>
      <c r="H93" s="234"/>
      <c r="I93" s="234"/>
      <c r="J93" s="234"/>
      <c r="K93" s="235"/>
      <c r="L93" s="235"/>
      <c r="M93" s="235"/>
      <c r="N93" s="235"/>
      <c r="O93" s="235"/>
      <c r="P93" s="235"/>
      <c r="Q93" s="235"/>
      <c r="R93" s="235"/>
      <c r="S93" s="235"/>
      <c r="T93" s="235"/>
      <c r="U93" s="235"/>
      <c r="V93" s="234"/>
      <c r="W93" s="234"/>
      <c r="X93" s="234"/>
      <c r="Y93" s="234"/>
      <c r="Z93" s="234"/>
      <c r="AA93" s="234"/>
      <c r="AB93" s="242"/>
    </row>
    <row r="94" spans="2:28" ht="16.5" thickBot="1">
      <c r="B94" s="243"/>
      <c r="C94" s="244"/>
      <c r="D94" s="244"/>
      <c r="E94" s="245" t="s">
        <v>238</v>
      </c>
      <c r="F94" s="244"/>
      <c r="G94" s="244"/>
      <c r="H94" s="244"/>
      <c r="I94" s="244"/>
      <c r="J94" s="244"/>
      <c r="K94" s="246"/>
      <c r="L94" s="246"/>
      <c r="M94" s="246"/>
      <c r="N94" s="246"/>
      <c r="O94" s="246"/>
      <c r="P94" s="246"/>
      <c r="Q94" s="246"/>
      <c r="R94" s="246"/>
      <c r="S94" s="246"/>
      <c r="T94" s="246"/>
      <c r="U94" s="246"/>
      <c r="V94" s="244"/>
      <c r="W94" s="244"/>
      <c r="X94" s="244"/>
      <c r="Y94" s="244"/>
      <c r="Z94" s="244"/>
      <c r="AA94" s="244"/>
      <c r="AB94" s="247"/>
    </row>
    <row r="95" ht="15.75">
      <c r="E95"/>
    </row>
    <row r="96" spans="1:11" ht="15">
      <c r="A96" s="434"/>
      <c r="B96" s="434"/>
      <c r="C96" s="434"/>
      <c r="D96" s="435"/>
      <c r="E96" s="436"/>
      <c r="F96" s="434"/>
      <c r="G96" s="434"/>
      <c r="H96" s="434"/>
      <c r="I96" s="434"/>
      <c r="J96" s="434"/>
      <c r="K96" s="434"/>
    </row>
    <row r="97" spans="1:11" ht="15">
      <c r="A97" s="434"/>
      <c r="B97" s="434"/>
      <c r="C97" s="434"/>
      <c r="D97" s="434"/>
      <c r="E97" s="437"/>
      <c r="F97" s="434"/>
      <c r="G97" s="438"/>
      <c r="H97" s="434"/>
      <c r="I97" s="434"/>
      <c r="J97" s="434"/>
      <c r="K97" s="434"/>
    </row>
    <row r="98" spans="1:11" ht="15">
      <c r="A98" s="434"/>
      <c r="B98" s="434"/>
      <c r="C98" s="434"/>
      <c r="D98" s="434"/>
      <c r="E98" s="437"/>
      <c r="F98" s="434"/>
      <c r="G98" s="438"/>
      <c r="H98" s="434"/>
      <c r="I98" s="434"/>
      <c r="J98" s="434"/>
      <c r="K98" s="434"/>
    </row>
    <row r="99" spans="1:11" ht="15">
      <c r="A99" s="434"/>
      <c r="B99" s="434"/>
      <c r="C99" s="434"/>
      <c r="D99" s="434"/>
      <c r="E99" s="437"/>
      <c r="F99" s="434"/>
      <c r="G99" s="438"/>
      <c r="H99" s="434"/>
      <c r="I99" s="434"/>
      <c r="J99" s="434"/>
      <c r="K99" s="434"/>
    </row>
    <row r="100" spans="1:11" ht="15">
      <c r="A100" s="434"/>
      <c r="B100" s="434"/>
      <c r="C100" s="434"/>
      <c r="D100" s="434"/>
      <c r="E100" s="437"/>
      <c r="F100" s="434"/>
      <c r="G100" s="438"/>
      <c r="H100" s="434"/>
      <c r="I100" s="434"/>
      <c r="J100" s="434"/>
      <c r="K100" s="434"/>
    </row>
    <row r="101" spans="1:2" ht="15">
      <c r="A101" s="434"/>
      <c r="B101" s="434"/>
    </row>
    <row r="103" spans="12:28" ht="15">
      <c r="L103" s="434"/>
      <c r="M103" s="434"/>
      <c r="N103" s="434"/>
      <c r="O103" s="434"/>
      <c r="P103" s="434"/>
      <c r="Q103" s="434"/>
      <c r="R103" s="434"/>
      <c r="S103" s="434"/>
      <c r="T103" s="434"/>
      <c r="U103" s="434"/>
      <c r="V103" s="434"/>
      <c r="W103" s="434"/>
      <c r="X103" s="434"/>
      <c r="Y103" s="434"/>
      <c r="Z103" s="434"/>
      <c r="AA103" s="434"/>
      <c r="AB103" s="434"/>
    </row>
    <row r="104" spans="12:28" ht="15">
      <c r="L104" s="434"/>
      <c r="M104" s="434"/>
      <c r="N104" s="434"/>
      <c r="O104" s="434"/>
      <c r="P104" s="434"/>
      <c r="Q104" s="434"/>
      <c r="R104" s="434"/>
      <c r="S104" s="434"/>
      <c r="T104" s="434"/>
      <c r="U104" s="434"/>
      <c r="V104" s="434"/>
      <c r="W104" s="434"/>
      <c r="X104" s="434"/>
      <c r="Y104" s="434"/>
      <c r="Z104" s="434"/>
      <c r="AA104" s="434"/>
      <c r="AB104" s="434"/>
    </row>
  </sheetData>
  <sheetProtection/>
  <protectedRanges>
    <protectedRange sqref="P70:P71 P73:Z78" name="Depreciation Inputs"/>
    <protectedRange sqref="Q8:Q10 Q13:Q15 Q57:Q58 Q62 Q65 Q67 Q47 Q38:Q41 Q24:Q25 Q19:Q21 Q33:Q34 Q27:Q30 Q36 Q43:Q45 Q50:Q53" name="Column Q Inputs"/>
    <protectedRange sqref="G5 G51:G55 G46:G47 G58 G62 G64 G73:G77 G8:G11 G14:G15 G30:G36 G38:G42 G18:G23" name="Column G Inputs"/>
  </protectedRanges>
  <mergeCells count="10">
    <mergeCell ref="R76:T76"/>
    <mergeCell ref="R77:T77"/>
    <mergeCell ref="R78:T78"/>
    <mergeCell ref="R79:T79"/>
    <mergeCell ref="O4:P4"/>
    <mergeCell ref="C2:T2"/>
    <mergeCell ref="R75:T75"/>
    <mergeCell ref="R72:T72"/>
    <mergeCell ref="R73:T73"/>
    <mergeCell ref="R74:T74"/>
  </mergeCells>
  <conditionalFormatting sqref="C18">
    <cfRule type="expression" priority="568" dxfId="38">
      <formula>$G$18&lt;&gt;""</formula>
    </cfRule>
  </conditionalFormatting>
  <conditionalFormatting sqref="C31">
    <cfRule type="expression" priority="562" dxfId="38">
      <formula>$G$31&gt;=0</formula>
    </cfRule>
  </conditionalFormatting>
  <conditionalFormatting sqref="C19">
    <cfRule type="expression" priority="389" dxfId="38">
      <formula>AND($G$18="Simple",$G$19&gt;0)</formula>
    </cfRule>
    <cfRule type="expression" priority="559" dxfId="5">
      <formula>AND($G$18="Simple",$G$19&lt;=0)</formula>
    </cfRule>
  </conditionalFormatting>
  <conditionalFormatting sqref="C20">
    <cfRule type="expression" priority="388" dxfId="38">
      <formula>AND($G$18="Intermediate",$G$20&gt;0)</formula>
    </cfRule>
    <cfRule type="expression" priority="558" dxfId="5">
      <formula>AND($G$18="Intermediate",$G$20&lt;=0)</formula>
    </cfRule>
  </conditionalFormatting>
  <conditionalFormatting sqref="C74">
    <cfRule type="expression" priority="142" dxfId="6">
      <formula>$G$73="No"</formula>
    </cfRule>
    <cfRule type="expression" priority="143" dxfId="5">
      <formula>$D$74=1</formula>
    </cfRule>
  </conditionalFormatting>
  <conditionalFormatting sqref="C62">
    <cfRule type="expression" priority="380" dxfId="5">
      <formula>$D$62=1</formula>
    </cfRule>
  </conditionalFormatting>
  <conditionalFormatting sqref="L29 G25:H25 K25">
    <cfRule type="expression" priority="722" dxfId="17">
      <formula>$G$18="Complex"</formula>
    </cfRule>
  </conditionalFormatting>
  <conditionalFormatting sqref="C51">
    <cfRule type="expression" priority="382" dxfId="5">
      <formula>$D$51=1</formula>
    </cfRule>
  </conditionalFormatting>
  <conditionalFormatting sqref="M10">
    <cfRule type="expression" priority="405" dxfId="38">
      <formula>$Q$10&lt;&gt;""</formula>
    </cfRule>
  </conditionalFormatting>
  <conditionalFormatting sqref="M9">
    <cfRule type="expression" priority="404" dxfId="38">
      <formula>$Q$9&lt;&gt;""</formula>
    </cfRule>
  </conditionalFormatting>
  <conditionalFormatting sqref="E36:G43">
    <cfRule type="expression" priority="400" dxfId="135">
      <formula>$G$30="Simple"</formula>
    </cfRule>
  </conditionalFormatting>
  <conditionalFormatting sqref="C25">
    <cfRule type="expression" priority="386" dxfId="38">
      <formula>AND($G$18="Complex",$G$25&gt;0)</formula>
    </cfRule>
    <cfRule type="expression" priority="387" dxfId="5">
      <formula>$G$18="Complex"</formula>
    </cfRule>
  </conditionalFormatting>
  <conditionalFormatting sqref="C33">
    <cfRule type="expression" priority="385" dxfId="38">
      <formula>$G$33&gt;0</formula>
    </cfRule>
  </conditionalFormatting>
  <conditionalFormatting sqref="C34">
    <cfRule type="expression" priority="384" dxfId="38">
      <formula>AND($G$34&gt;0,$G$34&lt;=$G$15)</formula>
    </cfRule>
  </conditionalFormatting>
  <conditionalFormatting sqref="C35">
    <cfRule type="expression" priority="383" dxfId="38">
      <formula>$G$35&gt;0</formula>
    </cfRule>
  </conditionalFormatting>
  <conditionalFormatting sqref="G57">
    <cfRule type="expression" priority="367" dxfId="136">
      <formula>$G$57="Fail"</formula>
    </cfRule>
  </conditionalFormatting>
  <conditionalFormatting sqref="O58:Q58 S58">
    <cfRule type="expression" priority="362" dxfId="135">
      <formula>$Q$57="Salvage"</formula>
    </cfRule>
  </conditionalFormatting>
  <conditionalFormatting sqref="E46:G48">
    <cfRule type="expression" priority="340" dxfId="135">
      <formula>$G$18="Simple"</formula>
    </cfRule>
  </conditionalFormatting>
  <conditionalFormatting sqref="G60">
    <cfRule type="expression" priority="308" dxfId="136">
      <formula>$G$60="Fail"</formula>
    </cfRule>
  </conditionalFormatting>
  <conditionalFormatting sqref="G19">
    <cfRule type="expression" priority="272" dxfId="137">
      <formula>$G$18="Simple"</formula>
    </cfRule>
  </conditionalFormatting>
  <conditionalFormatting sqref="G24 E20:F24">
    <cfRule type="expression" priority="271" dxfId="138">
      <formula>$G$18="Intermediate"</formula>
    </cfRule>
  </conditionalFormatting>
  <conditionalFormatting sqref="G20:G23">
    <cfRule type="expression" priority="260" dxfId="137">
      <formula>$G$18="Intermediate"</formula>
    </cfRule>
  </conditionalFormatting>
  <conditionalFormatting sqref="E52:G60 I52:I60">
    <cfRule type="expression" priority="254" dxfId="135">
      <formula>$G$51=0</formula>
    </cfRule>
  </conditionalFormatting>
  <conditionalFormatting sqref="O14:P14">
    <cfRule type="expression" priority="247" dxfId="138">
      <formula>$T$14=1</formula>
    </cfRule>
  </conditionalFormatting>
  <conditionalFormatting sqref="O15:P15">
    <cfRule type="expression" priority="246" dxfId="138">
      <formula>$T$15=1</formula>
    </cfRule>
  </conditionalFormatting>
  <conditionalFormatting sqref="O16">
    <cfRule type="expression" priority="245" dxfId="139">
      <formula>$T$16=1</formula>
    </cfRule>
  </conditionalFormatting>
  <conditionalFormatting sqref="Q14">
    <cfRule type="expression" priority="242" dxfId="137">
      <formula>$T$14=1</formula>
    </cfRule>
  </conditionalFormatting>
  <conditionalFormatting sqref="Q15">
    <cfRule type="expression" priority="241" dxfId="137">
      <formula>$T$15=1</formula>
    </cfRule>
  </conditionalFormatting>
  <conditionalFormatting sqref="P16:Q16">
    <cfRule type="expression" priority="240" dxfId="6">
      <formula>$T$16=1</formula>
    </cfRule>
  </conditionalFormatting>
  <conditionalFormatting sqref="O13:P13">
    <cfRule type="expression" priority="238" dxfId="138">
      <formula>$T$13=1</formula>
    </cfRule>
  </conditionalFormatting>
  <conditionalFormatting sqref="Q13">
    <cfRule type="expression" priority="237" dxfId="140">
      <formula>$T$13=1</formula>
    </cfRule>
  </conditionalFormatting>
  <conditionalFormatting sqref="O23:Q23 S23 O20:Q21 S20:S21">
    <cfRule type="expression" priority="225" dxfId="135">
      <formula>$R$19=1</formula>
    </cfRule>
  </conditionalFormatting>
  <conditionalFormatting sqref="S38:S39 S43:S44 S41 O38:Q39 O43:Q44 O41:Q41">
    <cfRule type="expression" priority="221" dxfId="135">
      <formula>$R$38=1</formula>
    </cfRule>
  </conditionalFormatting>
  <conditionalFormatting sqref="I19">
    <cfRule type="expression" priority="213" dxfId="141">
      <formula>$G$18="Simple"</formula>
    </cfRule>
  </conditionalFormatting>
  <conditionalFormatting sqref="I25">
    <cfRule type="expression" priority="212" dxfId="141">
      <formula>$G$18="Complex"</formula>
    </cfRule>
  </conditionalFormatting>
  <conditionalFormatting sqref="I20:I24">
    <cfRule type="expression" priority="211" dxfId="141">
      <formula>$G$18="Intermediate"</formula>
    </cfRule>
  </conditionalFormatting>
  <conditionalFormatting sqref="I36:I43">
    <cfRule type="expression" priority="210" dxfId="141">
      <formula>$G$30="Intermediate"</formula>
    </cfRule>
  </conditionalFormatting>
  <conditionalFormatting sqref="E19:F19">
    <cfRule type="expression" priority="204" dxfId="138">
      <formula>$G$18="Simple"</formula>
    </cfRule>
  </conditionalFormatting>
  <conditionalFormatting sqref="F25">
    <cfRule type="expression" priority="201" dxfId="138">
      <formula>$G$18="Complex"</formula>
    </cfRule>
  </conditionalFormatting>
  <conditionalFormatting sqref="E25">
    <cfRule type="expression" priority="200" dxfId="139">
      <formula>$G$18="Complex"</formula>
    </cfRule>
  </conditionalFormatting>
  <conditionalFormatting sqref="O40:Q40 S40">
    <cfRule type="expression" priority="2102" dxfId="135">
      <formula>$T$41=1</formula>
    </cfRule>
  </conditionalFormatting>
  <conditionalFormatting sqref="S13">
    <cfRule type="expression" priority="189" dxfId="141">
      <formula>$T$13=1</formula>
    </cfRule>
  </conditionalFormatting>
  <conditionalFormatting sqref="S14">
    <cfRule type="expression" priority="188" dxfId="141">
      <formula>$T$14=1</formula>
    </cfRule>
  </conditionalFormatting>
  <conditionalFormatting sqref="S15">
    <cfRule type="expression" priority="187" dxfId="141">
      <formula>$T$15=1</formula>
    </cfRule>
  </conditionalFormatting>
  <conditionalFormatting sqref="S16">
    <cfRule type="expression" priority="186" dxfId="141">
      <formula>$T$16=1</formula>
    </cfRule>
  </conditionalFormatting>
  <conditionalFormatting sqref="C57">
    <cfRule type="expression" priority="185" dxfId="5">
      <formula>$G$57="Fail"</formula>
    </cfRule>
  </conditionalFormatting>
  <conditionalFormatting sqref="C60">
    <cfRule type="expression" priority="184" dxfId="5">
      <formula>$G$60="Fail"</formula>
    </cfRule>
  </conditionalFormatting>
  <conditionalFormatting sqref="E63:G63">
    <cfRule type="expression" priority="183" dxfId="135">
      <formula>$G$51=0%</formula>
    </cfRule>
  </conditionalFormatting>
  <conditionalFormatting sqref="C12">
    <cfRule type="expression" priority="179" dxfId="5">
      <formula>$D$12=1</formula>
    </cfRule>
  </conditionalFormatting>
  <conditionalFormatting sqref="C14">
    <cfRule type="expression" priority="178" dxfId="5">
      <formula>$D$14=1</formula>
    </cfRule>
  </conditionalFormatting>
  <conditionalFormatting sqref="M8">
    <cfRule type="expression" priority="177" dxfId="5">
      <formula>$N$8=1</formula>
    </cfRule>
  </conditionalFormatting>
  <conditionalFormatting sqref="C30">
    <cfRule type="expression" priority="168" dxfId="38">
      <formula>$G$30&lt;&gt;""</formula>
    </cfRule>
  </conditionalFormatting>
  <conditionalFormatting sqref="C46">
    <cfRule type="expression" priority="149" dxfId="6">
      <formula>$G$18="Simple"</formula>
    </cfRule>
    <cfRule type="expression" priority="167" dxfId="5">
      <formula>$G$46&lt;=0</formula>
    </cfRule>
  </conditionalFormatting>
  <conditionalFormatting sqref="C47">
    <cfRule type="expression" priority="148" dxfId="6">
      <formula>$G$18="Simple"</formula>
    </cfRule>
    <cfRule type="expression" priority="164" dxfId="38">
      <formula>AND($G$18="Intermediate",$G$47&gt;=0)</formula>
    </cfRule>
  </conditionalFormatting>
  <conditionalFormatting sqref="C52">
    <cfRule type="expression" priority="147" dxfId="6">
      <formula>$G$51=0</formula>
    </cfRule>
    <cfRule type="expression" priority="163" dxfId="5">
      <formula>$D$52=1</formula>
    </cfRule>
  </conditionalFormatting>
  <conditionalFormatting sqref="C53">
    <cfRule type="expression" priority="160" dxfId="5">
      <formula>$D$53=1</formula>
    </cfRule>
  </conditionalFormatting>
  <conditionalFormatting sqref="C55">
    <cfRule type="expression" priority="159" dxfId="5">
      <formula>$G$55&lt;1</formula>
    </cfRule>
  </conditionalFormatting>
  <conditionalFormatting sqref="C58">
    <cfRule type="expression" priority="158" dxfId="5">
      <formula>$G$58&lt;1</formula>
    </cfRule>
  </conditionalFormatting>
  <conditionalFormatting sqref="C54">
    <cfRule type="expression" priority="157" dxfId="5">
      <formula>$D$54=1</formula>
    </cfRule>
  </conditionalFormatting>
  <conditionalFormatting sqref="C57:C58 C60 C52:C55">
    <cfRule type="expression" priority="146" dxfId="6">
      <formula>$G$51=0</formula>
    </cfRule>
  </conditionalFormatting>
  <conditionalFormatting sqref="C64">
    <cfRule type="expression" priority="145" dxfId="5">
      <formula>$G$64&lt;0</formula>
    </cfRule>
  </conditionalFormatting>
  <conditionalFormatting sqref="C73">
    <cfRule type="expression" priority="144" dxfId="5">
      <formula>$G$73=""</formula>
    </cfRule>
  </conditionalFormatting>
  <conditionalFormatting sqref="C76">
    <cfRule type="expression" priority="135" dxfId="6">
      <formula>$G$73="No"</formula>
    </cfRule>
    <cfRule type="expression" priority="136" dxfId="5">
      <formula>$D$76=1</formula>
    </cfRule>
  </conditionalFormatting>
  <conditionalFormatting sqref="C75">
    <cfRule type="expression" priority="134" dxfId="5">
      <formula>$G$75=""</formula>
    </cfRule>
  </conditionalFormatting>
  <conditionalFormatting sqref="C77">
    <cfRule type="expression" priority="133" dxfId="5">
      <formula>$G$77=""</formula>
    </cfRule>
  </conditionalFormatting>
  <conditionalFormatting sqref="M13">
    <cfRule type="expression" priority="131" dxfId="5">
      <formula>$Q$13=""</formula>
    </cfRule>
  </conditionalFormatting>
  <conditionalFormatting sqref="M14">
    <cfRule type="expression" priority="130" dxfId="5">
      <formula>$N$14=1</formula>
    </cfRule>
  </conditionalFormatting>
  <conditionalFormatting sqref="M15">
    <cfRule type="expression" priority="129" dxfId="5">
      <formula>$N$15=1</formula>
    </cfRule>
  </conditionalFormatting>
  <conditionalFormatting sqref="M19">
    <cfRule type="expression" priority="128" dxfId="5">
      <formula>$Q$19=""</formula>
    </cfRule>
  </conditionalFormatting>
  <conditionalFormatting sqref="M20">
    <cfRule type="expression" priority="127" dxfId="5">
      <formula>$Q$20=""</formula>
    </cfRule>
  </conditionalFormatting>
  <conditionalFormatting sqref="M24">
    <cfRule type="expression" priority="126" dxfId="5">
      <formula>$Q$24=""</formula>
    </cfRule>
  </conditionalFormatting>
  <conditionalFormatting sqref="M21 M52 M57 M50 M47 M30 M33:M34 M38">
    <cfRule type="expression" priority="125" dxfId="5">
      <formula>$N21=1</formula>
    </cfRule>
  </conditionalFormatting>
  <conditionalFormatting sqref="M25">
    <cfRule type="expression" priority="117" dxfId="5">
      <formula>$Q$25&lt;0</formula>
    </cfRule>
  </conditionalFormatting>
  <conditionalFormatting sqref="M27">
    <cfRule type="expression" priority="116" dxfId="5">
      <formula>$N$27=1</formula>
    </cfRule>
  </conditionalFormatting>
  <conditionalFormatting sqref="M28">
    <cfRule type="expression" priority="115" dxfId="5">
      <formula>$Q$28=""</formula>
    </cfRule>
  </conditionalFormatting>
  <conditionalFormatting sqref="M62 M65 M45 M29">
    <cfRule type="expression" priority="113" dxfId="5">
      <formula>$Q29&lt;0</formula>
    </cfRule>
  </conditionalFormatting>
  <conditionalFormatting sqref="M36">
    <cfRule type="expression" priority="109" dxfId="5">
      <formula>$N$36=1</formula>
    </cfRule>
  </conditionalFormatting>
  <conditionalFormatting sqref="M41">
    <cfRule type="expression" priority="108" dxfId="5">
      <formula>$Q$41&lt;0</formula>
    </cfRule>
  </conditionalFormatting>
  <conditionalFormatting sqref="M43">
    <cfRule type="expression" priority="107" dxfId="5">
      <formula>$N$43=1</formula>
    </cfRule>
  </conditionalFormatting>
  <conditionalFormatting sqref="M44">
    <cfRule type="expression" priority="106" dxfId="5">
      <formula>$Q$44=""</formula>
    </cfRule>
  </conditionalFormatting>
  <conditionalFormatting sqref="M51 M53">
    <cfRule type="expression" priority="102" dxfId="38">
      <formula>$Q51&gt;0</formula>
    </cfRule>
  </conditionalFormatting>
  <conditionalFormatting sqref="M58">
    <cfRule type="expression" priority="90" dxfId="6">
      <formula>$Q$57="Salvage"</formula>
    </cfRule>
    <cfRule type="expression" priority="100" dxfId="5">
      <formula>$Q$58&lt;0</formula>
    </cfRule>
  </conditionalFormatting>
  <conditionalFormatting sqref="M67">
    <cfRule type="expression" priority="97" dxfId="5">
      <formula>$Q$67&lt;0</formula>
    </cfRule>
  </conditionalFormatting>
  <conditionalFormatting sqref="M27:M28 M24:M25">
    <cfRule type="expression" priority="94" dxfId="6">
      <formula>$Q$19="Cost-Based"</formula>
    </cfRule>
  </conditionalFormatting>
  <conditionalFormatting sqref="M73">
    <cfRule type="expression" priority="86" dxfId="5">
      <formula>$N$73=2</formula>
    </cfRule>
    <cfRule type="expression" priority="87" dxfId="38">
      <formula>$N$73=1</formula>
    </cfRule>
  </conditionalFormatting>
  <conditionalFormatting sqref="M74:M78">
    <cfRule type="expression" priority="82" dxfId="5">
      <formula>$N74=2</formula>
    </cfRule>
    <cfRule type="expression" priority="83" dxfId="38">
      <formula>$N74=1</formula>
    </cfRule>
  </conditionalFormatting>
  <conditionalFormatting sqref="AB73:AB79 O73:R78 U73:Z78">
    <cfRule type="expression" priority="81" dxfId="135">
      <formula>$L73=0</formula>
    </cfRule>
  </conditionalFormatting>
  <conditionalFormatting sqref="O79:R79 U79:Z79">
    <cfRule type="expression" priority="76" dxfId="135">
      <formula>$L$79=0</formula>
    </cfRule>
  </conditionalFormatting>
  <conditionalFormatting sqref="C5">
    <cfRule type="expression" priority="75" dxfId="5">
      <formula>$G$5=""</formula>
    </cfRule>
  </conditionalFormatting>
  <conditionalFormatting sqref="C21:C23">
    <cfRule type="expression" priority="74" dxfId="5">
      <formula>$G21&lt;0</formula>
    </cfRule>
  </conditionalFormatting>
  <conditionalFormatting sqref="C36 C38:C42">
    <cfRule type="expression" priority="71" dxfId="6">
      <formula>$G$30="Simple"</formula>
    </cfRule>
  </conditionalFormatting>
  <conditionalFormatting sqref="C36 C38:C39 C41:C42">
    <cfRule type="expression" priority="68" dxfId="5">
      <formula>$G36&lt;0</formula>
    </cfRule>
    <cfRule type="expression" priority="69" dxfId="5">
      <formula>$G36&lt;0</formula>
    </cfRule>
  </conditionalFormatting>
  <conditionalFormatting sqref="C40">
    <cfRule type="expression" priority="57" dxfId="5">
      <formula>$G$40=""</formula>
    </cfRule>
  </conditionalFormatting>
  <conditionalFormatting sqref="C32">
    <cfRule type="expression" priority="56" dxfId="5">
      <formula>$G$32&lt;0</formula>
    </cfRule>
  </conditionalFormatting>
  <conditionalFormatting sqref="C15">
    <cfRule type="expression" priority="55" dxfId="5">
      <formula>$D$15=1</formula>
    </cfRule>
  </conditionalFormatting>
  <conditionalFormatting sqref="I74:I79 E74:G79">
    <cfRule type="expression" priority="2360" dxfId="135">
      <formula>$G$73="No"</formula>
    </cfRule>
  </conditionalFormatting>
  <conditionalFormatting sqref="I57 I60">
    <cfRule type="expression" priority="43" dxfId="24">
      <formula>$G57="Fail"</formula>
    </cfRule>
  </conditionalFormatting>
  <conditionalFormatting sqref="E57">
    <cfRule type="expression" priority="38" dxfId="24">
      <formula>$G$57="Fail"</formula>
    </cfRule>
  </conditionalFormatting>
  <conditionalFormatting sqref="E60">
    <cfRule type="expression" priority="37" dxfId="24">
      <formula>$G$60="Fail"</formula>
    </cfRule>
  </conditionalFormatting>
  <conditionalFormatting sqref="M71">
    <cfRule type="expression" priority="22" dxfId="6">
      <formula>$P$70="No"</formula>
    </cfRule>
    <cfRule type="expression" priority="23" dxfId="5">
      <formula>$P$71&lt;0</formula>
    </cfRule>
  </conditionalFormatting>
  <conditionalFormatting sqref="O71:P71 S71">
    <cfRule type="expression" priority="21" dxfId="135">
      <formula>$P$70="No"</formula>
    </cfRule>
  </conditionalFormatting>
  <conditionalFormatting sqref="M70">
    <cfRule type="expression" priority="19" dxfId="5">
      <formula>$P$70=""</formula>
    </cfRule>
  </conditionalFormatting>
  <conditionalFormatting sqref="M13:M15">
    <cfRule type="expression" priority="3189" dxfId="6">
      <formula>$G$15=$Q$8</formula>
    </cfRule>
  </conditionalFormatting>
  <conditionalFormatting sqref="L24 K19">
    <cfRule type="expression" priority="3190" dxfId="142">
      <formula>$G$18="Simple"</formula>
    </cfRule>
  </conditionalFormatting>
  <conditionalFormatting sqref="L27:L28 L25 K20:K24">
    <cfRule type="expression" priority="3192" dxfId="142">
      <formula>$G$18="Intermediate"</formula>
    </cfRule>
  </conditionalFormatting>
  <conditionalFormatting sqref="C9">
    <cfRule type="expression" priority="16" dxfId="5">
      <formula>$G$9=""</formula>
    </cfRule>
  </conditionalFormatting>
  <conditionalFormatting sqref="I10 E10:G10">
    <cfRule type="expression" priority="15" dxfId="135">
      <formula>$G$9="Custom"</formula>
    </cfRule>
  </conditionalFormatting>
  <conditionalFormatting sqref="C10">
    <cfRule type="expression" priority="14" dxfId="5">
      <formula>$G$10=""</formula>
    </cfRule>
  </conditionalFormatting>
  <conditionalFormatting sqref="C11">
    <cfRule type="expression" priority="13" dxfId="5">
      <formula>$G$11=""</formula>
    </cfRule>
  </conditionalFormatting>
  <conditionalFormatting sqref="E11:G11 I11">
    <cfRule type="expression" priority="12" dxfId="135">
      <formula>$G$9="State Average"</formula>
    </cfRule>
  </conditionalFormatting>
  <conditionalFormatting sqref="O39:Q39 O43:Q44 O41:Q41">
    <cfRule type="expression" priority="3217" dxfId="135">
      <formula>$Q$38="No"</formula>
    </cfRule>
  </conditionalFormatting>
  <conditionalFormatting sqref="E12:F12 I12">
    <cfRule type="expression" priority="8" dxfId="135">
      <formula>$G$9="custom"</formula>
    </cfRule>
  </conditionalFormatting>
  <conditionalFormatting sqref="S36:S37 O36:Q37 S34 O34:Q34">
    <cfRule type="expression" priority="4698" dxfId="135">
      <formula>$R$34=1</formula>
    </cfRule>
  </conditionalFormatting>
  <conditionalFormatting sqref="M36 M34">
    <cfRule type="expression" priority="4763" dxfId="6">
      <formula>$Q$33="Performance-Based"</formula>
    </cfRule>
  </conditionalFormatting>
  <conditionalFormatting sqref="M38 M43:M44 M41">
    <cfRule type="expression" priority="4801" dxfId="6">
      <formula>$Q$33="Cost-Based"</formula>
    </cfRule>
  </conditionalFormatting>
  <conditionalFormatting sqref="M40">
    <cfRule type="expression" priority="4945" dxfId="6">
      <formula>$Q$38="Tax Credit"</formula>
    </cfRule>
    <cfRule type="expression" priority="4946" dxfId="5">
      <formula>$Q40=""</formula>
    </cfRule>
  </conditionalFormatting>
  <conditionalFormatting sqref="O42:Q42">
    <cfRule type="expression" priority="7" dxfId="135">
      <formula>$R$38=1</formula>
    </cfRule>
  </conditionalFormatting>
  <conditionalFormatting sqref="O42:Q42">
    <cfRule type="expression" priority="6" dxfId="135">
      <formula>$Q$38="No"</formula>
    </cfRule>
  </conditionalFormatting>
  <conditionalFormatting sqref="O35:Q35">
    <cfRule type="expression" priority="5" dxfId="135">
      <formula>$R$34=1</formula>
    </cfRule>
  </conditionalFormatting>
  <conditionalFormatting sqref="O22:Q22">
    <cfRule type="expression" priority="4" dxfId="135">
      <formula>$R$19=1</formula>
    </cfRule>
  </conditionalFormatting>
  <conditionalFormatting sqref="O24:Q28 S24:S25 S27:S28">
    <cfRule type="expression" priority="2" dxfId="135">
      <formula>OR($R$19=2,$Q$19="Neither")</formula>
    </cfRule>
  </conditionalFormatting>
  <dataValidations count="16">
    <dataValidation errorStyle="warning" type="decimal" operator="greaterThan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 sqref="G59">
      <formula1>G58</formula1>
    </dataValidation>
    <dataValidation type="list" allowBlank="1" showInputMessage="1" showErrorMessage="1" sqref="Q40 Q30 Q47 G73 P70">
      <formula1>"Yes, No"</formula1>
    </dataValidation>
    <dataValidation type="list" allowBlank="1" showInputMessage="1" showErrorMessage="1" sqref="Q38 Q24">
      <formula1>"Cash, Tax Credit"</formula1>
    </dataValidation>
    <dataValidation type="list" allowBlank="1" showInputMessage="1" showErrorMessage="1" sqref="Q33 Q19">
      <formula1>"Cost-Based, Performance-Based, Neither"</formula1>
    </dataValidation>
    <dataValidation type="list" allowBlank="1" showInputMessage="1" showErrorMessage="1" sqref="Q57">
      <formula1>"Operations, Salvage"</formula1>
    </dataValidation>
    <dataValidation type="list" allowBlank="1" showInputMessage="1" showErrorMessage="1" sqref="Q20">
      <formula1>"ITC, Cash Grant"</formula1>
    </dataValidation>
    <dataValidation type="list" allowBlank="1" showInputMessage="1" showErrorMessage="1" sqref="G75 G77">
      <formula1>"As Generated, Carried Forward"</formula1>
    </dataValidation>
    <dataValidation errorStyle="warning" allowBlank="1" showInputMessage="1" showErrorMessage="1" sqref="G57"/>
    <dataValidation errorStyle="warning" operat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10;" sqref="H57 H60"/>
    <dataValidation errorStyle="warning" operator="greaterThanOrEqual" allowBlank="1" showInputMessage="1" showErrorMessage="1" errorTitle="test" error="test" sqref="G55"/>
    <dataValidation type="list" allowBlank="1" showInputMessage="1" showErrorMessage="1" sqref="G30">
      <formula1>"Simple, Intermediate"</formula1>
    </dataValidation>
    <dataValidation type="list" allowBlank="1" showInputMessage="1" showErrorMessage="1" sqref="G18">
      <formula1>"Simple, Intermediate, Complex"</formula1>
    </dataValidation>
    <dataValidation type="list" allowBlank="1" showInputMessage="1" showErrorMessage="1" sqref="Q13">
      <formula1>"Year One, Year-by-Year"</formula1>
    </dataValidation>
    <dataValidation type="list" allowBlank="1" showInputMessage="1" showErrorMessage="1" sqref="J5 G5">
      <formula1>$O$5:$P$5</formula1>
    </dataValidation>
    <dataValidation type="list" allowBlank="1" showInputMessage="1" showErrorMessage="1" sqref="G9">
      <formula1>"State Average, Custom"</formula1>
    </dataValidation>
    <dataValidation type="list" allowBlank="1" showInputMessage="1" showErrorMessage="1" sqref="G10">
      <formula1>'CREST Inputs'!#REF!</formula1>
    </dataValidation>
  </dataValidations>
  <hyperlinks>
    <hyperlink ref="E25" location="'Complex Inputs'!A1" display="'Complex Inputs'!A1"/>
    <hyperlink ref="O16" location="'Complex Inputs'!A126" display="'Complex Inputs'!A126"/>
    <hyperlink ref="O79" location="'Complex Inputs'!A114" display="'Complex Inputs'!A114"/>
  </hyperlinks>
  <printOptions/>
  <pageMargins left="0.7" right="0.7" top="0.75" bottom="0.75" header="0.3" footer="0.3"/>
  <pageSetup fitToHeight="1" fitToWidth="1" horizontalDpi="600" verticalDpi="600" orientation="landscape" scale="30" r:id="rId3"/>
  <headerFooter>
    <oddHeader>&amp;L&amp;F
Worksheet: &amp;A
&amp;D</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Y49"/>
  <sheetViews>
    <sheetView showGridLines="0" zoomScale="85" zoomScaleNormal="85" zoomScalePageLayoutView="0" workbookViewId="0" topLeftCell="A1">
      <selection activeCell="F14" sqref="F14"/>
    </sheetView>
  </sheetViews>
  <sheetFormatPr defaultColWidth="9.140625" defaultRowHeight="15"/>
  <cols>
    <col min="1" max="1" width="6.140625" style="0" customWidth="1"/>
    <col min="2" max="2" width="37.00390625" style="0" bestFit="1" customWidth="1"/>
    <col min="3" max="3" width="18.28125" style="481" customWidth="1"/>
    <col min="4" max="5" width="11.140625" style="481" customWidth="1"/>
    <col min="6" max="6" width="36.57421875" style="0" bestFit="1" customWidth="1"/>
    <col min="7" max="7" width="10.8515625" style="0" bestFit="1" customWidth="1"/>
    <col min="8" max="10" width="2.140625" style="0" customWidth="1"/>
    <col min="11" max="11" width="41.8515625" style="0" bestFit="1" customWidth="1"/>
    <col min="12" max="12" width="12.140625" style="0" customWidth="1"/>
    <col min="13" max="13" width="10.8515625" style="0" customWidth="1"/>
    <col min="14" max="14" width="10.00390625" style="0" customWidth="1"/>
    <col min="15" max="15" width="14.7109375" style="0" customWidth="1"/>
    <col min="16" max="16" width="13.140625" style="0" customWidth="1"/>
    <col min="17" max="17" width="14.28125" style="0" customWidth="1"/>
    <col min="19" max="25" width="9.140625" style="14" customWidth="1"/>
  </cols>
  <sheetData>
    <row r="1" spans="2:25" ht="15">
      <c r="B1" s="482" t="s">
        <v>317</v>
      </c>
      <c r="C1" s="483" t="s">
        <v>316</v>
      </c>
      <c r="D1" s="496"/>
      <c r="E1"/>
      <c r="F1" s="624" t="s">
        <v>373</v>
      </c>
      <c r="G1" s="541"/>
      <c r="I1" s="14"/>
      <c r="J1" s="683"/>
      <c r="K1" s="683"/>
      <c r="L1" s="14"/>
      <c r="M1" s="14"/>
      <c r="N1" s="14"/>
      <c r="O1" s="14"/>
      <c r="S1"/>
      <c r="T1"/>
      <c r="U1"/>
      <c r="V1"/>
      <c r="W1"/>
      <c r="X1"/>
      <c r="Y1"/>
    </row>
    <row r="2" spans="2:25" ht="15">
      <c r="B2" s="611" t="s">
        <v>29</v>
      </c>
      <c r="C2" s="609" t="s">
        <v>370</v>
      </c>
      <c r="D2" s="612">
        <v>2000</v>
      </c>
      <c r="E2"/>
      <c r="F2" s="614" t="s">
        <v>412</v>
      </c>
      <c r="G2" s="621">
        <v>2000</v>
      </c>
      <c r="J2" s="14"/>
      <c r="K2" s="14"/>
      <c r="L2" s="14"/>
      <c r="M2" s="14"/>
      <c r="N2" s="14"/>
      <c r="O2" s="14"/>
      <c r="P2" s="14"/>
      <c r="S2"/>
      <c r="T2"/>
      <c r="U2"/>
      <c r="V2"/>
      <c r="W2"/>
      <c r="X2"/>
      <c r="Y2"/>
    </row>
    <row r="3" spans="2:25" ht="15">
      <c r="B3" s="611" t="s">
        <v>29</v>
      </c>
      <c r="C3" s="609" t="s">
        <v>369</v>
      </c>
      <c r="D3" s="613">
        <f>D2/$D$6</f>
        <v>2666.6666666666665</v>
      </c>
      <c r="E3"/>
      <c r="F3" s="611" t="s">
        <v>146</v>
      </c>
      <c r="G3" s="622">
        <v>2422452.334691608</v>
      </c>
      <c r="J3" s="14"/>
      <c r="K3" s="14"/>
      <c r="L3" s="14"/>
      <c r="M3" s="14"/>
      <c r="N3" s="14"/>
      <c r="O3" s="14"/>
      <c r="P3" s="14"/>
      <c r="S3"/>
      <c r="T3"/>
      <c r="U3"/>
      <c r="V3"/>
      <c r="W3"/>
      <c r="X3"/>
      <c r="Y3"/>
    </row>
    <row r="4" spans="2:25" ht="15">
      <c r="B4" s="512"/>
      <c r="C4" s="14"/>
      <c r="D4" s="612"/>
      <c r="E4"/>
      <c r="F4" s="611" t="s">
        <v>147</v>
      </c>
      <c r="G4" s="622">
        <v>1096642.4819198535</v>
      </c>
      <c r="H4" s="14"/>
      <c r="I4" s="14"/>
      <c r="J4" s="14"/>
      <c r="K4" s="14"/>
      <c r="L4" s="14"/>
      <c r="M4" s="14"/>
      <c r="S4"/>
      <c r="T4"/>
      <c r="U4"/>
      <c r="V4"/>
      <c r="W4"/>
      <c r="X4"/>
      <c r="Y4"/>
    </row>
    <row r="5" spans="2:25" ht="15">
      <c r="B5" s="614" t="s">
        <v>394</v>
      </c>
      <c r="C5" s="609" t="s">
        <v>411</v>
      </c>
      <c r="D5" s="655">
        <v>0.14</v>
      </c>
      <c r="E5"/>
      <c r="F5" s="611" t="s">
        <v>148</v>
      </c>
      <c r="G5" s="622">
        <v>279044.61779311934</v>
      </c>
      <c r="H5" s="14"/>
      <c r="I5" s="14"/>
      <c r="J5" s="14"/>
      <c r="K5" s="14"/>
      <c r="L5" s="14"/>
      <c r="M5" s="14"/>
      <c r="S5"/>
      <c r="T5"/>
      <c r="U5"/>
      <c r="V5"/>
      <c r="W5"/>
      <c r="X5"/>
      <c r="Y5"/>
    </row>
    <row r="6" spans="2:25" ht="15">
      <c r="B6" s="611" t="s">
        <v>371</v>
      </c>
      <c r="C6" s="609"/>
      <c r="D6" s="616">
        <v>0.75</v>
      </c>
      <c r="E6"/>
      <c r="F6" s="618" t="s">
        <v>149</v>
      </c>
      <c r="G6" s="623">
        <v>1057961.5447641273</v>
      </c>
      <c r="H6" s="14"/>
      <c r="I6" s="14"/>
      <c r="J6" s="14"/>
      <c r="K6" s="14"/>
      <c r="L6" s="14"/>
      <c r="M6" s="14"/>
      <c r="S6"/>
      <c r="T6"/>
      <c r="U6"/>
      <c r="V6"/>
      <c r="W6"/>
      <c r="X6"/>
      <c r="Y6"/>
    </row>
    <row r="7" spans="2:25" ht="15">
      <c r="B7" s="512"/>
      <c r="C7" s="14"/>
      <c r="D7" s="612"/>
      <c r="E7" s="25"/>
      <c r="F7" s="25"/>
      <c r="G7" s="25"/>
      <c r="H7" s="25"/>
      <c r="I7" s="25"/>
      <c r="L7" s="14"/>
      <c r="M7" s="14"/>
      <c r="N7" s="14"/>
      <c r="O7" s="14"/>
      <c r="P7" s="14"/>
      <c r="Q7" s="14"/>
      <c r="R7" s="14"/>
      <c r="S7"/>
      <c r="T7"/>
      <c r="U7"/>
      <c r="V7"/>
      <c r="W7"/>
      <c r="X7"/>
      <c r="Y7"/>
    </row>
    <row r="8" spans="2:25" ht="15">
      <c r="B8" s="611" t="s">
        <v>341</v>
      </c>
      <c r="C8" s="609" t="s">
        <v>1</v>
      </c>
      <c r="D8" s="642">
        <f>'CREST Inputs'!G63</f>
        <v>0.08123484966332795</v>
      </c>
      <c r="E8" s="544"/>
      <c r="F8" s="489"/>
      <c r="G8" s="544"/>
      <c r="H8" s="544"/>
      <c r="I8" s="544"/>
      <c r="L8" s="14"/>
      <c r="M8" s="14"/>
      <c r="N8" s="14"/>
      <c r="O8" s="14"/>
      <c r="P8" s="14"/>
      <c r="Q8" s="14"/>
      <c r="R8" s="14"/>
      <c r="S8"/>
      <c r="T8"/>
      <c r="U8"/>
      <c r="V8"/>
      <c r="W8"/>
      <c r="X8"/>
      <c r="Y8"/>
    </row>
    <row r="9" spans="2:25" ht="15">
      <c r="B9" s="611" t="s">
        <v>342</v>
      </c>
      <c r="C9" s="609" t="s">
        <v>1</v>
      </c>
      <c r="D9" s="617">
        <v>0.02</v>
      </c>
      <c r="E9" s="544"/>
      <c r="F9" s="523" t="s">
        <v>375</v>
      </c>
      <c r="G9" s="625">
        <v>0.04</v>
      </c>
      <c r="H9" s="544"/>
      <c r="I9" s="544"/>
      <c r="L9" s="14"/>
      <c r="M9" s="14"/>
      <c r="N9" s="14"/>
      <c r="O9" s="14"/>
      <c r="P9" s="14"/>
      <c r="Q9" s="14"/>
      <c r="R9" s="14"/>
      <c r="S9"/>
      <c r="T9"/>
      <c r="U9"/>
      <c r="V9"/>
      <c r="W9"/>
      <c r="X9"/>
      <c r="Y9"/>
    </row>
    <row r="10" spans="2:25" ht="15">
      <c r="B10" s="512"/>
      <c r="C10" s="14"/>
      <c r="D10" s="612"/>
      <c r="E10" s="544"/>
      <c r="F10" s="611" t="s">
        <v>376</v>
      </c>
      <c r="G10" s="513">
        <v>2017</v>
      </c>
      <c r="H10" s="544"/>
      <c r="I10" s="544"/>
      <c r="L10" s="14"/>
      <c r="M10" s="14"/>
      <c r="N10" s="14"/>
      <c r="O10" s="14"/>
      <c r="P10" s="14"/>
      <c r="Q10" s="14"/>
      <c r="R10" s="14"/>
      <c r="S10"/>
      <c r="T10"/>
      <c r="U10"/>
      <c r="V10"/>
      <c r="W10"/>
      <c r="X10"/>
      <c r="Y10"/>
    </row>
    <row r="11" spans="2:25" ht="15">
      <c r="B11" s="611" t="s">
        <v>395</v>
      </c>
      <c r="C11" s="609" t="s">
        <v>1</v>
      </c>
      <c r="D11" s="615">
        <v>0.5</v>
      </c>
      <c r="E11" s="544"/>
      <c r="F11" s="618" t="s">
        <v>377</v>
      </c>
      <c r="G11" s="515">
        <v>2019</v>
      </c>
      <c r="H11" s="544"/>
      <c r="I11" s="544"/>
      <c r="L11" s="14"/>
      <c r="M11" s="14"/>
      <c r="N11" s="14"/>
      <c r="O11" s="14"/>
      <c r="P11" s="14"/>
      <c r="Q11" s="14"/>
      <c r="R11" s="14"/>
      <c r="S11"/>
      <c r="T11"/>
      <c r="U11"/>
      <c r="V11"/>
      <c r="W11"/>
      <c r="X11"/>
      <c r="Y11"/>
    </row>
    <row r="12" spans="2:25" ht="15">
      <c r="B12" s="618" t="s">
        <v>396</v>
      </c>
      <c r="C12" s="619" t="s">
        <v>1</v>
      </c>
      <c r="D12" s="620">
        <f>1-D11</f>
        <v>0.5</v>
      </c>
      <c r="E12"/>
      <c r="L12" s="14"/>
      <c r="M12" s="14"/>
      <c r="N12" s="14"/>
      <c r="O12" s="14"/>
      <c r="P12" s="14"/>
      <c r="Q12" s="14"/>
      <c r="R12" s="14"/>
      <c r="S12"/>
      <c r="T12"/>
      <c r="U12"/>
      <c r="V12"/>
      <c r="W12"/>
      <c r="X12"/>
      <c r="Y12"/>
    </row>
    <row r="13" spans="4:25" ht="15">
      <c r="D13"/>
      <c r="E13"/>
      <c r="L13" s="14"/>
      <c r="M13" s="14"/>
      <c r="N13" s="14"/>
      <c r="O13" s="14"/>
      <c r="P13" s="14"/>
      <c r="Q13" s="14"/>
      <c r="R13" s="14"/>
      <c r="S13"/>
      <c r="T13"/>
      <c r="U13"/>
      <c r="V13"/>
      <c r="W13"/>
      <c r="X13"/>
      <c r="Y13"/>
    </row>
    <row r="14" spans="2:25" ht="15">
      <c r="B14" s="489"/>
      <c r="D14"/>
      <c r="E14"/>
      <c r="K14" s="14"/>
      <c r="L14" s="14"/>
      <c r="M14" s="14"/>
      <c r="N14" s="14"/>
      <c r="O14" s="14"/>
      <c r="P14" s="14"/>
      <c r="Q14" s="14"/>
      <c r="S14"/>
      <c r="T14"/>
      <c r="U14"/>
      <c r="V14"/>
      <c r="W14"/>
      <c r="X14"/>
      <c r="Y14"/>
    </row>
    <row r="15" spans="2:25" ht="15">
      <c r="B15" s="489"/>
      <c r="E15"/>
      <c r="K15" s="14"/>
      <c r="L15" s="14"/>
      <c r="M15" s="14"/>
      <c r="N15" s="14"/>
      <c r="O15" s="14"/>
      <c r="P15" s="14"/>
      <c r="Q15" s="14"/>
      <c r="S15"/>
      <c r="T15"/>
      <c r="U15"/>
      <c r="V15"/>
      <c r="W15"/>
      <c r="X15"/>
      <c r="Y15"/>
    </row>
    <row r="16" spans="2:25" ht="15">
      <c r="B16" s="489"/>
      <c r="E16"/>
      <c r="K16" s="14"/>
      <c r="L16" s="14"/>
      <c r="M16" s="14"/>
      <c r="N16" s="14"/>
      <c r="O16" s="14"/>
      <c r="P16" s="14"/>
      <c r="Q16" s="14"/>
      <c r="S16"/>
      <c r="T16"/>
      <c r="U16"/>
      <c r="V16"/>
      <c r="W16"/>
      <c r="X16"/>
      <c r="Y16"/>
    </row>
    <row r="17" spans="2:25" ht="15">
      <c r="B17" s="489"/>
      <c r="E17"/>
      <c r="F17" s="518"/>
      <c r="G17" s="518"/>
      <c r="K17" s="14"/>
      <c r="L17" s="14"/>
      <c r="M17" s="14"/>
      <c r="N17" s="14"/>
      <c r="O17" s="14"/>
      <c r="P17" s="14"/>
      <c r="Q17" s="14"/>
      <c r="S17"/>
      <c r="T17"/>
      <c r="U17"/>
      <c r="V17"/>
      <c r="W17"/>
      <c r="X17"/>
      <c r="Y17"/>
    </row>
    <row r="18" spans="4:25" ht="15">
      <c r="D18" s="504"/>
      <c r="E18"/>
      <c r="F18" s="538"/>
      <c r="G18" s="538"/>
      <c r="K18" s="14"/>
      <c r="L18" s="14"/>
      <c r="M18" s="14"/>
      <c r="N18" s="14"/>
      <c r="O18" s="14"/>
      <c r="P18" s="14"/>
      <c r="Q18" s="14"/>
      <c r="S18"/>
      <c r="T18"/>
      <c r="U18"/>
      <c r="V18"/>
      <c r="W18"/>
      <c r="X18"/>
      <c r="Y18"/>
    </row>
    <row r="19" spans="5:25" ht="15">
      <c r="E19"/>
      <c r="F19" s="538"/>
      <c r="G19" s="538"/>
      <c r="K19" s="14"/>
      <c r="L19" s="14"/>
      <c r="M19" s="14"/>
      <c r="N19" s="14"/>
      <c r="O19" s="14"/>
      <c r="P19" s="14"/>
      <c r="Q19" s="14"/>
      <c r="S19"/>
      <c r="T19"/>
      <c r="U19"/>
      <c r="V19"/>
      <c r="W19"/>
      <c r="X19"/>
      <c r="Y19"/>
    </row>
    <row r="20" spans="5:25" ht="15">
      <c r="E20"/>
      <c r="F20" s="538"/>
      <c r="G20" s="538"/>
      <c r="K20" s="14"/>
      <c r="L20" s="14"/>
      <c r="M20" s="14"/>
      <c r="N20" s="14"/>
      <c r="O20" s="14"/>
      <c r="P20" s="14"/>
      <c r="Q20" s="14"/>
      <c r="S20"/>
      <c r="T20"/>
      <c r="U20"/>
      <c r="V20"/>
      <c r="W20"/>
      <c r="X20"/>
      <c r="Y20"/>
    </row>
    <row r="21" spans="4:25" ht="15">
      <c r="D21" s="582"/>
      <c r="E21"/>
      <c r="F21" s="538"/>
      <c r="G21" s="538"/>
      <c r="K21" s="14"/>
      <c r="L21" s="14"/>
      <c r="M21" s="14"/>
      <c r="N21" s="14"/>
      <c r="O21" s="14"/>
      <c r="P21" s="14"/>
      <c r="Q21" s="14"/>
      <c r="S21"/>
      <c r="T21"/>
      <c r="U21"/>
      <c r="V21"/>
      <c r="W21"/>
      <c r="X21"/>
      <c r="Y21"/>
    </row>
    <row r="22" spans="5:25" ht="15">
      <c r="E22"/>
      <c r="F22" s="538"/>
      <c r="G22" s="538"/>
      <c r="K22" s="14"/>
      <c r="L22" s="14"/>
      <c r="M22" s="14"/>
      <c r="N22" s="14"/>
      <c r="O22" s="14"/>
      <c r="P22" s="14"/>
      <c r="Q22" s="14"/>
      <c r="S22"/>
      <c r="T22"/>
      <c r="U22"/>
      <c r="V22"/>
      <c r="W22"/>
      <c r="X22"/>
      <c r="Y22"/>
    </row>
    <row r="23" spans="5:25" ht="15">
      <c r="E23"/>
      <c r="F23" s="538"/>
      <c r="G23" s="538"/>
      <c r="K23" s="14"/>
      <c r="L23" s="14"/>
      <c r="M23" s="14"/>
      <c r="N23" s="14"/>
      <c r="O23" s="14"/>
      <c r="P23" s="14"/>
      <c r="Q23" s="14"/>
      <c r="S23"/>
      <c r="T23"/>
      <c r="U23"/>
      <c r="V23"/>
      <c r="W23"/>
      <c r="X23"/>
      <c r="Y23"/>
    </row>
    <row r="24" spans="4:25" ht="15">
      <c r="D24" s="539"/>
      <c r="E24"/>
      <c r="K24" s="14"/>
      <c r="L24" s="14"/>
      <c r="M24" s="14"/>
      <c r="N24" s="14"/>
      <c r="O24" s="14"/>
      <c r="P24" s="14"/>
      <c r="Q24" s="14"/>
      <c r="S24"/>
      <c r="T24"/>
      <c r="U24"/>
      <c r="V24"/>
      <c r="W24"/>
      <c r="X24"/>
      <c r="Y24"/>
    </row>
    <row r="25" spans="4:25" ht="15">
      <c r="D25" s="533"/>
      <c r="E25"/>
      <c r="K25" s="14"/>
      <c r="L25" s="14"/>
      <c r="M25" s="14"/>
      <c r="N25" s="14"/>
      <c r="O25" s="14"/>
      <c r="P25" s="14"/>
      <c r="Q25" s="14"/>
      <c r="S25"/>
      <c r="T25"/>
      <c r="U25"/>
      <c r="V25"/>
      <c r="W25"/>
      <c r="X25"/>
      <c r="Y25"/>
    </row>
    <row r="26" spans="4:25" ht="15">
      <c r="D26" s="540"/>
      <c r="E26"/>
      <c r="N26" s="14"/>
      <c r="O26" s="14"/>
      <c r="P26" s="14"/>
      <c r="Q26" s="14"/>
      <c r="R26" s="14"/>
      <c r="U26"/>
      <c r="V26"/>
      <c r="W26"/>
      <c r="X26"/>
      <c r="Y26"/>
    </row>
    <row r="27" spans="1:7" ht="15.75">
      <c r="A27" s="492"/>
      <c r="G27" s="25"/>
    </row>
    <row r="28" spans="1:7" ht="15.75">
      <c r="A28" s="492"/>
      <c r="G28" s="25"/>
    </row>
    <row r="30" spans="4:5" ht="15">
      <c r="D30" s="581"/>
      <c r="E30" s="504"/>
    </row>
    <row r="33" ht="15">
      <c r="E33" s="582"/>
    </row>
    <row r="35" ht="15">
      <c r="E35"/>
    </row>
    <row r="36" ht="15">
      <c r="E36"/>
    </row>
    <row r="37" ht="15">
      <c r="E37"/>
    </row>
    <row r="38" ht="15">
      <c r="E38"/>
    </row>
    <row r="39" ht="15">
      <c r="E39"/>
    </row>
    <row r="42" ht="15">
      <c r="E42" s="581"/>
    </row>
    <row r="46" ht="15">
      <c r="F46" s="480"/>
    </row>
    <row r="47" ht="15">
      <c r="F47" s="480"/>
    </row>
    <row r="48" ht="15">
      <c r="F48" s="480"/>
    </row>
    <row r="49" ht="15">
      <c r="F49" s="480"/>
    </row>
  </sheetData>
  <sheetProtection/>
  <protectedRanges>
    <protectedRange sqref="D8" name="Column G Inputs"/>
  </protectedRanges>
  <mergeCells count="1">
    <mergeCell ref="J1:K1"/>
  </mergeCells>
  <printOptions/>
  <pageMargins left="0.7" right="0.7" top="0.75" bottom="0.75" header="0.3" footer="0.3"/>
  <pageSetup fitToHeight="1" fitToWidth="1" horizontalDpi="600" verticalDpi="600" orientation="landscape" scale="68" r:id="rId3"/>
  <headerFooter>
    <oddHeader>&amp;L&amp;F
Worksheet: &amp;A
&amp;D</oddHeader>
    <oddFooter>&amp;C&amp;P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228"/>
  <sheetViews>
    <sheetView showGridLines="0" zoomScale="85" zoomScaleNormal="85" zoomScalePageLayoutView="55" workbookViewId="0" topLeftCell="A1">
      <selection activeCell="B84" sqref="B84"/>
    </sheetView>
  </sheetViews>
  <sheetFormatPr defaultColWidth="13.7109375" defaultRowHeight="15"/>
  <cols>
    <col min="1" max="1" width="5.421875" style="63" customWidth="1"/>
    <col min="2" max="2" width="57.421875" style="63" customWidth="1"/>
    <col min="3" max="4" width="15.28125" style="63" customWidth="1"/>
    <col min="5" max="5" width="17.421875" style="63" customWidth="1"/>
    <col min="6" max="6" width="15.8515625" style="63" customWidth="1"/>
    <col min="7" max="7" width="15.140625" style="63" customWidth="1"/>
    <col min="8" max="36" width="13.7109375" style="63" customWidth="1"/>
    <col min="37" max="228" width="9.140625" style="63" customWidth="1"/>
    <col min="229" max="229" width="5.421875" style="63" customWidth="1"/>
    <col min="230" max="230" width="56.57421875" style="63" customWidth="1"/>
    <col min="231" max="231" width="15.28125" style="63" customWidth="1"/>
    <col min="232" max="232" width="15.8515625" style="63" customWidth="1"/>
    <col min="233" max="233" width="15.140625" style="63" customWidth="1"/>
    <col min="234" max="16384" width="13.7109375" style="63" customWidth="1"/>
  </cols>
  <sheetData>
    <row r="1" ht="15.75">
      <c r="F1" s="28" t="s">
        <v>56</v>
      </c>
    </row>
    <row r="2" spans="2:36" s="27" customFormat="1" ht="15">
      <c r="B2" s="29" t="s">
        <v>111</v>
      </c>
      <c r="C2" s="29"/>
      <c r="D2" s="29"/>
      <c r="E2" s="92" t="s">
        <v>51</v>
      </c>
      <c r="F2" s="30">
        <v>0</v>
      </c>
      <c r="G2" s="30">
        <v>1</v>
      </c>
      <c r="H2" s="30">
        <v>2</v>
      </c>
      <c r="I2" s="30">
        <v>3</v>
      </c>
      <c r="J2" s="30">
        <v>4</v>
      </c>
      <c r="K2" s="30">
        <v>5</v>
      </c>
      <c r="L2" s="30">
        <v>6</v>
      </c>
      <c r="M2" s="30">
        <v>7</v>
      </c>
      <c r="N2" s="30">
        <v>8</v>
      </c>
      <c r="O2" s="30">
        <v>9</v>
      </c>
      <c r="P2" s="30">
        <v>10</v>
      </c>
      <c r="Q2" s="30">
        <v>11</v>
      </c>
      <c r="R2" s="30">
        <v>12</v>
      </c>
      <c r="S2" s="30">
        <v>13</v>
      </c>
      <c r="T2" s="30">
        <v>14</v>
      </c>
      <c r="U2" s="30">
        <v>15</v>
      </c>
      <c r="V2" s="30">
        <v>16</v>
      </c>
      <c r="W2" s="30">
        <v>17</v>
      </c>
      <c r="X2" s="30">
        <v>18</v>
      </c>
      <c r="Y2" s="30">
        <v>19</v>
      </c>
      <c r="Z2" s="30">
        <v>20</v>
      </c>
      <c r="AA2" s="30">
        <v>21</v>
      </c>
      <c r="AB2" s="30">
        <v>22</v>
      </c>
      <c r="AC2" s="30">
        <v>23</v>
      </c>
      <c r="AD2" s="30">
        <v>24</v>
      </c>
      <c r="AE2" s="30">
        <v>25</v>
      </c>
      <c r="AF2" s="30">
        <v>26</v>
      </c>
      <c r="AG2" s="30">
        <v>27</v>
      </c>
      <c r="AH2" s="30">
        <v>28</v>
      </c>
      <c r="AI2" s="30">
        <v>29</v>
      </c>
      <c r="AJ2" s="30">
        <v>30</v>
      </c>
    </row>
    <row r="3" s="27" customFormat="1" ht="15"/>
    <row r="4" spans="2:36" s="27" customFormat="1" ht="15">
      <c r="B4" s="27" t="s">
        <v>57</v>
      </c>
      <c r="E4" s="66"/>
      <c r="G4" s="145">
        <v>1</v>
      </c>
      <c r="H4" s="31">
        <f>G4*(1-'CREST Inputs'!$G$14)</f>
        <v>0.995</v>
      </c>
      <c r="I4" s="31">
        <f>H4*(1-'CREST Inputs'!$G$14)</f>
        <v>0.990025</v>
      </c>
      <c r="J4" s="31">
        <f>I4*(1-'CREST Inputs'!$G$14)</f>
        <v>0.985074875</v>
      </c>
      <c r="K4" s="31">
        <f>J4*(1-'CREST Inputs'!$G$14)</f>
        <v>0.9801495006250001</v>
      </c>
      <c r="L4" s="31">
        <f>K4*(1-'CREST Inputs'!$G$14)</f>
        <v>0.9752487531218751</v>
      </c>
      <c r="M4" s="31">
        <f>L4*(1-'CREST Inputs'!$G$14)</f>
        <v>0.9703725093562657</v>
      </c>
      <c r="N4" s="31">
        <f>M4*(1-'CREST Inputs'!$G$14)</f>
        <v>0.9655206468094844</v>
      </c>
      <c r="O4" s="31">
        <f>N4*(1-'CREST Inputs'!$G$14)</f>
        <v>0.960693043575437</v>
      </c>
      <c r="P4" s="31">
        <f>O4*(1-'CREST Inputs'!$G$14)</f>
        <v>0.9558895783575597</v>
      </c>
      <c r="Q4" s="31">
        <f>P4*(1-'CREST Inputs'!$G$14)</f>
        <v>0.9511101304657719</v>
      </c>
      <c r="R4" s="31">
        <f>Q4*(1-'CREST Inputs'!$G$14)</f>
        <v>0.946354579813443</v>
      </c>
      <c r="S4" s="31">
        <f>R4*(1-'CREST Inputs'!$G$14)</f>
        <v>0.9416228069143757</v>
      </c>
      <c r="T4" s="31">
        <f>S4*(1-'CREST Inputs'!$G$14)</f>
        <v>0.9369146928798039</v>
      </c>
      <c r="U4" s="31">
        <f>T4*(1-'CREST Inputs'!$G$14)</f>
        <v>0.9322301194154049</v>
      </c>
      <c r="V4" s="31">
        <f>U4*(1-'CREST Inputs'!$G$14)</f>
        <v>0.9275689688183278</v>
      </c>
      <c r="W4" s="31">
        <f>V4*(1-'CREST Inputs'!$G$14)</f>
        <v>0.9229311239742362</v>
      </c>
      <c r="X4" s="31">
        <f>W4*(1-'CREST Inputs'!$G$14)</f>
        <v>0.918316468354365</v>
      </c>
      <c r="Y4" s="31">
        <f>X4*(1-'CREST Inputs'!$G$14)</f>
        <v>0.9137248860125932</v>
      </c>
      <c r="Z4" s="31">
        <f>Y4*(1-'CREST Inputs'!$G$14)</f>
        <v>0.9091562615825302</v>
      </c>
      <c r="AA4" s="31">
        <f>Z4*(1-'CREST Inputs'!$G$14)</f>
        <v>0.9046104802746175</v>
      </c>
      <c r="AB4" s="31">
        <f>AA4*(1-'CREST Inputs'!$G$14)</f>
        <v>0.9000874278732445</v>
      </c>
      <c r="AC4" s="31">
        <f>AB4*(1-'CREST Inputs'!$G$14)</f>
        <v>0.8955869907338783</v>
      </c>
      <c r="AD4" s="31">
        <f>AC4*(1-'CREST Inputs'!$G$14)</f>
        <v>0.8911090557802088</v>
      </c>
      <c r="AE4" s="31">
        <f>AD4*(1-'CREST Inputs'!$G$14)</f>
        <v>0.8866535105013078</v>
      </c>
      <c r="AF4" s="31">
        <f>AE4*(1-'CREST Inputs'!$G$14)</f>
        <v>0.8822202429488013</v>
      </c>
      <c r="AG4" s="31">
        <f>AF4*(1-'CREST Inputs'!$G$14)</f>
        <v>0.8778091417340573</v>
      </c>
      <c r="AH4" s="31">
        <f>AG4*(1-'CREST Inputs'!$G$14)</f>
        <v>0.8734200960253871</v>
      </c>
      <c r="AI4" s="31">
        <f>AH4*(1-'CREST Inputs'!$G$14)</f>
        <v>0.8690529955452602</v>
      </c>
      <c r="AJ4" s="31">
        <f>AI4*(1-'CREST Inputs'!$G$14)</f>
        <v>0.8647077305675338</v>
      </c>
    </row>
    <row r="5" spans="2:36" s="27" customFormat="1" ht="15.75">
      <c r="B5" s="32" t="s">
        <v>3</v>
      </c>
      <c r="C5" s="32"/>
      <c r="D5" s="32"/>
      <c r="E5" s="66" t="s">
        <v>2</v>
      </c>
      <c r="G5" s="33">
        <f>'CREST Inputs'!$G$13</f>
        <v>3270400.0000000005</v>
      </c>
      <c r="H5" s="33">
        <f>IF(H$2&gt;'CREST Inputs'!$G$15,0,'CREST Inputs'!$G$13*H$4)</f>
        <v>3254048.0000000005</v>
      </c>
      <c r="I5" s="33">
        <f>IF(I$2&gt;'CREST Inputs'!$G$15,0,'CREST Inputs'!$G$13*I$4)</f>
        <v>3237777.7600000007</v>
      </c>
      <c r="J5" s="33">
        <f>IF(J$2&gt;'CREST Inputs'!$G$15,0,'CREST Inputs'!$G$13*J$4)</f>
        <v>3221588.8712000004</v>
      </c>
      <c r="K5" s="33">
        <f>IF(K$2&gt;'CREST Inputs'!$G$15,0,'CREST Inputs'!$G$13*K$4)</f>
        <v>3205480.926844001</v>
      </c>
      <c r="L5" s="33">
        <f>IF(L$2&gt;'CREST Inputs'!$G$15,0,'CREST Inputs'!$G$13*L$4)</f>
        <v>3189453.5222097808</v>
      </c>
      <c r="M5" s="33">
        <f>IF(M$2&gt;'CREST Inputs'!$G$15,0,'CREST Inputs'!$G$13*M$4)</f>
        <v>3173506.254598732</v>
      </c>
      <c r="N5" s="33">
        <f>IF(N$2&gt;'CREST Inputs'!$G$15,0,'CREST Inputs'!$G$13*N$4)</f>
        <v>3157638.723325738</v>
      </c>
      <c r="O5" s="33">
        <f>IF(O$2&gt;'CREST Inputs'!$G$15,0,'CREST Inputs'!$G$13*O$4)</f>
        <v>3141850.5297091096</v>
      </c>
      <c r="P5" s="33">
        <f>IF(P$2&gt;'CREST Inputs'!$G$15,0,'CREST Inputs'!$G$13*P$4)</f>
        <v>3126141.2770605637</v>
      </c>
      <c r="Q5" s="33">
        <f>IF(Q$2&gt;'CREST Inputs'!$G$15,0,'CREST Inputs'!$G$13*Q$4)</f>
        <v>3110510.570675261</v>
      </c>
      <c r="R5" s="33">
        <f>IF(R$2&gt;'CREST Inputs'!$G$15,0,'CREST Inputs'!$G$13*R$4)</f>
        <v>3094958.0178218842</v>
      </c>
      <c r="S5" s="33">
        <f>IF(S$2&gt;'CREST Inputs'!$G$15,0,'CREST Inputs'!$G$13*S$4)</f>
        <v>3079483.227732775</v>
      </c>
      <c r="T5" s="33">
        <f>IF(T$2&gt;'CREST Inputs'!$G$15,0,'CREST Inputs'!$G$13*T$4)</f>
        <v>3064085.811594111</v>
      </c>
      <c r="U5" s="33">
        <f>IF(U$2&gt;'CREST Inputs'!$G$15,0,'CREST Inputs'!$G$13*U$4)</f>
        <v>3048765.3825361407</v>
      </c>
      <c r="V5" s="33">
        <f>IF(V$2&gt;'CREST Inputs'!$G$15,0,'CREST Inputs'!$G$13*V$4)</f>
        <v>3033521.5556234596</v>
      </c>
      <c r="W5" s="33">
        <f>IF(W$2&gt;'CREST Inputs'!$G$15,0,'CREST Inputs'!$G$13*W$4)</f>
        <v>3018353.9478453426</v>
      </c>
      <c r="X5" s="33">
        <f>IF(X$2&gt;'CREST Inputs'!$G$15,0,'CREST Inputs'!$G$13*X$4)</f>
        <v>3003262.1781061157</v>
      </c>
      <c r="Y5" s="33">
        <f>IF(Y$2&gt;'CREST Inputs'!$G$15,0,'CREST Inputs'!$G$13*Y$4)</f>
        <v>2988245.867215585</v>
      </c>
      <c r="Z5" s="33">
        <f>IF(Z$2&gt;'CREST Inputs'!$G$15,0,'CREST Inputs'!$G$13*Z$4)</f>
        <v>2973304.637879507</v>
      </c>
      <c r="AA5" s="33">
        <f>IF(AA$2&gt;'CREST Inputs'!$G$15,0,'CREST Inputs'!$G$13*AA$4)</f>
        <v>2958438.1146901096</v>
      </c>
      <c r="AB5" s="33">
        <f>IF(AB$2&gt;'CREST Inputs'!$G$15,0,'CREST Inputs'!$G$13*AB$4)</f>
        <v>2943645.924116659</v>
      </c>
      <c r="AC5" s="33">
        <f>IF(AC$2&gt;'CREST Inputs'!$G$15,0,'CREST Inputs'!$G$13*AC$4)</f>
        <v>2928927.694496076</v>
      </c>
      <c r="AD5" s="33">
        <f>IF(AD$2&gt;'CREST Inputs'!$G$15,0,'CREST Inputs'!$G$13*AD$4)</f>
        <v>2914283.0560235954</v>
      </c>
      <c r="AE5" s="33">
        <f>IF(AE$2&gt;'CREST Inputs'!$G$15,0,'CREST Inputs'!$G$13*AE$4)</f>
        <v>2899711.6407434773</v>
      </c>
      <c r="AF5" s="33">
        <f>IF(AF$2&gt;'CREST Inputs'!$G$15,0,'CREST Inputs'!$G$13*AF$4)</f>
        <v>0</v>
      </c>
      <c r="AG5" s="33">
        <f>IF(AG$2&gt;'CREST Inputs'!$G$15,0,'CREST Inputs'!$G$13*AG$4)</f>
        <v>0</v>
      </c>
      <c r="AH5" s="33">
        <f>IF(AH$2&gt;'CREST Inputs'!$G$15,0,'CREST Inputs'!$G$13*AH$4)</f>
        <v>0</v>
      </c>
      <c r="AI5" s="33">
        <f>IF(AI$2&gt;'CREST Inputs'!$G$15,0,'CREST Inputs'!$G$13*AI$4)</f>
        <v>0</v>
      </c>
      <c r="AJ5" s="33">
        <f>IF(AJ$2&gt;'CREST Inputs'!$G$15,0,'CREST Inputs'!$G$13*AJ$4)</f>
        <v>0</v>
      </c>
    </row>
    <row r="6" spans="2:36" s="27" customFormat="1" ht="15.75">
      <c r="B6" s="32"/>
      <c r="C6" s="32"/>
      <c r="D6" s="32"/>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2:5" s="27" customFormat="1" ht="15.75">
      <c r="B7" s="32" t="s">
        <v>89</v>
      </c>
      <c r="C7" s="32"/>
      <c r="D7" s="32"/>
      <c r="E7" s="66"/>
    </row>
    <row r="8" spans="2:36" s="27" customFormat="1" ht="15">
      <c r="B8" s="27" t="s">
        <v>90</v>
      </c>
      <c r="E8" s="66"/>
      <c r="G8" s="145">
        <v>1</v>
      </c>
      <c r="H8" s="31">
        <f>G8*(1+('CREST Inputs'!$Q$10*'CREST Inputs'!$Q$9))</f>
        <v>1</v>
      </c>
      <c r="I8" s="31">
        <f>H8*(1+('CREST Inputs'!$Q$10*'CREST Inputs'!$Q$9))</f>
        <v>1</v>
      </c>
      <c r="J8" s="31">
        <f>I8*(1+('CREST Inputs'!$Q$10*'CREST Inputs'!$Q$9))</f>
        <v>1</v>
      </c>
      <c r="K8" s="31">
        <f>J8*(1+('CREST Inputs'!$Q$10*'CREST Inputs'!$Q$9))</f>
        <v>1</v>
      </c>
      <c r="L8" s="31">
        <f>K8*(1+('CREST Inputs'!$Q$10*'CREST Inputs'!$Q$9))</f>
        <v>1</v>
      </c>
      <c r="M8" s="31">
        <f>L8*(1+('CREST Inputs'!$Q$10*'CREST Inputs'!$Q$9))</f>
        <v>1</v>
      </c>
      <c r="N8" s="31">
        <f>M8*(1+('CREST Inputs'!$Q$10*'CREST Inputs'!$Q$9))</f>
        <v>1</v>
      </c>
      <c r="O8" s="31">
        <f>N8*(1+('CREST Inputs'!$Q$10*'CREST Inputs'!$Q$9))</f>
        <v>1</v>
      </c>
      <c r="P8" s="31">
        <f>O8*(1+('CREST Inputs'!$Q$10*'CREST Inputs'!$Q$9))</f>
        <v>1</v>
      </c>
      <c r="Q8" s="31">
        <f>P8*(1+('CREST Inputs'!$Q$10*'CREST Inputs'!$Q$9))</f>
        <v>1</v>
      </c>
      <c r="R8" s="31">
        <f>Q8*(1+('CREST Inputs'!$Q$10*'CREST Inputs'!$Q$9))</f>
        <v>1</v>
      </c>
      <c r="S8" s="31">
        <f>R8*(1+('CREST Inputs'!$Q$10*'CREST Inputs'!$Q$9))</f>
        <v>1</v>
      </c>
      <c r="T8" s="31">
        <f>S8*(1+('CREST Inputs'!$Q$10*'CREST Inputs'!$Q$9))</f>
        <v>1</v>
      </c>
      <c r="U8" s="31">
        <f>T8*(1+('CREST Inputs'!$Q$10*'CREST Inputs'!$Q$9))</f>
        <v>1</v>
      </c>
      <c r="V8" s="31">
        <f>U8*(1+('CREST Inputs'!$Q$10*'CREST Inputs'!$Q$9))</f>
        <v>1</v>
      </c>
      <c r="W8" s="31">
        <f>V8*(1+('CREST Inputs'!$Q$10*'CREST Inputs'!$Q$9))</f>
        <v>1</v>
      </c>
      <c r="X8" s="31">
        <f>W8*(1+('CREST Inputs'!$Q$10*'CREST Inputs'!$Q$9))</f>
        <v>1</v>
      </c>
      <c r="Y8" s="31">
        <f>X8*(1+('CREST Inputs'!$Q$10*'CREST Inputs'!$Q$9))</f>
        <v>1</v>
      </c>
      <c r="Z8" s="31">
        <f>Y8*(1+('CREST Inputs'!$Q$10*'CREST Inputs'!$Q$9))</f>
        <v>1</v>
      </c>
      <c r="AA8" s="31">
        <f>Z8*(1+('CREST Inputs'!$Q$10*'CREST Inputs'!$Q$9))</f>
        <v>1</v>
      </c>
      <c r="AB8" s="31">
        <f>AA8*(1+('CREST Inputs'!$Q$10*'CREST Inputs'!$Q$9))</f>
        <v>1</v>
      </c>
      <c r="AC8" s="31">
        <f>AB8*(1+('CREST Inputs'!$Q$10*'CREST Inputs'!$Q$9))</f>
        <v>1</v>
      </c>
      <c r="AD8" s="31">
        <f>AC8*(1+('CREST Inputs'!$Q$10*'CREST Inputs'!$Q$9))</f>
        <v>1</v>
      </c>
      <c r="AE8" s="31">
        <f>AD8*(1+('CREST Inputs'!$Q$10*'CREST Inputs'!$Q$9))</f>
        <v>1</v>
      </c>
      <c r="AF8" s="31">
        <f>AE8*(1+('CREST Inputs'!$Q$10*'CREST Inputs'!$Q$9))</f>
        <v>1</v>
      </c>
      <c r="AG8" s="31">
        <f>AF8*(1+('CREST Inputs'!$Q$10*'CREST Inputs'!$Q$9))</f>
        <v>1</v>
      </c>
      <c r="AH8" s="31">
        <f>AG8*(1+('CREST Inputs'!$Q$10*'CREST Inputs'!$Q$9))</f>
        <v>1</v>
      </c>
      <c r="AI8" s="31">
        <f>AH8*(1+('CREST Inputs'!$Q$10*'CREST Inputs'!$Q$9))</f>
        <v>1</v>
      </c>
      <c r="AJ8" s="31">
        <f>AI8*(1+('CREST Inputs'!$Q$10*'CREST Inputs'!$Q$9))</f>
        <v>1</v>
      </c>
    </row>
    <row r="9" spans="2:36" s="27" customFormat="1" ht="15">
      <c r="B9" s="27" t="s">
        <v>130</v>
      </c>
      <c r="E9" s="66"/>
      <c r="G9" s="145">
        <v>1</v>
      </c>
      <c r="H9" s="31">
        <f>G9*(1+'CREST Inputs'!$Q$28)</f>
        <v>1.02</v>
      </c>
      <c r="I9" s="31">
        <f>H9*(1+'CREST Inputs'!$Q$28)</f>
        <v>1.0404</v>
      </c>
      <c r="J9" s="31">
        <f>I9*(1+'CREST Inputs'!$Q$28)</f>
        <v>1.061208</v>
      </c>
      <c r="K9" s="31">
        <f>J9*(1+'CREST Inputs'!$Q$28)</f>
        <v>1.08243216</v>
      </c>
      <c r="L9" s="31">
        <f>K9*(1+'CREST Inputs'!$Q$28)</f>
        <v>1.1040808032</v>
      </c>
      <c r="M9" s="31">
        <f>L9*(1+'CREST Inputs'!$Q$28)</f>
        <v>1.126162419264</v>
      </c>
      <c r="N9" s="31">
        <f>M9*(1+'CREST Inputs'!$Q$28)</f>
        <v>1.14868566764928</v>
      </c>
      <c r="O9" s="31">
        <f>N9*(1+'CREST Inputs'!$Q$28)</f>
        <v>1.1716593810022657</v>
      </c>
      <c r="P9" s="31">
        <f>O9*(1+'CREST Inputs'!$Q$28)</f>
        <v>1.195092568622311</v>
      </c>
      <c r="Q9" s="31">
        <f>P9*(1+'CREST Inputs'!$Q$28)</f>
        <v>1.2189944199947573</v>
      </c>
      <c r="R9" s="31">
        <f>Q9*(1+'CREST Inputs'!$Q$28)</f>
        <v>1.2433743083946525</v>
      </c>
      <c r="S9" s="31">
        <f>R9*(1+'CREST Inputs'!$Q$28)</f>
        <v>1.2682417945625455</v>
      </c>
      <c r="T9" s="31">
        <f>S9*(1+'CREST Inputs'!$Q$28)</f>
        <v>1.2936066304537963</v>
      </c>
      <c r="U9" s="31">
        <f>T9*(1+'CREST Inputs'!$Q$28)</f>
        <v>1.3194787630628724</v>
      </c>
      <c r="V9" s="31">
        <f>U9*(1+'CREST Inputs'!$Q$28)</f>
        <v>1.3458683383241299</v>
      </c>
      <c r="W9" s="31">
        <f>V9*(1+'CREST Inputs'!$Q$28)</f>
        <v>1.3727857050906125</v>
      </c>
      <c r="X9" s="31">
        <f>W9*(1+'CREST Inputs'!$Q$28)</f>
        <v>1.4002414191924248</v>
      </c>
      <c r="Y9" s="31">
        <f>X9*(1+'CREST Inputs'!$Q$28)</f>
        <v>1.4282462475762734</v>
      </c>
      <c r="Z9" s="31">
        <f>Y9*(1+'CREST Inputs'!$Q$28)</f>
        <v>1.4568111725277988</v>
      </c>
      <c r="AA9" s="31">
        <f>Z9*(1+'CREST Inputs'!$Q$28)</f>
        <v>1.485947395978355</v>
      </c>
      <c r="AB9" s="31">
        <f>AA9*(1+'CREST Inputs'!$Q$28)</f>
        <v>1.515666343897922</v>
      </c>
      <c r="AC9" s="31">
        <f>AB9*(1+'CREST Inputs'!$Q$28)</f>
        <v>1.5459796707758806</v>
      </c>
      <c r="AD9" s="31">
        <f>AC9*(1+'CREST Inputs'!$Q$28)</f>
        <v>1.5768992641913981</v>
      </c>
      <c r="AE9" s="31">
        <f>AD9*(1+'CREST Inputs'!$Q$28)</f>
        <v>1.6084372494752261</v>
      </c>
      <c r="AF9" s="31">
        <f>AE9*(1+'CREST Inputs'!$Q$28)</f>
        <v>1.6406059944647307</v>
      </c>
      <c r="AG9" s="31">
        <f>AF9*(1+'CREST Inputs'!$Q$28)</f>
        <v>1.6734181143540252</v>
      </c>
      <c r="AH9" s="31">
        <f>AG9*(1+'CREST Inputs'!$Q$28)</f>
        <v>1.7068864766411058</v>
      </c>
      <c r="AI9" s="31">
        <f>AH9*(1+'CREST Inputs'!$Q$28)</f>
        <v>1.741024206173928</v>
      </c>
      <c r="AJ9" s="31">
        <f>AI9*(1+'CREST Inputs'!$Q$28)</f>
        <v>1.7758446902974065</v>
      </c>
    </row>
    <row r="10" spans="2:36" s="27" customFormat="1" ht="15">
      <c r="B10" s="27" t="s">
        <v>131</v>
      </c>
      <c r="E10" s="66"/>
      <c r="G10" s="145">
        <v>1</v>
      </c>
      <c r="H10" s="31">
        <f>G10*(1+'CREST Inputs'!$Q$44)</f>
        <v>1.02</v>
      </c>
      <c r="I10" s="31">
        <f>H10*(1+'CREST Inputs'!$Q$44)</f>
        <v>1.0404</v>
      </c>
      <c r="J10" s="31">
        <f>I10*(1+'CREST Inputs'!$Q$44)</f>
        <v>1.061208</v>
      </c>
      <c r="K10" s="31">
        <f>J10*(1+'CREST Inputs'!$Q$44)</f>
        <v>1.08243216</v>
      </c>
      <c r="L10" s="31">
        <f>K10*(1+'CREST Inputs'!$Q$44)</f>
        <v>1.1040808032</v>
      </c>
      <c r="M10" s="31">
        <f>L10*(1+'CREST Inputs'!$Q$44)</f>
        <v>1.126162419264</v>
      </c>
      <c r="N10" s="31">
        <f>M10*(1+'CREST Inputs'!$Q$44)</f>
        <v>1.14868566764928</v>
      </c>
      <c r="O10" s="31">
        <f>N10*(1+'CREST Inputs'!$Q$44)</f>
        <v>1.1716593810022657</v>
      </c>
      <c r="P10" s="31">
        <f>O10*(1+'CREST Inputs'!$Q$44)</f>
        <v>1.195092568622311</v>
      </c>
      <c r="Q10" s="31">
        <f>P10*(1+'CREST Inputs'!$Q$44)</f>
        <v>1.2189944199947573</v>
      </c>
      <c r="R10" s="31">
        <f>Q10*(1+'CREST Inputs'!$Q$44)</f>
        <v>1.2433743083946525</v>
      </c>
      <c r="S10" s="31">
        <f>R10*(1+'CREST Inputs'!$Q$44)</f>
        <v>1.2682417945625455</v>
      </c>
      <c r="T10" s="31">
        <f>S10*(1+'CREST Inputs'!$Q$44)</f>
        <v>1.2936066304537963</v>
      </c>
      <c r="U10" s="31">
        <f>T10*(1+'CREST Inputs'!$Q$44)</f>
        <v>1.3194787630628724</v>
      </c>
      <c r="V10" s="31">
        <f>U10*(1+'CREST Inputs'!$Q$44)</f>
        <v>1.3458683383241299</v>
      </c>
      <c r="W10" s="31">
        <f>V10*(1+'CREST Inputs'!$Q$44)</f>
        <v>1.3727857050906125</v>
      </c>
      <c r="X10" s="31">
        <f>W10*(1+'CREST Inputs'!$Q$44)</f>
        <v>1.4002414191924248</v>
      </c>
      <c r="Y10" s="31">
        <f>X10*(1+'CREST Inputs'!$Q$44)</f>
        <v>1.4282462475762734</v>
      </c>
      <c r="Z10" s="31">
        <f>Y10*(1+'CREST Inputs'!$Q$44)</f>
        <v>1.4568111725277988</v>
      </c>
      <c r="AA10" s="31">
        <f>Z10*(1+'CREST Inputs'!$Q$44)</f>
        <v>1.485947395978355</v>
      </c>
      <c r="AB10" s="31">
        <f>AA10*(1+'CREST Inputs'!$Q$44)</f>
        <v>1.515666343897922</v>
      </c>
      <c r="AC10" s="31">
        <f>AB10*(1+'CREST Inputs'!$Q$44)</f>
        <v>1.5459796707758806</v>
      </c>
      <c r="AD10" s="31">
        <f>AC10*(1+'CREST Inputs'!$Q$44)</f>
        <v>1.5768992641913981</v>
      </c>
      <c r="AE10" s="31">
        <f>AD10*(1+'CREST Inputs'!$Q$44)</f>
        <v>1.6084372494752261</v>
      </c>
      <c r="AF10" s="31">
        <f>AE10*(1+'CREST Inputs'!$Q$44)</f>
        <v>1.6406059944647307</v>
      </c>
      <c r="AG10" s="31">
        <f>AF10*(1+'CREST Inputs'!$Q$44)</f>
        <v>1.6734181143540252</v>
      </c>
      <c r="AH10" s="31">
        <f>AG10*(1+'CREST Inputs'!$Q$44)</f>
        <v>1.7068864766411058</v>
      </c>
      <c r="AI10" s="31">
        <f>AH10*(1+'CREST Inputs'!$Q$44)</f>
        <v>1.741024206173928</v>
      </c>
      <c r="AJ10" s="31">
        <f>AI10*(1+'CREST Inputs'!$Q$44)</f>
        <v>1.7758446902974065</v>
      </c>
    </row>
    <row r="11" spans="5:36" s="27" customFormat="1" ht="15.75">
      <c r="E11" s="66"/>
      <c r="F11" s="66"/>
      <c r="G11" s="75"/>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2:36" s="27" customFormat="1" ht="15">
      <c r="B12" s="34" t="s">
        <v>211</v>
      </c>
      <c r="C12" s="34"/>
      <c r="D12" s="34"/>
      <c r="E12" s="66" t="s">
        <v>50</v>
      </c>
      <c r="F12" s="192">
        <f>1-F13</f>
        <v>0.99</v>
      </c>
      <c r="G12" s="77">
        <f>$G$72*$F12</f>
        <v>18.364500000000007</v>
      </c>
      <c r="H12" s="77">
        <f>IF(H2&gt;'CREST Inputs'!$Q$8,0,G12)</f>
        <v>18.364500000000007</v>
      </c>
      <c r="I12" s="77">
        <f>IF(I2&gt;'CREST Inputs'!$Q$8,0,H12)</f>
        <v>18.364500000000007</v>
      </c>
      <c r="J12" s="77">
        <f>IF(J2&gt;'CREST Inputs'!$Q$8,0,I12)</f>
        <v>18.364500000000007</v>
      </c>
      <c r="K12" s="77">
        <f>IF(K2&gt;'CREST Inputs'!$Q$8,0,J12)</f>
        <v>18.364500000000007</v>
      </c>
      <c r="L12" s="77">
        <f>IF(L2&gt;'CREST Inputs'!$Q$8,0,K12)</f>
        <v>18.364500000000007</v>
      </c>
      <c r="M12" s="77">
        <f>IF(M2&gt;'CREST Inputs'!$Q$8,0,L12)</f>
        <v>18.364500000000007</v>
      </c>
      <c r="N12" s="77">
        <f>IF(N2&gt;'CREST Inputs'!$Q$8,0,M12)</f>
        <v>18.364500000000007</v>
      </c>
      <c r="O12" s="77">
        <f>IF(O2&gt;'CREST Inputs'!$Q$8,0,N12)</f>
        <v>18.364500000000007</v>
      </c>
      <c r="P12" s="77">
        <f>IF(P2&gt;'CREST Inputs'!$Q$8,0,O12)</f>
        <v>18.364500000000007</v>
      </c>
      <c r="Q12" s="77">
        <f>IF(Q2&gt;'CREST Inputs'!$Q$8,0,P12)</f>
        <v>18.364500000000007</v>
      </c>
      <c r="R12" s="77">
        <f>IF(R2&gt;'CREST Inputs'!$Q$8,0,Q12)</f>
        <v>18.364500000000007</v>
      </c>
      <c r="S12" s="77">
        <f>IF(S2&gt;'CREST Inputs'!$Q$8,0,R12)</f>
        <v>18.364500000000007</v>
      </c>
      <c r="T12" s="77">
        <f>IF(T2&gt;'CREST Inputs'!$Q$8,0,S12)</f>
        <v>18.364500000000007</v>
      </c>
      <c r="U12" s="77">
        <f>IF(U2&gt;'CREST Inputs'!$Q$8,0,T12)</f>
        <v>18.364500000000007</v>
      </c>
      <c r="V12" s="77">
        <f>IF(V2&gt;'CREST Inputs'!$Q$8,0,U12)</f>
        <v>0</v>
      </c>
      <c r="W12" s="77">
        <f>IF(W2&gt;'CREST Inputs'!$Q$8,0,V12)</f>
        <v>0</v>
      </c>
      <c r="X12" s="77">
        <f>IF(X2&gt;'CREST Inputs'!$Q$8,0,W12)</f>
        <v>0</v>
      </c>
      <c r="Y12" s="77">
        <f>IF(Y2&gt;'CREST Inputs'!$Q$8,0,X12)</f>
        <v>0</v>
      </c>
      <c r="Z12" s="77">
        <f>IF(Z2&gt;'CREST Inputs'!$Q$8,0,Y12)</f>
        <v>0</v>
      </c>
      <c r="AA12" s="77">
        <f>IF(AA2&gt;'CREST Inputs'!$Q$8,0,Z12)</f>
        <v>0</v>
      </c>
      <c r="AB12" s="77">
        <f>IF(AB2&gt;'CREST Inputs'!$Q$8,0,AA12)</f>
        <v>0</v>
      </c>
      <c r="AC12" s="77">
        <f>IF(AC2&gt;'CREST Inputs'!$Q$8,0,AB12)</f>
        <v>0</v>
      </c>
      <c r="AD12" s="77">
        <f>IF(AD2&gt;'CREST Inputs'!$Q$8,0,AC12)</f>
        <v>0</v>
      </c>
      <c r="AE12" s="77">
        <f>IF(AE2&gt;'CREST Inputs'!$Q$8,0,AD12)</f>
        <v>0</v>
      </c>
      <c r="AF12" s="77">
        <f>IF(AF2&gt;'CREST Inputs'!$Q$8,0,AE12)</f>
        <v>0</v>
      </c>
      <c r="AG12" s="77">
        <f>IF(AG2&gt;'CREST Inputs'!$Q$8,0,AF12)</f>
        <v>0</v>
      </c>
      <c r="AH12" s="77">
        <f>IF(AH2&gt;'CREST Inputs'!$Q$8,0,AG12)</f>
        <v>0</v>
      </c>
      <c r="AI12" s="77">
        <f>IF(AI2&gt;'CREST Inputs'!$Q$8,0,AH12)</f>
        <v>0</v>
      </c>
      <c r="AJ12" s="77">
        <f>IF(AJ2&gt;'CREST Inputs'!$Q$8,0,AI12)</f>
        <v>0</v>
      </c>
    </row>
    <row r="13" spans="2:36" s="27" customFormat="1" ht="15">
      <c r="B13" s="193" t="s">
        <v>213</v>
      </c>
      <c r="C13" s="193"/>
      <c r="D13" s="193"/>
      <c r="E13" s="66" t="s">
        <v>50</v>
      </c>
      <c r="F13" s="191">
        <f>'CREST Inputs'!Q9</f>
        <v>0.01</v>
      </c>
      <c r="G13" s="194">
        <f>$G$72*$F13</f>
        <v>0.18550000000000008</v>
      </c>
      <c r="H13" s="194">
        <f>IF(H2&gt;'CREST Inputs'!$Q$8,0,G13*(1+'CREST Inputs'!$Q$10))</f>
        <v>0.18550000000000008</v>
      </c>
      <c r="I13" s="194">
        <f>IF(I2&gt;'CREST Inputs'!$Q$8,0,H13*(1+'CREST Inputs'!$Q$10))</f>
        <v>0.18550000000000008</v>
      </c>
      <c r="J13" s="194">
        <f>IF(J2&gt;'CREST Inputs'!$Q$8,0,I13*(1+'CREST Inputs'!$Q$10))</f>
        <v>0.18550000000000008</v>
      </c>
      <c r="K13" s="194">
        <f>IF(K2&gt;'CREST Inputs'!$Q$8,0,J13*(1+'CREST Inputs'!$Q$10))</f>
        <v>0.18550000000000008</v>
      </c>
      <c r="L13" s="194">
        <f>IF(L2&gt;'CREST Inputs'!$Q$8,0,K13*(1+'CREST Inputs'!$Q$10))</f>
        <v>0.18550000000000008</v>
      </c>
      <c r="M13" s="194">
        <f>IF(M2&gt;'CREST Inputs'!$Q$8,0,L13*(1+'CREST Inputs'!$Q$10))</f>
        <v>0.18550000000000008</v>
      </c>
      <c r="N13" s="194">
        <f>IF(N2&gt;'CREST Inputs'!$Q$8,0,M13*(1+'CREST Inputs'!$Q$10))</f>
        <v>0.18550000000000008</v>
      </c>
      <c r="O13" s="194">
        <f>IF(O2&gt;'CREST Inputs'!$Q$8,0,N13*(1+'CREST Inputs'!$Q$10))</f>
        <v>0.18550000000000008</v>
      </c>
      <c r="P13" s="194">
        <f>IF(P2&gt;'CREST Inputs'!$Q$8,0,O13*(1+'CREST Inputs'!$Q$10))</f>
        <v>0.18550000000000008</v>
      </c>
      <c r="Q13" s="194">
        <f>IF(Q2&gt;'CREST Inputs'!$Q$8,0,P13*(1+'CREST Inputs'!$Q$10))</f>
        <v>0.18550000000000008</v>
      </c>
      <c r="R13" s="194">
        <f>IF(R2&gt;'CREST Inputs'!$Q$8,0,Q13*(1+'CREST Inputs'!$Q$10))</f>
        <v>0.18550000000000008</v>
      </c>
      <c r="S13" s="194">
        <f>IF(S2&gt;'CREST Inputs'!$Q$8,0,R13*(1+'CREST Inputs'!$Q$10))</f>
        <v>0.18550000000000008</v>
      </c>
      <c r="T13" s="194">
        <f>IF(T2&gt;'CREST Inputs'!$Q$8,0,S13*(1+'CREST Inputs'!$Q$10))</f>
        <v>0.18550000000000008</v>
      </c>
      <c r="U13" s="194">
        <f>IF(U2&gt;'CREST Inputs'!$Q$8,0,T13*(1+'CREST Inputs'!$Q$10))</f>
        <v>0.18550000000000008</v>
      </c>
      <c r="V13" s="194">
        <f>IF(V2&gt;'CREST Inputs'!$Q$8,0,U13*(1+'CREST Inputs'!$Q$10))</f>
        <v>0</v>
      </c>
      <c r="W13" s="194">
        <f>IF(W2&gt;'CREST Inputs'!$Q$8,0,V13*(1+'CREST Inputs'!$Q$10))</f>
        <v>0</v>
      </c>
      <c r="X13" s="194">
        <f>IF(X2&gt;'CREST Inputs'!$Q$8,0,W13*(1+'CREST Inputs'!$Q$10))</f>
        <v>0</v>
      </c>
      <c r="Y13" s="194">
        <f>IF(Y2&gt;'CREST Inputs'!$Q$8,0,X13*(1+'CREST Inputs'!$Q$10))</f>
        <v>0</v>
      </c>
      <c r="Z13" s="194">
        <f>IF(Z2&gt;'CREST Inputs'!$Q$8,0,Y13*(1+'CREST Inputs'!$Q$10))</f>
        <v>0</v>
      </c>
      <c r="AA13" s="194">
        <f>IF(AA2&gt;'CREST Inputs'!$Q$8,0,Z13*(1+'CREST Inputs'!$Q$10))</f>
        <v>0</v>
      </c>
      <c r="AB13" s="194">
        <f>IF(AB2&gt;'CREST Inputs'!$Q$8,0,AA13*(1+'CREST Inputs'!$Q$10))</f>
        <v>0</v>
      </c>
      <c r="AC13" s="194">
        <f>IF(AC2&gt;'CREST Inputs'!$Q$8,0,AB13*(1+'CREST Inputs'!$Q$10))</f>
        <v>0</v>
      </c>
      <c r="AD13" s="194">
        <f>IF(AD2&gt;'CREST Inputs'!$Q$8,0,AC13*(1+'CREST Inputs'!$Q$10))</f>
        <v>0</v>
      </c>
      <c r="AE13" s="194">
        <f>IF(AE2&gt;'CREST Inputs'!$Q$8,0,AD13*(1+'CREST Inputs'!$Q$10))</f>
        <v>0</v>
      </c>
      <c r="AF13" s="194">
        <f>IF(AF2&gt;'CREST Inputs'!$Q$8,0,AE13*(1+'CREST Inputs'!$Q$10))</f>
        <v>0</v>
      </c>
      <c r="AG13" s="194">
        <f>IF(AG2&gt;'CREST Inputs'!$Q$8,0,AF13*(1+'CREST Inputs'!$Q$10))</f>
        <v>0</v>
      </c>
      <c r="AH13" s="194">
        <f>IF(AH2&gt;'CREST Inputs'!$Q$8,0,AG13*(1+'CREST Inputs'!$Q$10))</f>
        <v>0</v>
      </c>
      <c r="AI13" s="194">
        <f>IF(AI2&gt;'CREST Inputs'!$Q$8,0,AH13*(1+'CREST Inputs'!$Q$10))</f>
        <v>0</v>
      </c>
      <c r="AJ13" s="194">
        <f>IF(AJ2&gt;'CREST Inputs'!$Q$8,0,AI13*(1+'CREST Inputs'!$Q$10))</f>
        <v>0</v>
      </c>
    </row>
    <row r="14" spans="2:36" s="27" customFormat="1" ht="15">
      <c r="B14" s="34" t="s">
        <v>212</v>
      </c>
      <c r="C14" s="34"/>
      <c r="D14" s="34"/>
      <c r="E14" s="66" t="s">
        <v>50</v>
      </c>
      <c r="F14" s="81"/>
      <c r="G14" s="77">
        <f>SUM(G12:G13)</f>
        <v>18.550000000000008</v>
      </c>
      <c r="H14" s="77">
        <f aca="true" t="shared" si="0" ref="H14:AJ14">SUM(H12:H13)</f>
        <v>18.550000000000008</v>
      </c>
      <c r="I14" s="77">
        <f t="shared" si="0"/>
        <v>18.550000000000008</v>
      </c>
      <c r="J14" s="77">
        <f t="shared" si="0"/>
        <v>18.550000000000008</v>
      </c>
      <c r="K14" s="77">
        <f t="shared" si="0"/>
        <v>18.550000000000008</v>
      </c>
      <c r="L14" s="77">
        <f t="shared" si="0"/>
        <v>18.550000000000008</v>
      </c>
      <c r="M14" s="77">
        <f t="shared" si="0"/>
        <v>18.550000000000008</v>
      </c>
      <c r="N14" s="77">
        <f t="shared" si="0"/>
        <v>18.550000000000008</v>
      </c>
      <c r="O14" s="77">
        <f t="shared" si="0"/>
        <v>18.550000000000008</v>
      </c>
      <c r="P14" s="77">
        <f t="shared" si="0"/>
        <v>18.550000000000008</v>
      </c>
      <c r="Q14" s="77">
        <f t="shared" si="0"/>
        <v>18.550000000000008</v>
      </c>
      <c r="R14" s="77">
        <f t="shared" si="0"/>
        <v>18.550000000000008</v>
      </c>
      <c r="S14" s="77">
        <f t="shared" si="0"/>
        <v>18.550000000000008</v>
      </c>
      <c r="T14" s="77">
        <f t="shared" si="0"/>
        <v>18.550000000000008</v>
      </c>
      <c r="U14" s="77">
        <f t="shared" si="0"/>
        <v>18.550000000000008</v>
      </c>
      <c r="V14" s="77">
        <f t="shared" si="0"/>
        <v>0</v>
      </c>
      <c r="W14" s="77">
        <f t="shared" si="0"/>
        <v>0</v>
      </c>
      <c r="X14" s="77">
        <f t="shared" si="0"/>
        <v>0</v>
      </c>
      <c r="Y14" s="77">
        <f t="shared" si="0"/>
        <v>0</v>
      </c>
      <c r="Z14" s="77">
        <f t="shared" si="0"/>
        <v>0</v>
      </c>
      <c r="AA14" s="77">
        <f t="shared" si="0"/>
        <v>0</v>
      </c>
      <c r="AB14" s="77">
        <f t="shared" si="0"/>
        <v>0</v>
      </c>
      <c r="AC14" s="77">
        <f t="shared" si="0"/>
        <v>0</v>
      </c>
      <c r="AD14" s="77">
        <f t="shared" si="0"/>
        <v>0</v>
      </c>
      <c r="AE14" s="77">
        <f t="shared" si="0"/>
        <v>0</v>
      </c>
      <c r="AF14" s="77">
        <f t="shared" si="0"/>
        <v>0</v>
      </c>
      <c r="AG14" s="77">
        <f t="shared" si="0"/>
        <v>0</v>
      </c>
      <c r="AH14" s="77">
        <f t="shared" si="0"/>
        <v>0</v>
      </c>
      <c r="AI14" s="77">
        <f t="shared" si="0"/>
        <v>0</v>
      </c>
      <c r="AJ14" s="77">
        <f t="shared" si="0"/>
        <v>0</v>
      </c>
    </row>
    <row r="15" spans="2:36" s="27" customFormat="1" ht="15">
      <c r="B15" s="34" t="s">
        <v>91</v>
      </c>
      <c r="C15" s="34"/>
      <c r="D15" s="34"/>
      <c r="E15" s="64" t="s">
        <v>0</v>
      </c>
      <c r="F15" s="34"/>
      <c r="G15" s="35">
        <f>(G$14*G$5)/100</f>
        <v>606659.2000000004</v>
      </c>
      <c r="H15" s="35">
        <f aca="true" t="shared" si="1" ref="H15:AJ15">(H$14*H$5)/100</f>
        <v>603625.9040000003</v>
      </c>
      <c r="I15" s="35">
        <f t="shared" si="1"/>
        <v>600607.7744800004</v>
      </c>
      <c r="J15" s="35">
        <f t="shared" si="1"/>
        <v>597604.7356076003</v>
      </c>
      <c r="K15" s="35">
        <f t="shared" si="1"/>
        <v>594616.7119295624</v>
      </c>
      <c r="L15" s="35">
        <f t="shared" si="1"/>
        <v>591643.6283699146</v>
      </c>
      <c r="M15" s="35">
        <f t="shared" si="1"/>
        <v>588685.410228065</v>
      </c>
      <c r="N15" s="35">
        <f t="shared" si="1"/>
        <v>585741.9831769246</v>
      </c>
      <c r="O15" s="35">
        <f t="shared" si="1"/>
        <v>582813.2732610401</v>
      </c>
      <c r="P15" s="35">
        <f t="shared" si="1"/>
        <v>579899.2068947348</v>
      </c>
      <c r="Q15" s="35">
        <f t="shared" si="1"/>
        <v>576999.7108602611</v>
      </c>
      <c r="R15" s="35">
        <f t="shared" si="1"/>
        <v>574114.7123059598</v>
      </c>
      <c r="S15" s="35">
        <f t="shared" si="1"/>
        <v>571244.1387444299</v>
      </c>
      <c r="T15" s="35">
        <f t="shared" si="1"/>
        <v>568387.9180507078</v>
      </c>
      <c r="U15" s="35">
        <f t="shared" si="1"/>
        <v>565545.9784604544</v>
      </c>
      <c r="V15" s="35">
        <f t="shared" si="1"/>
        <v>0</v>
      </c>
      <c r="W15" s="35">
        <f t="shared" si="1"/>
        <v>0</v>
      </c>
      <c r="X15" s="35">
        <f t="shared" si="1"/>
        <v>0</v>
      </c>
      <c r="Y15" s="35">
        <f t="shared" si="1"/>
        <v>0</v>
      </c>
      <c r="Z15" s="35">
        <f t="shared" si="1"/>
        <v>0</v>
      </c>
      <c r="AA15" s="35">
        <f t="shared" si="1"/>
        <v>0</v>
      </c>
      <c r="AB15" s="35">
        <f t="shared" si="1"/>
        <v>0</v>
      </c>
      <c r="AC15" s="35">
        <f t="shared" si="1"/>
        <v>0</v>
      </c>
      <c r="AD15" s="35">
        <f t="shared" si="1"/>
        <v>0</v>
      </c>
      <c r="AE15" s="35">
        <f t="shared" si="1"/>
        <v>0</v>
      </c>
      <c r="AF15" s="35">
        <f t="shared" si="1"/>
        <v>0</v>
      </c>
      <c r="AG15" s="35">
        <f t="shared" si="1"/>
        <v>0</v>
      </c>
      <c r="AH15" s="35">
        <f t="shared" si="1"/>
        <v>0</v>
      </c>
      <c r="AI15" s="35">
        <f t="shared" si="1"/>
        <v>0</v>
      </c>
      <c r="AJ15" s="35">
        <f t="shared" si="1"/>
        <v>0</v>
      </c>
    </row>
    <row r="16" spans="2:36" s="27" customFormat="1" ht="15">
      <c r="B16" s="34" t="s">
        <v>179</v>
      </c>
      <c r="C16" s="34"/>
      <c r="D16" s="34"/>
      <c r="E16" s="66" t="s">
        <v>50</v>
      </c>
      <c r="F16" s="34"/>
      <c r="G16" s="77">
        <f>IF('CREST Inputs'!$Q$8='CREST Inputs'!$G$15,0,IF('CREST Inputs'!$Q$13="Year One",'CREST Inputs'!$Q$14,0))</f>
        <v>2.3558726403788617</v>
      </c>
      <c r="H16" s="77">
        <f>IF(H$2&gt;'CREST Inputs'!$G$15,0,IF('CREST Inputs'!$Q$13="Year One",G$16*(1+'CREST Inputs'!$Q$15),0))</f>
        <v>2.402990093186439</v>
      </c>
      <c r="I16" s="77">
        <f>IF(I$2&gt;'CREST Inputs'!$G$15,0,IF('CREST Inputs'!$Q$13="Year One",H$16*(1+'CREST Inputs'!$Q$15),0))</f>
        <v>2.4510498950501676</v>
      </c>
      <c r="J16" s="77">
        <f>IF(J$2&gt;'CREST Inputs'!$G$15,0,IF('CREST Inputs'!$Q$13="Year One",I$16*(1+'CREST Inputs'!$Q$15),0))</f>
        <v>2.500070892951171</v>
      </c>
      <c r="K16" s="77">
        <f>IF(K$2&gt;'CREST Inputs'!$G$15,0,IF('CREST Inputs'!$Q$13="Year One",J$16*(1+'CREST Inputs'!$Q$15),0))</f>
        <v>2.550072310810194</v>
      </c>
      <c r="L16" s="77">
        <f>IF(L$2&gt;'CREST Inputs'!$G$15,0,IF('CREST Inputs'!$Q$13="Year One",K$16*(1+'CREST Inputs'!$Q$15),0))</f>
        <v>2.601073757026398</v>
      </c>
      <c r="M16" s="77">
        <f>IF(M$2&gt;'CREST Inputs'!$G$15,0,IF('CREST Inputs'!$Q$13="Year One",L$16*(1+'CREST Inputs'!$Q$15),0))</f>
        <v>2.653095232166926</v>
      </c>
      <c r="N16" s="77">
        <f>IF(N$2&gt;'CREST Inputs'!$G$15,0,IF('CREST Inputs'!$Q$13="Year One",M$16*(1+'CREST Inputs'!$Q$15),0))</f>
        <v>2.7061571368102646</v>
      </c>
      <c r="O16" s="77">
        <f>IF(O$2&gt;'CREST Inputs'!$G$15,0,IF('CREST Inputs'!$Q$13="Year One",N$16*(1+'CREST Inputs'!$Q$15),0))</f>
        <v>2.76028027954647</v>
      </c>
      <c r="P16" s="77">
        <f>IF(P$2&gt;'CREST Inputs'!$G$15,0,IF('CREST Inputs'!$Q$13="Year One",O$16*(1+'CREST Inputs'!$Q$15),0))</f>
        <v>2.815485885137399</v>
      </c>
      <c r="Q16" s="77">
        <f>IF(Q$2&gt;'CREST Inputs'!$G$15,0,IF('CREST Inputs'!$Q$13="Year One",P$16*(1+'CREST Inputs'!$Q$15),0))</f>
        <v>2.8717956028401472</v>
      </c>
      <c r="R16" s="77">
        <f>IF(R$2&gt;'CREST Inputs'!$G$15,0,IF('CREST Inputs'!$Q$13="Year One",Q$16*(1+'CREST Inputs'!$Q$15),0))</f>
        <v>2.92923151489695</v>
      </c>
      <c r="S16" s="77">
        <f>IF(S$2&gt;'CREST Inputs'!$G$15,0,IF('CREST Inputs'!$Q$13="Year One",R$16*(1+'CREST Inputs'!$Q$15),0))</f>
        <v>2.987816145194889</v>
      </c>
      <c r="T16" s="77">
        <f>IF(T$2&gt;'CREST Inputs'!$G$15,0,IF('CREST Inputs'!$Q$13="Year One",S$16*(1+'CREST Inputs'!$Q$15),0))</f>
        <v>3.047572468098787</v>
      </c>
      <c r="U16" s="77">
        <f>IF(U$2&gt;'CREST Inputs'!$G$15,0,IF('CREST Inputs'!$Q$13="Year One",T$16*(1+'CREST Inputs'!$Q$15),0))</f>
        <v>3.108523917460763</v>
      </c>
      <c r="V16" s="77">
        <f>IF(V$2&gt;'CREST Inputs'!$G$15,0,IF('CREST Inputs'!$Q$13="Year One",U$16*(1+'CREST Inputs'!$Q$15),0))</f>
        <v>3.1706943958099782</v>
      </c>
      <c r="W16" s="77">
        <f>IF(W$2&gt;'CREST Inputs'!$G$15,0,IF('CREST Inputs'!$Q$13="Year One",V$16*(1+'CREST Inputs'!$Q$15),0))</f>
        <v>3.234108283726178</v>
      </c>
      <c r="X16" s="77">
        <f>IF(X$2&gt;'CREST Inputs'!$G$15,0,IF('CREST Inputs'!$Q$13="Year One",W$16*(1+'CREST Inputs'!$Q$15),0))</f>
        <v>3.298790449400702</v>
      </c>
      <c r="Y16" s="77">
        <f>IF(Y$2&gt;'CREST Inputs'!$G$15,0,IF('CREST Inputs'!$Q$13="Year One",X$16*(1+'CREST Inputs'!$Q$15),0))</f>
        <v>3.364766258388716</v>
      </c>
      <c r="Z16" s="77">
        <f>IF(Z$2&gt;'CREST Inputs'!$G$15,0,IF('CREST Inputs'!$Q$13="Year One",Y$16*(1+'CREST Inputs'!$Q$15),0))</f>
        <v>3.4320615835564907</v>
      </c>
      <c r="AA16" s="77">
        <f>IF(AA$2&gt;'CREST Inputs'!$G$15,0,IF('CREST Inputs'!$Q$13="Year One",Z$16*(1+'CREST Inputs'!$Q$15),0))</f>
        <v>3.5007028152276205</v>
      </c>
      <c r="AB16" s="77">
        <f>IF(AB$2&gt;'CREST Inputs'!$G$15,0,IF('CREST Inputs'!$Q$13="Year One",AA$16*(1+'CREST Inputs'!$Q$15),0))</f>
        <v>3.570716871532173</v>
      </c>
      <c r="AC16" s="77">
        <f>IF(AC$2&gt;'CREST Inputs'!$G$15,0,IF('CREST Inputs'!$Q$13="Year One",AB$16*(1+'CREST Inputs'!$Q$15),0))</f>
        <v>3.642131208962817</v>
      </c>
      <c r="AD16" s="77">
        <f>IF(AD$2&gt;'CREST Inputs'!$G$15,0,IF('CREST Inputs'!$Q$13="Year One",AC$16*(1+'CREST Inputs'!$Q$15),0))</f>
        <v>3.714973833142073</v>
      </c>
      <c r="AE16" s="77">
        <f>IF(AE$2&gt;'CREST Inputs'!$G$15,0,IF('CREST Inputs'!$Q$13="Year One",AD$16*(1+'CREST Inputs'!$Q$15),0))</f>
        <v>3.7892733098049147</v>
      </c>
      <c r="AF16" s="77">
        <f>IF(AF$2&gt;'CREST Inputs'!$G$15,0,IF('CREST Inputs'!$Q$13="Year One",AE$16*(1+'CREST Inputs'!$Q$15),0))</f>
        <v>0</v>
      </c>
      <c r="AG16" s="77">
        <f>IF(AG$2&gt;'CREST Inputs'!$G$15,0,IF('CREST Inputs'!$Q$13="Year One",AF$16*(1+'CREST Inputs'!$Q$15),0))</f>
        <v>0</v>
      </c>
      <c r="AH16" s="77">
        <f>IF(AH$2&gt;'CREST Inputs'!$G$15,0,IF('CREST Inputs'!$Q$13="Year One",AG$16*(1+'CREST Inputs'!$Q$15),0))</f>
        <v>0</v>
      </c>
      <c r="AI16" s="77">
        <f>IF(AI$2&gt;'CREST Inputs'!$G$15,0,IF('CREST Inputs'!$Q$13="Year One",AH$16*(1+'CREST Inputs'!$Q$15),0))</f>
        <v>0</v>
      </c>
      <c r="AJ16" s="77">
        <f>IF(AJ$2&gt;'CREST Inputs'!$G$15,0,IF('CREST Inputs'!$Q$13="Year One",AI$16*(1+'CREST Inputs'!$Q$15),0))</f>
        <v>0</v>
      </c>
    </row>
    <row r="17" spans="2:36" s="27" customFormat="1" ht="15">
      <c r="B17" s="34" t="s">
        <v>178</v>
      </c>
      <c r="C17" s="34"/>
      <c r="D17" s="34"/>
      <c r="E17" s="64" t="s">
        <v>0</v>
      </c>
      <c r="F17" s="34"/>
      <c r="G17" s="35">
        <f>IF(G$2&lt;='CREST Inputs'!$Q$8,0,IF(G$2&gt;'CREST Inputs'!$G$15,0,(G$16*G$5)/100))</f>
        <v>0</v>
      </c>
      <c r="H17" s="35">
        <f>IF(H$2&lt;='CREST Inputs'!$Q$8,0,IF(H$2&gt;'CREST Inputs'!$G$15,0,(H$16*H$5)/100))</f>
        <v>0</v>
      </c>
      <c r="I17" s="35">
        <f>IF(I$2&lt;='CREST Inputs'!$Q$8,0,IF(I$2&gt;'CREST Inputs'!$G$15,0,(I$16*I$5)/100))</f>
        <v>0</v>
      </c>
      <c r="J17" s="35">
        <f>IF(J$2&lt;='CREST Inputs'!$Q$8,0,IF(J$2&gt;'CREST Inputs'!$G$15,0,(J$16*J$5)/100))</f>
        <v>0</v>
      </c>
      <c r="K17" s="35">
        <f>IF(K$2&lt;='CREST Inputs'!$Q$8,0,IF(K$2&gt;'CREST Inputs'!$G$15,0,(K$16*K$5)/100))</f>
        <v>0</v>
      </c>
      <c r="L17" s="35">
        <f>IF(L$2&lt;='CREST Inputs'!$Q$8,0,IF(L$2&gt;'CREST Inputs'!$G$15,0,(L$16*L$5)/100))</f>
        <v>0</v>
      </c>
      <c r="M17" s="35">
        <f>IF(M$2&lt;='CREST Inputs'!$Q$8,0,IF(M$2&gt;'CREST Inputs'!$G$15,0,(M$16*M$5)/100))</f>
        <v>0</v>
      </c>
      <c r="N17" s="35">
        <f>IF(N$2&lt;='CREST Inputs'!$Q$8,0,IF(N$2&gt;'CREST Inputs'!$G$15,0,(N$16*N$5)/100))</f>
        <v>0</v>
      </c>
      <c r="O17" s="35">
        <f>IF(O$2&lt;='CREST Inputs'!$Q$8,0,IF(O$2&gt;'CREST Inputs'!$G$15,0,(O$16*O$5)/100))</f>
        <v>0</v>
      </c>
      <c r="P17" s="35">
        <f>IF(P$2&lt;='CREST Inputs'!$Q$8,0,IF(P$2&gt;'CREST Inputs'!$G$15,0,(P$16*P$5)/100))</f>
        <v>0</v>
      </c>
      <c r="Q17" s="35">
        <f>IF(Q$2&lt;='CREST Inputs'!$Q$8,0,IF(Q$2&gt;'CREST Inputs'!$G$15,0,(Q$16*Q$5)/100))</f>
        <v>0</v>
      </c>
      <c r="R17" s="35">
        <f>IF(R$2&lt;='CREST Inputs'!$Q$8,0,IF(R$2&gt;'CREST Inputs'!$G$15,0,(R$16*R$5)/100))</f>
        <v>0</v>
      </c>
      <c r="S17" s="35">
        <f>IF(S$2&lt;='CREST Inputs'!$Q$8,0,IF(S$2&gt;'CREST Inputs'!$G$15,0,(S$16*S$5)/100))</f>
        <v>0</v>
      </c>
      <c r="T17" s="35">
        <f>IF(T$2&lt;='CREST Inputs'!$Q$8,0,IF(T$2&gt;'CREST Inputs'!$G$15,0,(T$16*T$5)/100))</f>
        <v>0</v>
      </c>
      <c r="U17" s="35">
        <f>IF(U$2&lt;='CREST Inputs'!$Q$8,0,IF(U$2&gt;'CREST Inputs'!$G$15,0,(U$16*U$5)/100))</f>
        <v>0</v>
      </c>
      <c r="V17" s="35">
        <f>IF(V$2&lt;='CREST Inputs'!$Q$8,0,IF(V$2&gt;'CREST Inputs'!$G$15,0,(V$16*V$5)/100))</f>
        <v>96183.6979598407</v>
      </c>
      <c r="W17" s="35">
        <f>IF(W$2&lt;='CREST Inputs'!$Q$8,0,IF(W$2&gt;'CREST Inputs'!$G$15,0,(W$16*W$5)/100))</f>
        <v>97616.83505944235</v>
      </c>
      <c r="X17" s="35">
        <f>IF(X$2&lt;='CREST Inputs'!$Q$8,0,IF(X$2&gt;'CREST Inputs'!$G$15,0,(X$16*X$5)/100))</f>
        <v>99071.32590182804</v>
      </c>
      <c r="Y17" s="35">
        <f>IF(Y$2&lt;='CREST Inputs'!$Q$8,0,IF(Y$2&gt;'CREST Inputs'!$G$15,0,(Y$16*Y$5)/100))</f>
        <v>100547.48865776528</v>
      </c>
      <c r="Z17" s="35">
        <f>IF(Z$2&lt;='CREST Inputs'!$Q$8,0,IF(Z$2&gt;'CREST Inputs'!$G$15,0,(Z$16*Z$5)/100))</f>
        <v>102045.646238766</v>
      </c>
      <c r="AA17" s="35">
        <f>IF(AA$2&lt;='CREST Inputs'!$Q$8,0,IF(AA$2&gt;'CREST Inputs'!$G$15,0,(AA$16*AA$5)/100))</f>
        <v>103566.12636772361</v>
      </c>
      <c r="AB17" s="35">
        <f>IF(AB$2&lt;='CREST Inputs'!$Q$8,0,IF(AB$2&gt;'CREST Inputs'!$G$15,0,(AB$16*AB$5)/100))</f>
        <v>105109.26165060268</v>
      </c>
      <c r="AC17" s="35">
        <f>IF(AC$2&lt;='CREST Inputs'!$Q$8,0,IF(AC$2&gt;'CREST Inputs'!$G$15,0,(AC$16*AC$5)/100))</f>
        <v>106675.3896491967</v>
      </c>
      <c r="AD17" s="35">
        <f>IF(AD$2&lt;='CREST Inputs'!$Q$8,0,IF(AD$2&gt;'CREST Inputs'!$G$15,0,(AD$16*AD$5)/100))</f>
        <v>108264.85295496973</v>
      </c>
      <c r="AE17" s="35">
        <f>IF(AE$2&lt;='CREST Inputs'!$Q$8,0,IF(AE$2&gt;'CREST Inputs'!$G$15,0,(AE$16*AE$5)/100))</f>
        <v>109877.99926399876</v>
      </c>
      <c r="AF17" s="35">
        <f>IF(AF$2&lt;='CREST Inputs'!$Q$8,0,IF(AF$2&gt;'CREST Inputs'!$G$15,0,(AF$16*AF$5)/100))</f>
        <v>0</v>
      </c>
      <c r="AG17" s="35">
        <f>IF(AG$2&lt;='CREST Inputs'!$Q$8,0,IF(AG$2&gt;'CREST Inputs'!$G$15,0,(AG$16*AG$5)/100))</f>
        <v>0</v>
      </c>
      <c r="AH17" s="35">
        <f>IF(AH$2&lt;='CREST Inputs'!$Q$8,0,IF(AH$2&gt;'CREST Inputs'!$G$15,0,(AH$16*AH$5)/100))</f>
        <v>0</v>
      </c>
      <c r="AI17" s="35">
        <f>IF(AI$2&lt;='CREST Inputs'!$Q$8,0,IF(AI$2&gt;'CREST Inputs'!$G$15,0,(AI$16*AI$5)/100))</f>
        <v>0</v>
      </c>
      <c r="AJ17" s="35">
        <f>IF(AJ$2&lt;='CREST Inputs'!$Q$8,0,IF(AJ$2&gt;'CREST Inputs'!$G$15,0,(AJ$16*AJ$5)/100))</f>
        <v>0</v>
      </c>
    </row>
    <row r="18" spans="2:36" s="27" customFormat="1" ht="15">
      <c r="B18" s="34" t="s">
        <v>92</v>
      </c>
      <c r="C18" s="34"/>
      <c r="D18" s="34"/>
      <c r="E18" s="66" t="s">
        <v>50</v>
      </c>
      <c r="F18" s="34"/>
      <c r="G18" s="77">
        <f>IF(OR('CREST Inputs'!$Q$19="Cost-Based",'CREST Inputs'!$Q$19="Neither"),0,IF(AND('CREST Inputs'!$Q$24="Cash",G$2&lt;='CREST Inputs'!$Q$27),'CREST Inputs'!$Q$25*G$9,0))</f>
        <v>0</v>
      </c>
      <c r="H18" s="77">
        <f>IF(OR('CREST Inputs'!$Q$19="Cost-Based",'CREST Inputs'!$Q$19="Neither"),0,IF(AND('CREST Inputs'!$Q$24="Cash",H$2&lt;='CREST Inputs'!$Q$27),'CREST Inputs'!$Q$25*H$9,0))</f>
        <v>0</v>
      </c>
      <c r="I18" s="77">
        <f>IF(OR('CREST Inputs'!$Q$19="Cost-Based",'CREST Inputs'!$Q$19="Neither"),0,IF(AND('CREST Inputs'!$Q$24="Cash",I$2&lt;='CREST Inputs'!$Q$27),'CREST Inputs'!$Q$25*I$9,0))</f>
        <v>0</v>
      </c>
      <c r="J18" s="77">
        <f>IF(OR('CREST Inputs'!$Q$19="Cost-Based",'CREST Inputs'!$Q$19="Neither"),0,IF(AND('CREST Inputs'!$Q$24="Cash",J$2&lt;='CREST Inputs'!$Q$27),'CREST Inputs'!$Q$25*J$9,0))</f>
        <v>0</v>
      </c>
      <c r="K18" s="77">
        <f>IF(OR('CREST Inputs'!$Q$19="Cost-Based",'CREST Inputs'!$Q$19="Neither"),0,IF(AND('CREST Inputs'!$Q$24="Cash",K$2&lt;='CREST Inputs'!$Q$27),'CREST Inputs'!$Q$25*K$9,0))</f>
        <v>0</v>
      </c>
      <c r="L18" s="77">
        <f>IF(OR('CREST Inputs'!$Q$19="Cost-Based",'CREST Inputs'!$Q$19="Neither"),0,IF(AND('CREST Inputs'!$Q$24="Cash",L$2&lt;='CREST Inputs'!$Q$27),'CREST Inputs'!$Q$25*L$9,0))</f>
        <v>0</v>
      </c>
      <c r="M18" s="77">
        <f>IF(OR('CREST Inputs'!$Q$19="Cost-Based",'CREST Inputs'!$Q$19="Neither"),0,IF(AND('CREST Inputs'!$Q$24="Cash",M$2&lt;='CREST Inputs'!$Q$27),'CREST Inputs'!$Q$25*M$9,0))</f>
        <v>0</v>
      </c>
      <c r="N18" s="77">
        <f>IF(OR('CREST Inputs'!$Q$19="Cost-Based",'CREST Inputs'!$Q$19="Neither"),0,IF(AND('CREST Inputs'!$Q$24="Cash",N$2&lt;='CREST Inputs'!$Q$27),'CREST Inputs'!$Q$25*N$9,0))</f>
        <v>0</v>
      </c>
      <c r="O18" s="77">
        <f>IF(OR('CREST Inputs'!$Q$19="Cost-Based",'CREST Inputs'!$Q$19="Neither"),0,IF(AND('CREST Inputs'!$Q$24="Cash",O$2&lt;='CREST Inputs'!$Q$27),'CREST Inputs'!$Q$25*O$9,0))</f>
        <v>0</v>
      </c>
      <c r="P18" s="77">
        <f>IF(OR('CREST Inputs'!$Q$19="Cost-Based",'CREST Inputs'!$Q$19="Neither"),0,IF(AND('CREST Inputs'!$Q$24="Cash",P$2&lt;='CREST Inputs'!$Q$27),'CREST Inputs'!$Q$25*P$9,0))</f>
        <v>0</v>
      </c>
      <c r="Q18" s="77">
        <f>IF(OR('CREST Inputs'!$Q$19="Cost-Based",'CREST Inputs'!$Q$19="Neither"),0,IF(AND('CREST Inputs'!$Q$24="Cash",Q$2&lt;='CREST Inputs'!$Q$27),'CREST Inputs'!$Q$25*Q$9,0))</f>
        <v>0</v>
      </c>
      <c r="R18" s="77">
        <f>IF(OR('CREST Inputs'!$Q$19="Cost-Based",'CREST Inputs'!$Q$19="Neither"),0,IF(AND('CREST Inputs'!$Q$24="Cash",R$2&lt;='CREST Inputs'!$Q$27),'CREST Inputs'!$Q$25*R$9,0))</f>
        <v>0</v>
      </c>
      <c r="S18" s="77">
        <f>IF(OR('CREST Inputs'!$Q$19="Cost-Based",'CREST Inputs'!$Q$19="Neither"),0,IF(AND('CREST Inputs'!$Q$24="Cash",S$2&lt;='CREST Inputs'!$Q$27),'CREST Inputs'!$Q$25*S$9,0))</f>
        <v>0</v>
      </c>
      <c r="T18" s="77">
        <f>IF(OR('CREST Inputs'!$Q$19="Cost-Based",'CREST Inputs'!$Q$19="Neither"),0,IF(AND('CREST Inputs'!$Q$24="Cash",T$2&lt;='CREST Inputs'!$Q$27),'CREST Inputs'!$Q$25*T$9,0))</f>
        <v>0</v>
      </c>
      <c r="U18" s="77">
        <f>IF(OR('CREST Inputs'!$Q$19="Cost-Based",'CREST Inputs'!$Q$19="Neither"),0,IF(AND('CREST Inputs'!$Q$24="Cash",U$2&lt;='CREST Inputs'!$Q$27),'CREST Inputs'!$Q$25*U$9,0))</f>
        <v>0</v>
      </c>
      <c r="V18" s="77">
        <f>IF(OR('CREST Inputs'!$Q$19="Cost-Based",'CREST Inputs'!$Q$19="Neither"),0,IF(AND('CREST Inputs'!$Q$24="Cash",V$2&lt;='CREST Inputs'!$Q$27),'CREST Inputs'!$Q$25*V$9,0))</f>
        <v>0</v>
      </c>
      <c r="W18" s="77">
        <f>IF(OR('CREST Inputs'!$Q$19="Cost-Based",'CREST Inputs'!$Q$19="Neither"),0,IF(AND('CREST Inputs'!$Q$24="Cash",W$2&lt;='CREST Inputs'!$Q$27),'CREST Inputs'!$Q$25*W$9,0))</f>
        <v>0</v>
      </c>
      <c r="X18" s="77">
        <f>IF(OR('CREST Inputs'!$Q$19="Cost-Based",'CREST Inputs'!$Q$19="Neither"),0,IF(AND('CREST Inputs'!$Q$24="Cash",X$2&lt;='CREST Inputs'!$Q$27),'CREST Inputs'!$Q$25*X$9,0))</f>
        <v>0</v>
      </c>
      <c r="Y18" s="77">
        <f>IF(OR('CREST Inputs'!$Q$19="Cost-Based",'CREST Inputs'!$Q$19="Neither"),0,IF(AND('CREST Inputs'!$Q$24="Cash",Y$2&lt;='CREST Inputs'!$Q$27),'CREST Inputs'!$Q$25*Y$9,0))</f>
        <v>0</v>
      </c>
      <c r="Z18" s="77">
        <f>IF(OR('CREST Inputs'!$Q$19="Cost-Based",'CREST Inputs'!$Q$19="Neither"),0,IF(AND('CREST Inputs'!$Q$24="Cash",Z$2&lt;='CREST Inputs'!$Q$27),'CREST Inputs'!$Q$25*Z$9,0))</f>
        <v>0</v>
      </c>
      <c r="AA18" s="77">
        <f>IF(OR('CREST Inputs'!$Q$19="Cost-Based",'CREST Inputs'!$Q$19="Neither"),0,IF(AND('CREST Inputs'!$Q$24="Cash",AA$2&lt;='CREST Inputs'!$Q$27),'CREST Inputs'!$Q$25*AA$9,0))</f>
        <v>0</v>
      </c>
      <c r="AB18" s="77">
        <f>IF(OR('CREST Inputs'!$Q$19="Cost-Based",'CREST Inputs'!$Q$19="Neither"),0,IF(AND('CREST Inputs'!$Q$24="Cash",AB$2&lt;='CREST Inputs'!$Q$27),'CREST Inputs'!$Q$25*AB$9,0))</f>
        <v>0</v>
      </c>
      <c r="AC18" s="77">
        <f>IF(OR('CREST Inputs'!$Q$19="Cost-Based",'CREST Inputs'!$Q$19="Neither"),0,IF(AND('CREST Inputs'!$Q$24="Cash",AC$2&lt;='CREST Inputs'!$Q$27),'CREST Inputs'!$Q$25*AC$9,0))</f>
        <v>0</v>
      </c>
      <c r="AD18" s="77">
        <f>IF(OR('CREST Inputs'!$Q$19="Cost-Based",'CREST Inputs'!$Q$19="Neither"),0,IF(AND('CREST Inputs'!$Q$24="Cash",AD$2&lt;='CREST Inputs'!$Q$27),'CREST Inputs'!$Q$25*AD$9,0))</f>
        <v>0</v>
      </c>
      <c r="AE18" s="77">
        <f>IF(OR('CREST Inputs'!$Q$19="Cost-Based",'CREST Inputs'!$Q$19="Neither"),0,IF(AND('CREST Inputs'!$Q$24="Cash",AE$2&lt;='CREST Inputs'!$Q$27),'CREST Inputs'!$Q$25*AE$9,0))</f>
        <v>0</v>
      </c>
      <c r="AF18" s="77">
        <f>IF(OR('CREST Inputs'!$Q$19="Cost-Based",'CREST Inputs'!$Q$19="Neither"),0,IF(AND('CREST Inputs'!$Q$24="Cash",AF$2&lt;='CREST Inputs'!$Q$27),'CREST Inputs'!$Q$25*AF$9,0))</f>
        <v>0</v>
      </c>
      <c r="AG18" s="77">
        <f>IF(OR('CREST Inputs'!$Q$19="Cost-Based",'CREST Inputs'!$Q$19="Neither"),0,IF(AND('CREST Inputs'!$Q$24="Cash",AG$2&lt;='CREST Inputs'!$Q$27),'CREST Inputs'!$Q$25*AG$9,0))</f>
        <v>0</v>
      </c>
      <c r="AH18" s="77">
        <f>IF(OR('CREST Inputs'!$Q$19="Cost-Based",'CREST Inputs'!$Q$19="Neither"),0,IF(AND('CREST Inputs'!$Q$24="Cash",AH$2&lt;='CREST Inputs'!$Q$27),'CREST Inputs'!$Q$25*AH$9,0))</f>
        <v>0</v>
      </c>
      <c r="AI18" s="77">
        <f>IF(OR('CREST Inputs'!$Q$19="Cost-Based",'CREST Inputs'!$Q$19="Neither"),0,IF(AND('CREST Inputs'!$Q$24="Cash",AI$2&lt;='CREST Inputs'!$Q$27),'CREST Inputs'!$Q$25*AI$9,0))</f>
        <v>0</v>
      </c>
      <c r="AJ18" s="77">
        <f>IF(OR('CREST Inputs'!$Q$19="Cost-Based",'CREST Inputs'!$Q$19="Neither"),0,IF(AND('CREST Inputs'!$Q$24="Cash",AJ$2&lt;='CREST Inputs'!$Q$27),'CREST Inputs'!$Q$25*AJ$9,0))</f>
        <v>0</v>
      </c>
    </row>
    <row r="19" spans="2:36" s="27" customFormat="1" ht="15">
      <c r="B19" s="34" t="s">
        <v>93</v>
      </c>
      <c r="C19" s="34"/>
      <c r="D19" s="34"/>
      <c r="E19" s="64" t="s">
        <v>0</v>
      </c>
      <c r="F19" s="34"/>
      <c r="G19" s="35">
        <f>(G$18*G$5)/100</f>
        <v>0</v>
      </c>
      <c r="H19" s="35">
        <f aca="true" t="shared" si="2" ref="H19:AJ19">(H$18*H$5)/100</f>
        <v>0</v>
      </c>
      <c r="I19" s="35">
        <f t="shared" si="2"/>
        <v>0</v>
      </c>
      <c r="J19" s="35">
        <f t="shared" si="2"/>
        <v>0</v>
      </c>
      <c r="K19" s="35">
        <f t="shared" si="2"/>
        <v>0</v>
      </c>
      <c r="L19" s="35">
        <f t="shared" si="2"/>
        <v>0</v>
      </c>
      <c r="M19" s="35">
        <f t="shared" si="2"/>
        <v>0</v>
      </c>
      <c r="N19" s="35">
        <f t="shared" si="2"/>
        <v>0</v>
      </c>
      <c r="O19" s="35">
        <f t="shared" si="2"/>
        <v>0</v>
      </c>
      <c r="P19" s="35">
        <f t="shared" si="2"/>
        <v>0</v>
      </c>
      <c r="Q19" s="35">
        <f t="shared" si="2"/>
        <v>0</v>
      </c>
      <c r="R19" s="35">
        <f t="shared" si="2"/>
        <v>0</v>
      </c>
      <c r="S19" s="35">
        <f t="shared" si="2"/>
        <v>0</v>
      </c>
      <c r="T19" s="35">
        <f t="shared" si="2"/>
        <v>0</v>
      </c>
      <c r="U19" s="35">
        <f t="shared" si="2"/>
        <v>0</v>
      </c>
      <c r="V19" s="35">
        <f t="shared" si="2"/>
        <v>0</v>
      </c>
      <c r="W19" s="35">
        <f t="shared" si="2"/>
        <v>0</v>
      </c>
      <c r="X19" s="35">
        <f t="shared" si="2"/>
        <v>0</v>
      </c>
      <c r="Y19" s="35">
        <f t="shared" si="2"/>
        <v>0</v>
      </c>
      <c r="Z19" s="35">
        <f t="shared" si="2"/>
        <v>0</v>
      </c>
      <c r="AA19" s="35">
        <f t="shared" si="2"/>
        <v>0</v>
      </c>
      <c r="AB19" s="35">
        <f t="shared" si="2"/>
        <v>0</v>
      </c>
      <c r="AC19" s="35">
        <f t="shared" si="2"/>
        <v>0</v>
      </c>
      <c r="AD19" s="35">
        <f t="shared" si="2"/>
        <v>0</v>
      </c>
      <c r="AE19" s="35">
        <f t="shared" si="2"/>
        <v>0</v>
      </c>
      <c r="AF19" s="35">
        <f t="shared" si="2"/>
        <v>0</v>
      </c>
      <c r="AG19" s="35">
        <f t="shared" si="2"/>
        <v>0</v>
      </c>
      <c r="AH19" s="35">
        <f t="shared" si="2"/>
        <v>0</v>
      </c>
      <c r="AI19" s="35">
        <f t="shared" si="2"/>
        <v>0</v>
      </c>
      <c r="AJ19" s="35">
        <f t="shared" si="2"/>
        <v>0</v>
      </c>
    </row>
    <row r="20" spans="2:36" s="36" customFormat="1" ht="15">
      <c r="B20" s="34" t="s">
        <v>94</v>
      </c>
      <c r="C20" s="34"/>
      <c r="D20" s="34"/>
      <c r="E20" s="66" t="s">
        <v>50</v>
      </c>
      <c r="F20" s="34"/>
      <c r="G20" s="77">
        <f>IF(OR('CREST Inputs'!$Q$33="Cost-Based",'CREST Inputs'!$Q$33="Neither"),0,IF(AND('CREST Inputs'!$Q$38="Cash",G$2&lt;='CREST Inputs'!$Q$43),'CREST Inputs'!$Q$41*G$10*'CREST Inputs'!$Q$42,0))</f>
        <v>0</v>
      </c>
      <c r="H20" s="77">
        <f>IF(OR('CREST Inputs'!$Q$33="Cost-Based",'CREST Inputs'!$Q$33="Neither"),0,IF(AND('CREST Inputs'!$Q$38="Cash",H$2&lt;='CREST Inputs'!$Q$43),'CREST Inputs'!$Q$41*H$10*'CREST Inputs'!$Q$42,0))</f>
        <v>0</v>
      </c>
      <c r="I20" s="77">
        <f>IF(OR('CREST Inputs'!$Q$33="Cost-Based",'CREST Inputs'!$Q$33="Neither"),0,IF(AND('CREST Inputs'!$Q$38="Cash",I$2&lt;='CREST Inputs'!$Q$43),'CREST Inputs'!$Q$41*I$10*'CREST Inputs'!$Q$42,0))</f>
        <v>0</v>
      </c>
      <c r="J20" s="77">
        <f>IF(OR('CREST Inputs'!$Q$33="Cost-Based",'CREST Inputs'!$Q$33="Neither"),0,IF(AND('CREST Inputs'!$Q$38="Cash",J$2&lt;='CREST Inputs'!$Q$43),'CREST Inputs'!$Q$41*J$10*'CREST Inputs'!$Q$42,0))</f>
        <v>0</v>
      </c>
      <c r="K20" s="77">
        <f>IF(OR('CREST Inputs'!$Q$33="Cost-Based",'CREST Inputs'!$Q$33="Neither"),0,IF(AND('CREST Inputs'!$Q$38="Cash",K$2&lt;='CREST Inputs'!$Q$43),'CREST Inputs'!$Q$41*K$10*'CREST Inputs'!$Q$42,0))</f>
        <v>0</v>
      </c>
      <c r="L20" s="77">
        <f>IF(OR('CREST Inputs'!$Q$33="Cost-Based",'CREST Inputs'!$Q$33="Neither"),0,IF(AND('CREST Inputs'!$Q$38="Cash",L$2&lt;='CREST Inputs'!$Q$43),'CREST Inputs'!$Q$41*L$10*'CREST Inputs'!$Q$42,0))</f>
        <v>0</v>
      </c>
      <c r="M20" s="77">
        <f>IF(OR('CREST Inputs'!$Q$33="Cost-Based",'CREST Inputs'!$Q$33="Neither"),0,IF(AND('CREST Inputs'!$Q$38="Cash",M$2&lt;='CREST Inputs'!$Q$43),'CREST Inputs'!$Q$41*M$10*'CREST Inputs'!$Q$42,0))</f>
        <v>0</v>
      </c>
      <c r="N20" s="77">
        <f>IF(OR('CREST Inputs'!$Q$33="Cost-Based",'CREST Inputs'!$Q$33="Neither"),0,IF(AND('CREST Inputs'!$Q$38="Cash",N$2&lt;='CREST Inputs'!$Q$43),'CREST Inputs'!$Q$41*N$10*'CREST Inputs'!$Q$42,0))</f>
        <v>0</v>
      </c>
      <c r="O20" s="77">
        <f>IF(OR('CREST Inputs'!$Q$33="Cost-Based",'CREST Inputs'!$Q$33="Neither"),0,IF(AND('CREST Inputs'!$Q$38="Cash",O$2&lt;='CREST Inputs'!$Q$43),'CREST Inputs'!$Q$41*O$10*'CREST Inputs'!$Q$42,0))</f>
        <v>0</v>
      </c>
      <c r="P20" s="77">
        <f>IF(OR('CREST Inputs'!$Q$33="Cost-Based",'CREST Inputs'!$Q$33="Neither"),0,IF(AND('CREST Inputs'!$Q$38="Cash",P$2&lt;='CREST Inputs'!$Q$43),'CREST Inputs'!$Q$41*P$10*'CREST Inputs'!$Q$42,0))</f>
        <v>0</v>
      </c>
      <c r="Q20" s="77">
        <f>IF(OR('CREST Inputs'!$Q$33="Cost-Based",'CREST Inputs'!$Q$33="Neither"),0,IF(AND('CREST Inputs'!$Q$38="Cash",Q$2&lt;='CREST Inputs'!$Q$43),'CREST Inputs'!$Q$41*Q$10*'CREST Inputs'!$Q$42,0))</f>
        <v>0</v>
      </c>
      <c r="R20" s="77">
        <f>IF(OR('CREST Inputs'!$Q$33="Cost-Based",'CREST Inputs'!$Q$33="Neither"),0,IF(AND('CREST Inputs'!$Q$38="Cash",R$2&lt;='CREST Inputs'!$Q$43),'CREST Inputs'!$Q$41*R$10*'CREST Inputs'!$Q$42,0))</f>
        <v>0</v>
      </c>
      <c r="S20" s="77">
        <f>IF(OR('CREST Inputs'!$Q$33="Cost-Based",'CREST Inputs'!$Q$33="Neither"),0,IF(AND('CREST Inputs'!$Q$38="Cash",S$2&lt;='CREST Inputs'!$Q$43),'CREST Inputs'!$Q$41*S$10*'CREST Inputs'!$Q$42,0))</f>
        <v>0</v>
      </c>
      <c r="T20" s="77">
        <f>IF(OR('CREST Inputs'!$Q$33="Cost-Based",'CREST Inputs'!$Q$33="Neither"),0,IF(AND('CREST Inputs'!$Q$38="Cash",T$2&lt;='CREST Inputs'!$Q$43),'CREST Inputs'!$Q$41*T$10*'CREST Inputs'!$Q$42,0))</f>
        <v>0</v>
      </c>
      <c r="U20" s="77">
        <f>IF(OR('CREST Inputs'!$Q$33="Cost-Based",'CREST Inputs'!$Q$33="Neither"),0,IF(AND('CREST Inputs'!$Q$38="Cash",U$2&lt;='CREST Inputs'!$Q$43),'CREST Inputs'!$Q$41*U$10*'CREST Inputs'!$Q$42,0))</f>
        <v>0</v>
      </c>
      <c r="V20" s="77">
        <f>IF(OR('CREST Inputs'!$Q$33="Cost-Based",'CREST Inputs'!$Q$33="Neither"),0,IF(AND('CREST Inputs'!$Q$38="Cash",V$2&lt;='CREST Inputs'!$Q$43),'CREST Inputs'!$Q$41*V$10*'CREST Inputs'!$Q$42,0))</f>
        <v>0</v>
      </c>
      <c r="W20" s="77">
        <f>IF(OR('CREST Inputs'!$Q$33="Cost-Based",'CREST Inputs'!$Q$33="Neither"),0,IF(AND('CREST Inputs'!$Q$38="Cash",W$2&lt;='CREST Inputs'!$Q$43),'CREST Inputs'!$Q$41*W$10*'CREST Inputs'!$Q$42,0))</f>
        <v>0</v>
      </c>
      <c r="X20" s="77">
        <f>IF(OR('CREST Inputs'!$Q$33="Cost-Based",'CREST Inputs'!$Q$33="Neither"),0,IF(AND('CREST Inputs'!$Q$38="Cash",X$2&lt;='CREST Inputs'!$Q$43),'CREST Inputs'!$Q$41*X$10*'CREST Inputs'!$Q$42,0))</f>
        <v>0</v>
      </c>
      <c r="Y20" s="77">
        <f>IF(OR('CREST Inputs'!$Q$33="Cost-Based",'CREST Inputs'!$Q$33="Neither"),0,IF(AND('CREST Inputs'!$Q$38="Cash",Y$2&lt;='CREST Inputs'!$Q$43),'CREST Inputs'!$Q$41*Y$10*'CREST Inputs'!$Q$42,0))</f>
        <v>0</v>
      </c>
      <c r="Z20" s="77">
        <f>IF(OR('CREST Inputs'!$Q$33="Cost-Based",'CREST Inputs'!$Q$33="Neither"),0,IF(AND('CREST Inputs'!$Q$38="Cash",Z$2&lt;='CREST Inputs'!$Q$43),'CREST Inputs'!$Q$41*Z$10*'CREST Inputs'!$Q$42,0))</f>
        <v>0</v>
      </c>
      <c r="AA20" s="77">
        <f>IF(OR('CREST Inputs'!$Q$33="Cost-Based",'CREST Inputs'!$Q$33="Neither"),0,IF(AND('CREST Inputs'!$Q$38="Cash",AA$2&lt;='CREST Inputs'!$Q$43),'CREST Inputs'!$Q$41*AA$10*'CREST Inputs'!$Q$42,0))</f>
        <v>0</v>
      </c>
      <c r="AB20" s="77">
        <f>IF(OR('CREST Inputs'!$Q$33="Cost-Based",'CREST Inputs'!$Q$33="Neither"),0,IF(AND('CREST Inputs'!$Q$38="Cash",AB$2&lt;='CREST Inputs'!$Q$43),'CREST Inputs'!$Q$41*AB$10*'CREST Inputs'!$Q$42,0))</f>
        <v>0</v>
      </c>
      <c r="AC20" s="77">
        <f>IF(OR('CREST Inputs'!$Q$33="Cost-Based",'CREST Inputs'!$Q$33="Neither"),0,IF(AND('CREST Inputs'!$Q$38="Cash",AC$2&lt;='CREST Inputs'!$Q$43),'CREST Inputs'!$Q$41*AC$10*'CREST Inputs'!$Q$42,0))</f>
        <v>0</v>
      </c>
      <c r="AD20" s="77">
        <f>IF(OR('CREST Inputs'!$Q$33="Cost-Based",'CREST Inputs'!$Q$33="Neither"),0,IF(AND('CREST Inputs'!$Q$38="Cash",AD$2&lt;='CREST Inputs'!$Q$43),'CREST Inputs'!$Q$41*AD$10*'CREST Inputs'!$Q$42,0))</f>
        <v>0</v>
      </c>
      <c r="AE20" s="77">
        <f>IF(OR('CREST Inputs'!$Q$33="Cost-Based",'CREST Inputs'!$Q$33="Neither"),0,IF(AND('CREST Inputs'!$Q$38="Cash",AE$2&lt;='CREST Inputs'!$Q$43),'CREST Inputs'!$Q$41*AE$10*'CREST Inputs'!$Q$42,0))</f>
        <v>0</v>
      </c>
      <c r="AF20" s="77">
        <f>IF(OR('CREST Inputs'!$Q$33="Cost-Based",'CREST Inputs'!$Q$33="Neither"),0,IF(AND('CREST Inputs'!$Q$38="Cash",AF$2&lt;='CREST Inputs'!$Q$43),'CREST Inputs'!$Q$41*AF$10*'CREST Inputs'!$Q$42,0))</f>
        <v>0</v>
      </c>
      <c r="AG20" s="77">
        <f>IF(OR('CREST Inputs'!$Q$33="Cost-Based",'CREST Inputs'!$Q$33="Neither"),0,IF(AND('CREST Inputs'!$Q$38="Cash",AG$2&lt;='CREST Inputs'!$Q$43),'CREST Inputs'!$Q$41*AG$10*'CREST Inputs'!$Q$42,0))</f>
        <v>0</v>
      </c>
      <c r="AH20" s="77">
        <f>IF(OR('CREST Inputs'!$Q$33="Cost-Based",'CREST Inputs'!$Q$33="Neither"),0,IF(AND('CREST Inputs'!$Q$38="Cash",AH$2&lt;='CREST Inputs'!$Q$43),'CREST Inputs'!$Q$41*AH$10*'CREST Inputs'!$Q$42,0))</f>
        <v>0</v>
      </c>
      <c r="AI20" s="77">
        <f>IF(OR('CREST Inputs'!$Q$33="Cost-Based",'CREST Inputs'!$Q$33="Neither"),0,IF(AND('CREST Inputs'!$Q$38="Cash",AI$2&lt;='CREST Inputs'!$Q$43),'CREST Inputs'!$Q$41*AI$10*'CREST Inputs'!$Q$42,0))</f>
        <v>0</v>
      </c>
      <c r="AJ20" s="77">
        <f>IF(OR('CREST Inputs'!$Q$33="Cost-Based",'CREST Inputs'!$Q$33="Neither"),0,IF(AND('CREST Inputs'!$Q$38="Cash",AJ$2&lt;='CREST Inputs'!$Q$43),'CREST Inputs'!$Q$41*AJ$10*'CREST Inputs'!$Q$42,0))</f>
        <v>0</v>
      </c>
    </row>
    <row r="21" spans="2:36" s="36" customFormat="1" ht="15">
      <c r="B21" s="34" t="s">
        <v>95</v>
      </c>
      <c r="C21" s="34"/>
      <c r="D21" s="34"/>
      <c r="E21" s="64" t="s">
        <v>0</v>
      </c>
      <c r="F21" s="34"/>
      <c r="G21" s="35">
        <f>IF('CREST Inputs'!$Q$39=0,(G$20*G$5)/100,MIN('CREST Inputs'!$Q$39,(G$20*G$5)/100))</f>
        <v>0</v>
      </c>
      <c r="H21" s="35">
        <f>IF('CREST Inputs'!$Q$39=0,(H$20*H$5)/100,MIN('CREST Inputs'!$Q$39,(H$20*H$5)/100))</f>
        <v>0</v>
      </c>
      <c r="I21" s="35">
        <f>IF('CREST Inputs'!$Q$39=0,(I$20*I$5)/100,MIN('CREST Inputs'!$Q$39,(I$20*I$5)/100))</f>
        <v>0</v>
      </c>
      <c r="J21" s="35">
        <f>IF('CREST Inputs'!$Q$39=0,(J$20*J$5)/100,MIN('CREST Inputs'!$Q$39,(J$20*J$5)/100))</f>
        <v>0</v>
      </c>
      <c r="K21" s="35">
        <f>IF('CREST Inputs'!$Q$39=0,(K$20*K$5)/100,MIN('CREST Inputs'!$Q$39,(K$20*K$5)/100))</f>
        <v>0</v>
      </c>
      <c r="L21" s="35">
        <f>IF('CREST Inputs'!$Q$39=0,(L$20*L$5)/100,MIN('CREST Inputs'!$Q$39,(L$20*L$5)/100))</f>
        <v>0</v>
      </c>
      <c r="M21" s="35">
        <f>IF('CREST Inputs'!$Q$39=0,(M$20*M$5)/100,MIN('CREST Inputs'!$Q$39,(M$20*M$5)/100))</f>
        <v>0</v>
      </c>
      <c r="N21" s="35">
        <f>IF('CREST Inputs'!$Q$39=0,(N$20*N$5)/100,MIN('CREST Inputs'!$Q$39,(N$20*N$5)/100))</f>
        <v>0</v>
      </c>
      <c r="O21" s="35">
        <f>IF('CREST Inputs'!$Q$39=0,(O$20*O$5)/100,MIN('CREST Inputs'!$Q$39,(O$20*O$5)/100))</f>
        <v>0</v>
      </c>
      <c r="P21" s="35">
        <f>IF('CREST Inputs'!$Q$39=0,(P$20*P$5)/100,MIN('CREST Inputs'!$Q$39,(P$20*P$5)/100))</f>
        <v>0</v>
      </c>
      <c r="Q21" s="35">
        <f>IF('CREST Inputs'!$Q$39=0,(Q$20*Q$5)/100,MIN('CREST Inputs'!$Q$39,(Q$20*Q$5)/100))</f>
        <v>0</v>
      </c>
      <c r="R21" s="35">
        <f>IF('CREST Inputs'!$Q$39=0,(R$20*R$5)/100,MIN('CREST Inputs'!$Q$39,(R$20*R$5)/100))</f>
        <v>0</v>
      </c>
      <c r="S21" s="35">
        <f>IF('CREST Inputs'!$Q$39=0,(S$20*S$5)/100,MIN('CREST Inputs'!$Q$39,(S$20*S$5)/100))</f>
        <v>0</v>
      </c>
      <c r="T21" s="35">
        <f>IF('CREST Inputs'!$Q$39=0,(T$20*T$5)/100,MIN('CREST Inputs'!$Q$39,(T$20*T$5)/100))</f>
        <v>0</v>
      </c>
      <c r="U21" s="35">
        <f>IF('CREST Inputs'!$Q$39=0,(U$20*U$5)/100,MIN('CREST Inputs'!$Q$39,(U$20*U$5)/100))</f>
        <v>0</v>
      </c>
      <c r="V21" s="35">
        <f>IF('CREST Inputs'!$Q$39=0,(V$20*V$5)/100,MIN('CREST Inputs'!$Q$39,(V$20*V$5)/100))</f>
        <v>0</v>
      </c>
      <c r="W21" s="35">
        <f>IF('CREST Inputs'!$Q$39=0,(W$20*W$5)/100,MIN('CREST Inputs'!$Q$39,(W$20*W$5)/100))</f>
        <v>0</v>
      </c>
      <c r="X21" s="35">
        <f>IF('CREST Inputs'!$Q$39=0,(X$20*X$5)/100,MIN('CREST Inputs'!$Q$39,(X$20*X$5)/100))</f>
        <v>0</v>
      </c>
      <c r="Y21" s="35">
        <f>IF('CREST Inputs'!$Q$39=0,(Y$20*Y$5)/100,MIN('CREST Inputs'!$Q$39,(Y$20*Y$5)/100))</f>
        <v>0</v>
      </c>
      <c r="Z21" s="35">
        <f>IF('CREST Inputs'!$Q$39=0,(Z$20*Z$5)/100,MIN('CREST Inputs'!$Q$39,(Z$20*Z$5)/100))</f>
        <v>0</v>
      </c>
      <c r="AA21" s="35">
        <f>IF('CREST Inputs'!$Q$39=0,(AA$20*AA$5)/100,MIN('CREST Inputs'!$Q$39,(AA$20*AA$5)/100))</f>
        <v>0</v>
      </c>
      <c r="AB21" s="35">
        <f>IF('CREST Inputs'!$Q$39=0,(AB$20*AB$5)/100,MIN('CREST Inputs'!$Q$39,(AB$20*AB$5)/100))</f>
        <v>0</v>
      </c>
      <c r="AC21" s="35">
        <f>IF('CREST Inputs'!$Q$39=0,(AC$20*AC$5)/100,MIN('CREST Inputs'!$Q$39,(AC$20*AC$5)/100))</f>
        <v>0</v>
      </c>
      <c r="AD21" s="35">
        <f>IF('CREST Inputs'!$Q$39=0,(AD$20*AD$5)/100,MIN('CREST Inputs'!$Q$39,(AD$20*AD$5)/100))</f>
        <v>0</v>
      </c>
      <c r="AE21" s="35">
        <f>IF('CREST Inputs'!$Q$39=0,(AE$20*AE$5)/100,MIN('CREST Inputs'!$Q$39,(AE$20*AE$5)/100))</f>
        <v>0</v>
      </c>
      <c r="AF21" s="35">
        <f>IF('CREST Inputs'!$Q$39=0,(AF$20*AF$5)/100,MIN('CREST Inputs'!$Q$39,(AF$20*AF$5)/100))</f>
        <v>0</v>
      </c>
      <c r="AG21" s="35">
        <f>IF('CREST Inputs'!$Q$39=0,(AG$20*AG$5)/100,MIN('CREST Inputs'!$Q$39,(AG$20*AG$5)/100))</f>
        <v>0</v>
      </c>
      <c r="AH21" s="35">
        <f>IF('CREST Inputs'!$Q$39=0,(AH$20*AH$5)/100,MIN('CREST Inputs'!$Q$39,(AH$20*AH$5)/100))</f>
        <v>0</v>
      </c>
      <c r="AI21" s="35">
        <f>IF('CREST Inputs'!$Q$39=0,(AI$20*AI$5)/100,MIN('CREST Inputs'!$Q$39,(AI$20*AI$5)/100))</f>
        <v>0</v>
      </c>
      <c r="AJ21" s="35">
        <f>IF('CREST Inputs'!$Q$39=0,(AJ$20*AJ$5)/100,MIN('CREST Inputs'!$Q$39,(AJ$20*AJ$5)/100))</f>
        <v>0</v>
      </c>
    </row>
    <row r="22" spans="2:36" s="36" customFormat="1" ht="15">
      <c r="B22" s="37" t="s">
        <v>153</v>
      </c>
      <c r="C22" s="37"/>
      <c r="D22" s="37"/>
      <c r="E22" s="67" t="s">
        <v>0</v>
      </c>
      <c r="F22" s="37"/>
      <c r="G22" s="86">
        <f>G199</f>
        <v>2784.1661079227374</v>
      </c>
      <c r="H22" s="86">
        <f aca="true" t="shared" si="3" ref="H22:AJ22">H199</f>
        <v>3554.5364782931074</v>
      </c>
      <c r="I22" s="86">
        <f t="shared" si="3"/>
        <v>4324.906848663478</v>
      </c>
      <c r="J22" s="86">
        <f t="shared" si="3"/>
        <v>5095.277219033848</v>
      </c>
      <c r="K22" s="86">
        <f t="shared" si="3"/>
        <v>5865.647589404219</v>
      </c>
      <c r="L22" s="86">
        <f t="shared" si="3"/>
        <v>6636.017959774589</v>
      </c>
      <c r="M22" s="86">
        <f t="shared" si="3"/>
        <v>7406.3883301449605</v>
      </c>
      <c r="N22" s="86">
        <f t="shared" si="3"/>
        <v>8176.758700515331</v>
      </c>
      <c r="O22" s="86">
        <f t="shared" si="3"/>
        <v>8947.129070885701</v>
      </c>
      <c r="P22" s="86">
        <f t="shared" si="3"/>
        <v>5865.64758940422</v>
      </c>
      <c r="Q22" s="86">
        <f t="shared" si="3"/>
        <v>2398.9809227375536</v>
      </c>
      <c r="R22" s="86">
        <f t="shared" si="3"/>
        <v>2398.9809227375536</v>
      </c>
      <c r="S22" s="86">
        <f t="shared" si="3"/>
        <v>2398.9809227375536</v>
      </c>
      <c r="T22" s="86">
        <f t="shared" si="3"/>
        <v>2398.9809227375536</v>
      </c>
      <c r="U22" s="86">
        <f t="shared" si="3"/>
        <v>2398.9809227375536</v>
      </c>
      <c r="V22" s="86">
        <f t="shared" si="3"/>
        <v>1513.2584635069395</v>
      </c>
      <c r="W22" s="86">
        <f t="shared" si="3"/>
        <v>627.5360042763257</v>
      </c>
      <c r="X22" s="86">
        <f t="shared" si="3"/>
        <v>627.5360042763257</v>
      </c>
      <c r="Y22" s="86">
        <f t="shared" si="3"/>
        <v>627.5360042763257</v>
      </c>
      <c r="Z22" s="86">
        <f t="shared" si="3"/>
        <v>627.5360042763257</v>
      </c>
      <c r="AA22" s="86">
        <f t="shared" si="3"/>
        <v>627.5360042763257</v>
      </c>
      <c r="AB22" s="86">
        <f t="shared" si="3"/>
        <v>627.5360042763257</v>
      </c>
      <c r="AC22" s="86">
        <f t="shared" si="3"/>
        <v>627.5360042763257</v>
      </c>
      <c r="AD22" s="86">
        <f t="shared" si="3"/>
        <v>627.5360042763257</v>
      </c>
      <c r="AE22" s="86">
        <f t="shared" si="3"/>
        <v>313.7680021381636</v>
      </c>
      <c r="AF22" s="86">
        <f t="shared" si="3"/>
        <v>7.275957614183426E-13</v>
      </c>
      <c r="AG22" s="86">
        <f t="shared" si="3"/>
        <v>0</v>
      </c>
      <c r="AH22" s="86">
        <f t="shared" si="3"/>
        <v>0</v>
      </c>
      <c r="AI22" s="86">
        <f t="shared" si="3"/>
        <v>0</v>
      </c>
      <c r="AJ22" s="86">
        <f t="shared" si="3"/>
        <v>0</v>
      </c>
    </row>
    <row r="23" spans="2:36" s="27" customFormat="1" ht="15.75">
      <c r="B23" s="32" t="s">
        <v>102</v>
      </c>
      <c r="C23" s="32"/>
      <c r="D23" s="32"/>
      <c r="E23" s="68" t="s">
        <v>0</v>
      </c>
      <c r="F23" s="32"/>
      <c r="G23" s="39">
        <f>G15+G17+G19+G21+G22</f>
        <v>609443.3661079232</v>
      </c>
      <c r="H23" s="39">
        <f aca="true" t="shared" si="4" ref="H23:AJ23">H15+H17+H19+H21+H22</f>
        <v>607180.4404782935</v>
      </c>
      <c r="I23" s="39">
        <f t="shared" si="4"/>
        <v>604932.6813286638</v>
      </c>
      <c r="J23" s="39">
        <f t="shared" si="4"/>
        <v>602700.0128266341</v>
      </c>
      <c r="K23" s="39">
        <f t="shared" si="4"/>
        <v>600482.3595189666</v>
      </c>
      <c r="L23" s="39">
        <f t="shared" si="4"/>
        <v>598279.6463296892</v>
      </c>
      <c r="M23" s="39">
        <f t="shared" si="4"/>
        <v>596091.7985582099</v>
      </c>
      <c r="N23" s="39">
        <f t="shared" si="4"/>
        <v>593918.74187744</v>
      </c>
      <c r="O23" s="39">
        <f t="shared" si="4"/>
        <v>591760.4023319258</v>
      </c>
      <c r="P23" s="39">
        <f t="shared" si="4"/>
        <v>585764.854484139</v>
      </c>
      <c r="Q23" s="39">
        <f t="shared" si="4"/>
        <v>579398.6917829986</v>
      </c>
      <c r="R23" s="39">
        <f>R15+R17+R19+R21+R22</f>
        <v>576513.6932286973</v>
      </c>
      <c r="S23" s="39">
        <f t="shared" si="4"/>
        <v>573643.1196671674</v>
      </c>
      <c r="T23" s="39">
        <f t="shared" si="4"/>
        <v>570786.8989734453</v>
      </c>
      <c r="U23" s="39">
        <f t="shared" si="4"/>
        <v>567944.9593831919</v>
      </c>
      <c r="V23" s="39">
        <f t="shared" si="4"/>
        <v>97696.95642334764</v>
      </c>
      <c r="W23" s="39">
        <f t="shared" si="4"/>
        <v>98244.37106371867</v>
      </c>
      <c r="X23" s="39">
        <f t="shared" si="4"/>
        <v>99698.86190610436</v>
      </c>
      <c r="Y23" s="39">
        <f t="shared" si="4"/>
        <v>101175.0246620416</v>
      </c>
      <c r="Z23" s="39">
        <f t="shared" si="4"/>
        <v>102673.18224304232</v>
      </c>
      <c r="AA23" s="39">
        <f t="shared" si="4"/>
        <v>104193.66237199993</v>
      </c>
      <c r="AB23" s="39">
        <f t="shared" si="4"/>
        <v>105736.797654879</v>
      </c>
      <c r="AC23" s="39">
        <f t="shared" si="4"/>
        <v>107302.92565347302</v>
      </c>
      <c r="AD23" s="39">
        <f t="shared" si="4"/>
        <v>108892.38895924605</v>
      </c>
      <c r="AE23" s="39">
        <f t="shared" si="4"/>
        <v>110191.76726613693</v>
      </c>
      <c r="AF23" s="39">
        <f t="shared" si="4"/>
        <v>7.275957614183426E-13</v>
      </c>
      <c r="AG23" s="39">
        <f t="shared" si="4"/>
        <v>0</v>
      </c>
      <c r="AH23" s="39">
        <f t="shared" si="4"/>
        <v>0</v>
      </c>
      <c r="AI23" s="39">
        <f t="shared" si="4"/>
        <v>0</v>
      </c>
      <c r="AJ23" s="39">
        <f t="shared" si="4"/>
        <v>0</v>
      </c>
    </row>
    <row r="24" s="27" customFormat="1" ht="15">
      <c r="E24" s="66"/>
    </row>
    <row r="25" spans="2:5" s="27" customFormat="1" ht="15.75">
      <c r="B25" s="32" t="s">
        <v>58</v>
      </c>
      <c r="C25" s="32"/>
      <c r="D25" s="32"/>
      <c r="E25" s="66"/>
    </row>
    <row r="26" spans="2:36" s="27" customFormat="1" ht="15">
      <c r="B26" s="27" t="s">
        <v>96</v>
      </c>
      <c r="E26" s="64"/>
      <c r="F26" s="30"/>
      <c r="G26" s="145">
        <v>1</v>
      </c>
      <c r="H26" s="70">
        <f>G26*(1+IF(G$2&lt;='CREST Inputs'!$G$34,'CREST Inputs'!$G$33,'CREST Inputs'!$G$35))</f>
        <v>1.02</v>
      </c>
      <c r="I26" s="70">
        <f>H26*(1+IF(H$2&lt;='CREST Inputs'!$G$34,'CREST Inputs'!$G$33,'CREST Inputs'!$G$35))</f>
        <v>1.0404</v>
      </c>
      <c r="J26" s="70">
        <f>I26*(1+IF(I$2&lt;='CREST Inputs'!$G$34,'CREST Inputs'!$G$33,'CREST Inputs'!$G$35))</f>
        <v>1.061208</v>
      </c>
      <c r="K26" s="70">
        <f>J26*(1+IF(J$2&lt;='CREST Inputs'!$G$34,'CREST Inputs'!$G$33,'CREST Inputs'!$G$35))</f>
        <v>1.08243216</v>
      </c>
      <c r="L26" s="70">
        <f>K26*(1+IF(K$2&lt;='CREST Inputs'!$G$34,'CREST Inputs'!$G$33,'CREST Inputs'!$G$35))</f>
        <v>1.1040808032</v>
      </c>
      <c r="M26" s="70">
        <f>L26*(1+IF(L$2&lt;='CREST Inputs'!$G$34,'CREST Inputs'!$G$33,'CREST Inputs'!$G$35))</f>
        <v>1.126162419264</v>
      </c>
      <c r="N26" s="70">
        <f>M26*(1+IF(M$2&lt;='CREST Inputs'!$G$34,'CREST Inputs'!$G$33,'CREST Inputs'!$G$35))</f>
        <v>1.14868566764928</v>
      </c>
      <c r="O26" s="70">
        <f>N26*(1+IF(N$2&lt;='CREST Inputs'!$G$34,'CREST Inputs'!$G$33,'CREST Inputs'!$G$35))</f>
        <v>1.1716593810022657</v>
      </c>
      <c r="P26" s="70">
        <f>O26*(1+IF(O$2&lt;='CREST Inputs'!$G$34,'CREST Inputs'!$G$33,'CREST Inputs'!$G$35))</f>
        <v>1.195092568622311</v>
      </c>
      <c r="Q26" s="70">
        <f>P26*(1+IF(P$2&lt;='CREST Inputs'!$G$34,'CREST Inputs'!$G$33,'CREST Inputs'!$G$35))</f>
        <v>1.2189944199947573</v>
      </c>
      <c r="R26" s="70">
        <f>Q26*(1+IF(Q$2&lt;='CREST Inputs'!$G$34,'CREST Inputs'!$G$33,'CREST Inputs'!$G$35))</f>
        <v>1.2433743083946525</v>
      </c>
      <c r="S26" s="70">
        <f>R26*(1+IF(R$2&lt;='CREST Inputs'!$G$34,'CREST Inputs'!$G$33,'CREST Inputs'!$G$35))</f>
        <v>1.2682417945625455</v>
      </c>
      <c r="T26" s="70">
        <f>S26*(1+IF(S$2&lt;='CREST Inputs'!$G$34,'CREST Inputs'!$G$33,'CREST Inputs'!$G$35))</f>
        <v>1.2936066304537963</v>
      </c>
      <c r="U26" s="70">
        <f>T26*(1+IF(T$2&lt;='CREST Inputs'!$G$34,'CREST Inputs'!$G$33,'CREST Inputs'!$G$35))</f>
        <v>1.3194787630628724</v>
      </c>
      <c r="V26" s="70">
        <f>U26*(1+IF(U$2&lt;='CREST Inputs'!$G$34,'CREST Inputs'!$G$33,'CREST Inputs'!$G$35))</f>
        <v>1.3458683383241299</v>
      </c>
      <c r="W26" s="70">
        <f>V26*(1+IF(V$2&lt;='CREST Inputs'!$G$34,'CREST Inputs'!$G$33,'CREST Inputs'!$G$35))</f>
        <v>1.3727857050906125</v>
      </c>
      <c r="X26" s="70">
        <f>W26*(1+IF(W$2&lt;='CREST Inputs'!$G$34,'CREST Inputs'!$G$33,'CREST Inputs'!$G$35))</f>
        <v>1.4002414191924248</v>
      </c>
      <c r="Y26" s="70">
        <f>X26*(1+IF(X$2&lt;='CREST Inputs'!$G$34,'CREST Inputs'!$G$33,'CREST Inputs'!$G$35))</f>
        <v>1.4282462475762734</v>
      </c>
      <c r="Z26" s="70">
        <f>Y26*(1+IF(Y$2&lt;='CREST Inputs'!$G$34,'CREST Inputs'!$G$33,'CREST Inputs'!$G$35))</f>
        <v>1.4568111725277988</v>
      </c>
      <c r="AA26" s="70">
        <f>Z26*(1+IF(Z$2&lt;='CREST Inputs'!$G$34,'CREST Inputs'!$G$33,'CREST Inputs'!$G$35))</f>
        <v>1.485947395978355</v>
      </c>
      <c r="AB26" s="70">
        <f>AA26*(1+IF(AA$2&lt;='CREST Inputs'!$G$34,'CREST Inputs'!$G$33,'CREST Inputs'!$G$35))</f>
        <v>1.515666343897922</v>
      </c>
      <c r="AC26" s="70">
        <f>AB26*(1+IF(AB$2&lt;='CREST Inputs'!$G$34,'CREST Inputs'!$G$33,'CREST Inputs'!$G$35))</f>
        <v>1.5459796707758806</v>
      </c>
      <c r="AD26" s="70">
        <f>AC26*(1+IF(AC$2&lt;='CREST Inputs'!$G$34,'CREST Inputs'!$G$33,'CREST Inputs'!$G$35))</f>
        <v>1.5768992641913981</v>
      </c>
      <c r="AE26" s="70">
        <f>AD26*(1+IF(AD$2&lt;='CREST Inputs'!$G$34,'CREST Inputs'!$G$33,'CREST Inputs'!$G$35))</f>
        <v>1.6084372494752261</v>
      </c>
      <c r="AF26" s="70">
        <f>AE26*(1+IF(AE$2&lt;='CREST Inputs'!$G$34,'CREST Inputs'!$G$33,'CREST Inputs'!$G$35))</f>
        <v>1.6406059944647307</v>
      </c>
      <c r="AG26" s="70">
        <f>AF26*(1+IF(AF$2&lt;='CREST Inputs'!$G$34,'CREST Inputs'!$G$33,'CREST Inputs'!$G$35))</f>
        <v>1.6734181143540252</v>
      </c>
      <c r="AH26" s="70">
        <f>AG26*(1+IF(AG$2&lt;='CREST Inputs'!$G$34,'CREST Inputs'!$G$33,'CREST Inputs'!$G$35))</f>
        <v>1.7068864766411058</v>
      </c>
      <c r="AI26" s="70">
        <f>AH26*(1+IF(AH$2&lt;='CREST Inputs'!$G$34,'CREST Inputs'!$G$33,'CREST Inputs'!$G$35))</f>
        <v>1.741024206173928</v>
      </c>
      <c r="AJ26" s="70">
        <f>AI26*(1+IF(AI$2&lt;='CREST Inputs'!$G$34,'CREST Inputs'!$G$33,'CREST Inputs'!$G$35))</f>
        <v>1.7758446902974065</v>
      </c>
    </row>
    <row r="27" spans="5:36" s="27" customFormat="1" ht="15.75">
      <c r="E27" s="64"/>
      <c r="F27" s="30"/>
      <c r="G27" s="75"/>
      <c r="H27" s="70"/>
      <c r="I27" s="70"/>
      <c r="J27" s="70"/>
      <c r="K27" s="70"/>
      <c r="L27" s="70"/>
      <c r="M27" s="70"/>
      <c r="N27" s="70"/>
      <c r="O27" s="70"/>
      <c r="P27" s="70"/>
      <c r="Q27" s="70"/>
      <c r="S27" s="70"/>
      <c r="T27" s="70"/>
      <c r="U27" s="70"/>
      <c r="V27" s="70"/>
      <c r="W27" s="70"/>
      <c r="X27" s="70"/>
      <c r="Y27" s="70"/>
      <c r="Z27" s="70"/>
      <c r="AA27" s="70"/>
      <c r="AB27" s="70"/>
      <c r="AC27" s="70"/>
      <c r="AD27" s="70"/>
      <c r="AE27" s="70"/>
      <c r="AF27" s="70"/>
      <c r="AG27" s="70"/>
      <c r="AH27" s="70"/>
      <c r="AI27" s="70"/>
      <c r="AJ27" s="70"/>
    </row>
    <row r="28" spans="2:36" s="27" customFormat="1" ht="15">
      <c r="B28" s="27" t="s">
        <v>97</v>
      </c>
      <c r="E28" s="64" t="s">
        <v>0</v>
      </c>
      <c r="F28" s="30"/>
      <c r="G28" s="71">
        <f>-IF(G$2&gt;'CREST Inputs'!$G$15,0,'CREST Inputs'!$G$31*'CREST Inputs'!$G$8*G$26)</f>
        <v>-26666.666666666664</v>
      </c>
      <c r="H28" s="71">
        <f>-IF(H$2&gt;'CREST Inputs'!$G$15,0,'CREST Inputs'!$G$31*'CREST Inputs'!$G$8*H$26)</f>
        <v>-27199.999999999996</v>
      </c>
      <c r="I28" s="71">
        <f>-IF(I$2&gt;'CREST Inputs'!$G$15,0,'CREST Inputs'!$G$31*'CREST Inputs'!$G$8*I$26)</f>
        <v>-27743.999999999996</v>
      </c>
      <c r="J28" s="71">
        <f>-IF(J$2&gt;'CREST Inputs'!$G$15,0,'CREST Inputs'!$G$31*'CREST Inputs'!$G$8*J$26)</f>
        <v>-28298.879999999994</v>
      </c>
      <c r="K28" s="71">
        <f>-IF(K$2&gt;'CREST Inputs'!$G$15,0,'CREST Inputs'!$G$31*'CREST Inputs'!$G$8*K$26)</f>
        <v>-28864.857599999996</v>
      </c>
      <c r="L28" s="71">
        <f>-IF(L$2&gt;'CREST Inputs'!$G$15,0,'CREST Inputs'!$G$31*'CREST Inputs'!$G$8*L$26)</f>
        <v>-29442.154752</v>
      </c>
      <c r="M28" s="71">
        <f>-IF(M$2&gt;'CREST Inputs'!$G$15,0,'CREST Inputs'!$G$31*'CREST Inputs'!$G$8*M$26)</f>
        <v>-30030.99784704</v>
      </c>
      <c r="N28" s="71">
        <f>-IF(N$2&gt;'CREST Inputs'!$G$15,0,'CREST Inputs'!$G$31*'CREST Inputs'!$G$8*N$26)</f>
        <v>-30631.6178039808</v>
      </c>
      <c r="O28" s="71">
        <f>-IF(O$2&gt;'CREST Inputs'!$G$15,0,'CREST Inputs'!$G$31*'CREST Inputs'!$G$8*O$26)</f>
        <v>-31244.250160060416</v>
      </c>
      <c r="P28" s="71">
        <f>-IF(P$2&gt;'CREST Inputs'!$G$15,0,'CREST Inputs'!$G$31*'CREST Inputs'!$G$8*P$26)</f>
        <v>-31869.135163261624</v>
      </c>
      <c r="Q28" s="71">
        <f>-IF(Q$2&gt;'CREST Inputs'!$G$15,0,'CREST Inputs'!$G$31*'CREST Inputs'!$G$8*Q$26)</f>
        <v>-32506.517866526858</v>
      </c>
      <c r="R28" s="71">
        <f>-IF(R$2&gt;'CREST Inputs'!$G$15,0,'CREST Inputs'!$G$31*'CREST Inputs'!$G$8*R$26)</f>
        <v>-33156.648223857395</v>
      </c>
      <c r="S28" s="71">
        <f>-IF(S$2&gt;'CREST Inputs'!$G$15,0,'CREST Inputs'!$G$31*'CREST Inputs'!$G$8*S$26)</f>
        <v>-33819.78118833454</v>
      </c>
      <c r="T28" s="71">
        <f>-IF(T$2&gt;'CREST Inputs'!$G$15,0,'CREST Inputs'!$G$31*'CREST Inputs'!$G$8*T$26)</f>
        <v>-34496.17681210123</v>
      </c>
      <c r="U28" s="71">
        <f>-IF(U$2&gt;'CREST Inputs'!$G$15,0,'CREST Inputs'!$G$31*'CREST Inputs'!$G$8*U$26)</f>
        <v>-35186.10034834326</v>
      </c>
      <c r="V28" s="71">
        <f>-IF(V$2&gt;'CREST Inputs'!$G$15,0,'CREST Inputs'!$G$31*'CREST Inputs'!$G$8*V$26)</f>
        <v>-35889.82235531013</v>
      </c>
      <c r="W28" s="71">
        <f>-IF(W$2&gt;'CREST Inputs'!$G$15,0,'CREST Inputs'!$G$31*'CREST Inputs'!$G$8*W$26)</f>
        <v>-36607.61880241633</v>
      </c>
      <c r="X28" s="71">
        <f>-IF(X$2&gt;'CREST Inputs'!$G$15,0,'CREST Inputs'!$G$31*'CREST Inputs'!$G$8*X$26)</f>
        <v>-37339.77117846466</v>
      </c>
      <c r="Y28" s="71">
        <f>-IF(Y$2&gt;'CREST Inputs'!$G$15,0,'CREST Inputs'!$G$31*'CREST Inputs'!$G$8*Y$26)</f>
        <v>-38086.566602033956</v>
      </c>
      <c r="Z28" s="71">
        <f>-IF(Z$2&gt;'CREST Inputs'!$G$15,0,'CREST Inputs'!$G$31*'CREST Inputs'!$G$8*Z$26)</f>
        <v>-38848.29793407463</v>
      </c>
      <c r="AA28" s="71">
        <f>-IF(AA$2&gt;'CREST Inputs'!$G$15,0,'CREST Inputs'!$G$31*'CREST Inputs'!$G$8*AA$26)</f>
        <v>-39625.26389275613</v>
      </c>
      <c r="AB28" s="71">
        <f>-IF(AB$2&gt;'CREST Inputs'!$G$15,0,'CREST Inputs'!$G$31*'CREST Inputs'!$G$8*AB$26)</f>
        <v>-40417.76917061125</v>
      </c>
      <c r="AC28" s="71">
        <f>-IF(AC$2&gt;'CREST Inputs'!$G$15,0,'CREST Inputs'!$G$31*'CREST Inputs'!$G$8*AC$26)</f>
        <v>-41226.12455402348</v>
      </c>
      <c r="AD28" s="71">
        <f>-IF(AD$2&gt;'CREST Inputs'!$G$15,0,'CREST Inputs'!$G$31*'CREST Inputs'!$G$8*AD$26)</f>
        <v>-42050.64704510395</v>
      </c>
      <c r="AE28" s="71">
        <f>-IF(AE$2&gt;'CREST Inputs'!$G$15,0,'CREST Inputs'!$G$31*'CREST Inputs'!$G$8*AE$26)</f>
        <v>-42891.65998600602</v>
      </c>
      <c r="AF28" s="71">
        <f>-IF(AF$2&gt;'CREST Inputs'!$G$15,0,'CREST Inputs'!$G$31*'CREST Inputs'!$G$8*AF$26)</f>
        <v>0</v>
      </c>
      <c r="AG28" s="71">
        <f>-IF(AG$2&gt;'CREST Inputs'!$G$15,0,'CREST Inputs'!$G$31*'CREST Inputs'!$G$8*AG$26)</f>
        <v>0</v>
      </c>
      <c r="AH28" s="71">
        <f>-IF(AH$2&gt;'CREST Inputs'!$G$15,0,'CREST Inputs'!$G$31*'CREST Inputs'!$G$8*AH$26)</f>
        <v>0</v>
      </c>
      <c r="AI28" s="71">
        <f>-IF(AI$2&gt;'CREST Inputs'!$G$15,0,'CREST Inputs'!$G$31*'CREST Inputs'!$G$8*AI$26)</f>
        <v>0</v>
      </c>
      <c r="AJ28" s="71">
        <f>-IF(AJ$2&gt;'CREST Inputs'!$G$15,0,'CREST Inputs'!$G$31*'CREST Inputs'!$G$8*AJ$26)</f>
        <v>0</v>
      </c>
    </row>
    <row r="29" spans="2:36" s="27" customFormat="1" ht="15">
      <c r="B29" s="27" t="s">
        <v>98</v>
      </c>
      <c r="E29" s="64" t="s">
        <v>0</v>
      </c>
      <c r="G29" s="71">
        <f>-IF(G$2&gt;'CREST Inputs'!$G$15,0,'CREST Inputs'!$G$32/100*G$5*G$26)</f>
        <v>0</v>
      </c>
      <c r="H29" s="71">
        <f>-IF(H$2&gt;'CREST Inputs'!$G$15,0,'CREST Inputs'!$G$32/100*H$5*H$26)</f>
        <v>0</v>
      </c>
      <c r="I29" s="71">
        <f>-IF(I$2&gt;'CREST Inputs'!$G$15,0,'CREST Inputs'!$G$32/100*I$5*I$26)</f>
        <v>0</v>
      </c>
      <c r="J29" s="71">
        <f>-IF(J$2&gt;'CREST Inputs'!$G$15,0,'CREST Inputs'!$G$32/100*J$5*J$26)</f>
        <v>0</v>
      </c>
      <c r="K29" s="71">
        <f>-IF(K$2&gt;'CREST Inputs'!$G$15,0,'CREST Inputs'!$G$32/100*K$5*K$26)</f>
        <v>0</v>
      </c>
      <c r="L29" s="71">
        <f>-IF(L$2&gt;'CREST Inputs'!$G$15,0,'CREST Inputs'!$G$32/100*L$5*L$26)</f>
        <v>0</v>
      </c>
      <c r="M29" s="71">
        <f>-IF(M$2&gt;'CREST Inputs'!$G$15,0,'CREST Inputs'!$G$32/100*M$5*M$26)</f>
        <v>0</v>
      </c>
      <c r="N29" s="71">
        <f>-IF(N$2&gt;'CREST Inputs'!$G$15,0,'CREST Inputs'!$G$32/100*N$5*N$26)</f>
        <v>0</v>
      </c>
      <c r="O29" s="71">
        <f>-IF(O$2&gt;'CREST Inputs'!$G$15,0,'CREST Inputs'!$G$32/100*O$5*O$26)</f>
        <v>0</v>
      </c>
      <c r="P29" s="71">
        <f>-IF(P$2&gt;'CREST Inputs'!$G$15,0,'CREST Inputs'!$G$32/100*P$5*P$26)</f>
        <v>0</v>
      </c>
      <c r="Q29" s="71">
        <f>-IF(Q$2&gt;'CREST Inputs'!$G$15,0,'CREST Inputs'!$G$32/100*Q$5*Q$26)</f>
        <v>0</v>
      </c>
      <c r="R29" s="71">
        <f>-IF(R$2&gt;'CREST Inputs'!$G$15,0,'CREST Inputs'!$G$32/100*R$5*R$26)</f>
        <v>0</v>
      </c>
      <c r="S29" s="71">
        <f>-IF(S$2&gt;'CREST Inputs'!$G$15,0,'CREST Inputs'!$G$32/100*S$5*S$26)</f>
        <v>0</v>
      </c>
      <c r="T29" s="71">
        <f>-IF(T$2&gt;'CREST Inputs'!$G$15,0,'CREST Inputs'!$G$32/100*T$5*T$26)</f>
        <v>0</v>
      </c>
      <c r="U29" s="71">
        <f>-IF(U$2&gt;'CREST Inputs'!$G$15,0,'CREST Inputs'!$G$32/100*U$5*U$26)</f>
        <v>0</v>
      </c>
      <c r="V29" s="71">
        <f>-IF(V$2&gt;'CREST Inputs'!$G$15,0,'CREST Inputs'!$G$32/100*V$5*V$26)</f>
        <v>0</v>
      </c>
      <c r="W29" s="71">
        <f>-IF(W$2&gt;'CREST Inputs'!$G$15,0,'CREST Inputs'!$G$32/100*W$5*W$26)</f>
        <v>0</v>
      </c>
      <c r="X29" s="71">
        <f>-IF(X$2&gt;'CREST Inputs'!$G$15,0,'CREST Inputs'!$G$32/100*X$5*X$26)</f>
        <v>0</v>
      </c>
      <c r="Y29" s="71">
        <f>-IF(Y$2&gt;'CREST Inputs'!$G$15,0,'CREST Inputs'!$G$32/100*Y$5*Y$26)</f>
        <v>0</v>
      </c>
      <c r="Z29" s="71">
        <f>-IF(Z$2&gt;'CREST Inputs'!$G$15,0,'CREST Inputs'!$G$32/100*Z$5*Z$26)</f>
        <v>0</v>
      </c>
      <c r="AA29" s="71">
        <f>-IF(AA$2&gt;'CREST Inputs'!$G$15,0,'CREST Inputs'!$G$32/100*AA$5*AA$26)</f>
        <v>0</v>
      </c>
      <c r="AB29" s="71">
        <f>-IF(AB$2&gt;'CREST Inputs'!$G$15,0,'CREST Inputs'!$G$32/100*AB$5*AB$26)</f>
        <v>0</v>
      </c>
      <c r="AC29" s="71">
        <f>-IF(AC$2&gt;'CREST Inputs'!$G$15,0,'CREST Inputs'!$G$32/100*AC$5*AC$26)</f>
        <v>0</v>
      </c>
      <c r="AD29" s="71">
        <f>-IF(AD$2&gt;'CREST Inputs'!$G$15,0,'CREST Inputs'!$G$32/100*AD$5*AD$26)</f>
        <v>0</v>
      </c>
      <c r="AE29" s="71">
        <f>-IF(AE$2&gt;'CREST Inputs'!$G$15,0,'CREST Inputs'!$G$32/100*AE$5*AE$26)</f>
        <v>0</v>
      </c>
      <c r="AF29" s="71">
        <f>-IF(AF$2&gt;'CREST Inputs'!$G$15,0,'CREST Inputs'!$G$32/100*AF$5*AF$26)</f>
        <v>0</v>
      </c>
      <c r="AG29" s="71">
        <f>-IF(AG$2&gt;'CREST Inputs'!$G$15,0,'CREST Inputs'!$G$32/100*AG$5*AG$26)</f>
        <v>0</v>
      </c>
      <c r="AH29" s="71">
        <f>-IF(AH$2&gt;'CREST Inputs'!$G$15,0,'CREST Inputs'!$G$32/100*AH$5*AH$26)</f>
        <v>0</v>
      </c>
      <c r="AI29" s="71">
        <f>-IF(AI$2&gt;'CREST Inputs'!$G$15,0,'CREST Inputs'!$G$32/100*AI$5*AI$26)</f>
        <v>0</v>
      </c>
      <c r="AJ29" s="71">
        <f>-IF(AJ$2&gt;'CREST Inputs'!$G$15,0,'CREST Inputs'!$G$32/100*AJ$5*AJ$26)</f>
        <v>0</v>
      </c>
    </row>
    <row r="30" spans="2:36" s="27" customFormat="1" ht="15">
      <c r="B30" s="27" t="s">
        <v>60</v>
      </c>
      <c r="E30" s="64" t="s">
        <v>0</v>
      </c>
      <c r="G30" s="71">
        <f>-IF('CREST Inputs'!$G$30="simple",0,IF(G$2&gt;'CREST Inputs'!$G$15,0,'CREST Inputs'!$G$37*G$26))</f>
        <v>-8979.872940517322</v>
      </c>
      <c r="H30" s="71">
        <f>-IF('CREST Inputs'!$G$30="simple",0,IF(H$2&gt;'CREST Inputs'!$G$15,0,'CREST Inputs'!$G$37*H$26))</f>
        <v>-9159.470399327669</v>
      </c>
      <c r="I30" s="71">
        <f>-IF('CREST Inputs'!$G$30="simple",0,IF(I$2&gt;'CREST Inputs'!$G$15,0,'CREST Inputs'!$G$37*I$26))</f>
        <v>-9342.659807314221</v>
      </c>
      <c r="J30" s="71">
        <f>-IF('CREST Inputs'!$G$30="simple",0,IF(J$2&gt;'CREST Inputs'!$G$15,0,'CREST Inputs'!$G$37*J$26))</f>
        <v>-9529.513003460504</v>
      </c>
      <c r="K30" s="71">
        <f>-IF('CREST Inputs'!$G$30="simple",0,IF(K$2&gt;'CREST Inputs'!$G$15,0,'CREST Inputs'!$G$37*K$26))</f>
        <v>-9720.103263529716</v>
      </c>
      <c r="L30" s="71">
        <f>-IF('CREST Inputs'!$G$30="simple",0,IF(L$2&gt;'CREST Inputs'!$G$15,0,'CREST Inputs'!$G$37*L$26))</f>
        <v>-9914.505328800311</v>
      </c>
      <c r="M30" s="71">
        <f>-IF('CREST Inputs'!$G$30="simple",0,IF(M$2&gt;'CREST Inputs'!$G$15,0,'CREST Inputs'!$G$37*M$26))</f>
        <v>-10112.795435376318</v>
      </c>
      <c r="N30" s="71">
        <f>-IF('CREST Inputs'!$G$30="simple",0,IF(N$2&gt;'CREST Inputs'!$G$15,0,'CREST Inputs'!$G$37*N$26))</f>
        <v>-10315.051344083844</v>
      </c>
      <c r="O30" s="71">
        <f>-IF('CREST Inputs'!$G$30="simple",0,IF(O$2&gt;'CREST Inputs'!$G$15,0,'CREST Inputs'!$G$37*O$26))</f>
        <v>-10521.352370965522</v>
      </c>
      <c r="P30" s="71">
        <f>-IF('CREST Inputs'!$G$30="simple",0,IF(P$2&gt;'CREST Inputs'!$G$15,0,'CREST Inputs'!$G$37*P$26))</f>
        <v>-10731.779418384831</v>
      </c>
      <c r="Q30" s="71">
        <f>-IF('CREST Inputs'!$G$30="simple",0,IF(Q$2&gt;'CREST Inputs'!$G$15,0,'CREST Inputs'!$G$37*Q$26))</f>
        <v>-10946.415006752528</v>
      </c>
      <c r="R30" s="71">
        <f>-IF('CREST Inputs'!$G$30="simple",0,IF(R$2&gt;'CREST Inputs'!$G$15,0,'CREST Inputs'!$G$37*R$26))</f>
        <v>-11165.343306887578</v>
      </c>
      <c r="S30" s="71">
        <f>-IF('CREST Inputs'!$G$30="simple",0,IF(S$2&gt;'CREST Inputs'!$G$15,0,'CREST Inputs'!$G$37*S$26))</f>
        <v>-11388.650173025331</v>
      </c>
      <c r="T30" s="71">
        <f>-IF('CREST Inputs'!$G$30="simple",0,IF(T$2&gt;'CREST Inputs'!$G$15,0,'CREST Inputs'!$G$37*T$26))</f>
        <v>-11616.423176485836</v>
      </c>
      <c r="U30" s="71">
        <f>-IF('CREST Inputs'!$G$30="simple",0,IF(U$2&gt;'CREST Inputs'!$G$15,0,'CREST Inputs'!$G$37*U$26))</f>
        <v>-11848.751640015555</v>
      </c>
      <c r="V30" s="71">
        <f>-IF('CREST Inputs'!$G$30="simple",0,IF(V$2&gt;'CREST Inputs'!$G$15,0,'CREST Inputs'!$G$37*V$26))</f>
        <v>-12085.726672815867</v>
      </c>
      <c r="W30" s="71">
        <f>-IF('CREST Inputs'!$G$30="simple",0,IF(W$2&gt;'CREST Inputs'!$G$15,0,'CREST Inputs'!$G$37*W$26))</f>
        <v>-12327.441206272184</v>
      </c>
      <c r="X30" s="71">
        <f>-IF('CREST Inputs'!$G$30="simple",0,IF(X$2&gt;'CREST Inputs'!$G$15,0,'CREST Inputs'!$G$37*X$26))</f>
        <v>-12573.990030397628</v>
      </c>
      <c r="Y30" s="71">
        <f>-IF('CREST Inputs'!$G$30="simple",0,IF(Y$2&gt;'CREST Inputs'!$G$15,0,'CREST Inputs'!$G$37*Y$26))</f>
        <v>-12825.469831005581</v>
      </c>
      <c r="Z30" s="71">
        <f>-IF('CREST Inputs'!$G$30="simple",0,IF(Z$2&gt;'CREST Inputs'!$G$15,0,'CREST Inputs'!$G$37*Z$26))</f>
        <v>-13081.979227625692</v>
      </c>
      <c r="AA30" s="71">
        <f>-IF('CREST Inputs'!$G$30="simple",0,IF(AA$2&gt;'CREST Inputs'!$G$15,0,'CREST Inputs'!$G$37*AA$26))</f>
        <v>-13343.618812178207</v>
      </c>
      <c r="AB30" s="71">
        <f>-IF('CREST Inputs'!$G$30="simple",0,IF(AB$2&gt;'CREST Inputs'!$G$15,0,'CREST Inputs'!$G$37*AB$26))</f>
        <v>-13610.491188421773</v>
      </c>
      <c r="AC30" s="71">
        <f>-IF('CREST Inputs'!$G$30="simple",0,IF(AC$2&gt;'CREST Inputs'!$G$15,0,'CREST Inputs'!$G$37*AC$26))</f>
        <v>-13882.701012190208</v>
      </c>
      <c r="AD30" s="71">
        <f>-IF('CREST Inputs'!$G$30="simple",0,IF(AD$2&gt;'CREST Inputs'!$G$15,0,'CREST Inputs'!$G$37*AD$26))</f>
        <v>-14160.355032434012</v>
      </c>
      <c r="AE30" s="71">
        <f>-IF('CREST Inputs'!$G$30="simple",0,IF(AE$2&gt;'CREST Inputs'!$G$15,0,'CREST Inputs'!$G$37*AE$26))</f>
        <v>-14443.562133082693</v>
      </c>
      <c r="AF30" s="71">
        <f>-IF('CREST Inputs'!$G$30="simple",0,IF(AF$2&gt;'CREST Inputs'!$G$15,0,'CREST Inputs'!$G$37*AF$26))</f>
        <v>0</v>
      </c>
      <c r="AG30" s="71">
        <f>-IF('CREST Inputs'!$G$30="simple",0,IF(AG$2&gt;'CREST Inputs'!$G$15,0,'CREST Inputs'!$G$37*AG$26))</f>
        <v>0</v>
      </c>
      <c r="AH30" s="71">
        <f>-IF('CREST Inputs'!$G$30="simple",0,IF(AH$2&gt;'CREST Inputs'!$G$15,0,'CREST Inputs'!$G$37*AH$26))</f>
        <v>0</v>
      </c>
      <c r="AI30" s="71">
        <f>-IF('CREST Inputs'!$G$30="simple",0,IF(AI$2&gt;'CREST Inputs'!$G$15,0,'CREST Inputs'!$G$37*AI$26))</f>
        <v>0</v>
      </c>
      <c r="AJ30" s="71">
        <f>-IF('CREST Inputs'!$G$30="simple",0,IF(AJ$2&gt;'CREST Inputs'!$G$15,0,'CREST Inputs'!$G$37*AJ$26))</f>
        <v>0</v>
      </c>
    </row>
    <row r="31" spans="2:36" s="27" customFormat="1" ht="15">
      <c r="B31" s="27" t="s">
        <v>59</v>
      </c>
      <c r="E31" s="64" t="s">
        <v>0</v>
      </c>
      <c r="G31" s="71">
        <f>-IF('CREST Inputs'!$G$30="simple",0,IF(G$2&gt;'CREST Inputs'!$G$15,0,'CREST Inputs'!$G$38*G$26))</f>
        <v>-13333.333333333332</v>
      </c>
      <c r="H31" s="71">
        <f>-IF('CREST Inputs'!$G$30="simple",0,IF(H$2&gt;'CREST Inputs'!$G$15,0,'CREST Inputs'!$G$38*H$26))</f>
        <v>-13599.999999999998</v>
      </c>
      <c r="I31" s="71">
        <f>-IF('CREST Inputs'!$G$30="simple",0,IF(I$2&gt;'CREST Inputs'!$G$15,0,'CREST Inputs'!$G$38*I$26))</f>
        <v>-13871.999999999998</v>
      </c>
      <c r="J31" s="71">
        <f>-IF('CREST Inputs'!$G$30="simple",0,IF(J$2&gt;'CREST Inputs'!$G$15,0,'CREST Inputs'!$G$38*J$26))</f>
        <v>-14149.439999999997</v>
      </c>
      <c r="K31" s="71">
        <f>-IF('CREST Inputs'!$G$30="simple",0,IF(K$2&gt;'CREST Inputs'!$G$15,0,'CREST Inputs'!$G$38*K$26))</f>
        <v>-14432.428799999998</v>
      </c>
      <c r="L31" s="71">
        <f>-IF('CREST Inputs'!$G$30="simple",0,IF(L$2&gt;'CREST Inputs'!$G$15,0,'CREST Inputs'!$G$38*L$26))</f>
        <v>-14721.077376</v>
      </c>
      <c r="M31" s="71">
        <f>-IF('CREST Inputs'!$G$30="simple",0,IF(M$2&gt;'CREST Inputs'!$G$15,0,'CREST Inputs'!$G$38*M$26))</f>
        <v>-15015.49892352</v>
      </c>
      <c r="N31" s="71">
        <f>-IF('CREST Inputs'!$G$30="simple",0,IF(N$2&gt;'CREST Inputs'!$G$15,0,'CREST Inputs'!$G$38*N$26))</f>
        <v>-15315.8089019904</v>
      </c>
      <c r="O31" s="71">
        <f>-IF('CREST Inputs'!$G$30="simple",0,IF(O$2&gt;'CREST Inputs'!$G$15,0,'CREST Inputs'!$G$38*O$26))</f>
        <v>-15622.125080030208</v>
      </c>
      <c r="P31" s="71">
        <f>-IF('CREST Inputs'!$G$30="simple",0,IF(P$2&gt;'CREST Inputs'!$G$15,0,'CREST Inputs'!$G$38*P$26))</f>
        <v>-15934.567581630812</v>
      </c>
      <c r="Q31" s="71">
        <f>-IF('CREST Inputs'!$G$30="simple",0,IF(Q$2&gt;'CREST Inputs'!$G$15,0,'CREST Inputs'!$G$38*Q$26))</f>
        <v>-16253.258933263429</v>
      </c>
      <c r="R31" s="71">
        <f>-IF('CREST Inputs'!$G$30="simple",0,IF(R$2&gt;'CREST Inputs'!$G$15,0,'CREST Inputs'!$G$38*R$26))</f>
        <v>-16578.324111928698</v>
      </c>
      <c r="S31" s="71">
        <f>-IF('CREST Inputs'!$G$30="simple",0,IF(S$2&gt;'CREST Inputs'!$G$15,0,'CREST Inputs'!$G$38*S$26))</f>
        <v>-16909.89059416727</v>
      </c>
      <c r="T31" s="71">
        <f>-IF('CREST Inputs'!$G$30="simple",0,IF(T$2&gt;'CREST Inputs'!$G$15,0,'CREST Inputs'!$G$38*T$26))</f>
        <v>-17248.088406050614</v>
      </c>
      <c r="U31" s="71">
        <f>-IF('CREST Inputs'!$G$30="simple",0,IF(U$2&gt;'CREST Inputs'!$G$15,0,'CREST Inputs'!$G$38*U$26))</f>
        <v>-17593.05017417163</v>
      </c>
      <c r="V31" s="71">
        <f>-IF('CREST Inputs'!$G$30="simple",0,IF(V$2&gt;'CREST Inputs'!$G$15,0,'CREST Inputs'!$G$38*V$26))</f>
        <v>-17944.911177655064</v>
      </c>
      <c r="W31" s="71">
        <f>-IF('CREST Inputs'!$G$30="simple",0,IF(W$2&gt;'CREST Inputs'!$G$15,0,'CREST Inputs'!$G$38*W$26))</f>
        <v>-18303.809401208164</v>
      </c>
      <c r="X31" s="71">
        <f>-IF('CREST Inputs'!$G$30="simple",0,IF(X$2&gt;'CREST Inputs'!$G$15,0,'CREST Inputs'!$G$38*X$26))</f>
        <v>-18669.88558923233</v>
      </c>
      <c r="Y31" s="71">
        <f>-IF('CREST Inputs'!$G$30="simple",0,IF(Y$2&gt;'CREST Inputs'!$G$15,0,'CREST Inputs'!$G$38*Y$26))</f>
        <v>-19043.283301016978</v>
      </c>
      <c r="Z31" s="71">
        <f>-IF('CREST Inputs'!$G$30="simple",0,IF(Z$2&gt;'CREST Inputs'!$G$15,0,'CREST Inputs'!$G$38*Z$26))</f>
        <v>-19424.148967037316</v>
      </c>
      <c r="AA31" s="71">
        <f>-IF('CREST Inputs'!$G$30="simple",0,IF(AA$2&gt;'CREST Inputs'!$G$15,0,'CREST Inputs'!$G$38*AA$26))</f>
        <v>-19812.631946378064</v>
      </c>
      <c r="AB31" s="71">
        <f>-IF('CREST Inputs'!$G$30="simple",0,IF(AB$2&gt;'CREST Inputs'!$G$15,0,'CREST Inputs'!$G$38*AB$26))</f>
        <v>-20208.884585305626</v>
      </c>
      <c r="AC31" s="71">
        <f>-IF('CREST Inputs'!$G$30="simple",0,IF(AC$2&gt;'CREST Inputs'!$G$15,0,'CREST Inputs'!$G$38*AC$26))</f>
        <v>-20613.06227701174</v>
      </c>
      <c r="AD31" s="71">
        <f>-IF('CREST Inputs'!$G$30="simple",0,IF(AD$2&gt;'CREST Inputs'!$G$15,0,'CREST Inputs'!$G$38*AD$26))</f>
        <v>-21025.323522551975</v>
      </c>
      <c r="AE31" s="71">
        <f>-IF('CREST Inputs'!$G$30="simple",0,IF(AE$2&gt;'CREST Inputs'!$G$15,0,'CREST Inputs'!$G$38*AE$26))</f>
        <v>-21445.82999300301</v>
      </c>
      <c r="AF31" s="71">
        <f>-IF('CREST Inputs'!$G$30="simple",0,IF(AF$2&gt;'CREST Inputs'!$G$15,0,'CREST Inputs'!$G$38*AF$26))</f>
        <v>0</v>
      </c>
      <c r="AG31" s="71">
        <f>-IF('CREST Inputs'!$G$30="simple",0,IF(AG$2&gt;'CREST Inputs'!$G$15,0,'CREST Inputs'!$G$38*AG$26))</f>
        <v>0</v>
      </c>
      <c r="AH31" s="71">
        <f>-IF('CREST Inputs'!$G$30="simple",0,IF(AH$2&gt;'CREST Inputs'!$G$15,0,'CREST Inputs'!$G$38*AH$26))</f>
        <v>0</v>
      </c>
      <c r="AI31" s="71">
        <f>-IF('CREST Inputs'!$G$30="simple",0,IF(AI$2&gt;'CREST Inputs'!$G$15,0,'CREST Inputs'!$G$38*AI$26))</f>
        <v>0</v>
      </c>
      <c r="AJ31" s="71">
        <f>-IF('CREST Inputs'!$G$30="simple",0,IF(AJ$2&gt;'CREST Inputs'!$G$15,0,'CREST Inputs'!$G$38*AJ$26))</f>
        <v>0</v>
      </c>
    </row>
    <row r="32" spans="2:36" s="27" customFormat="1" ht="15">
      <c r="B32" s="27" t="s">
        <v>99</v>
      </c>
      <c r="E32" s="64" t="s">
        <v>0</v>
      </c>
      <c r="G32" s="71">
        <f>IF('CREST Inputs'!$G$30="simple",0,IF(G$2&gt;'CREST Inputs'!$G$15,0,-'CREST Inputs'!$G$39))</f>
        <v>0</v>
      </c>
      <c r="H32" s="71">
        <f>IF('CREST Inputs'!$G$30="simple",0,IF(H$2&gt;'CREST Inputs'!$G$15,0,G32*(1+'CREST Inputs'!$G$40)))</f>
        <v>0</v>
      </c>
      <c r="I32" s="71">
        <f>IF('CREST Inputs'!$G$30="simple",0,IF(I$2&gt;'CREST Inputs'!$G$15,0,H32*(1+'CREST Inputs'!$G$40)))</f>
        <v>0</v>
      </c>
      <c r="J32" s="71">
        <f>IF('CREST Inputs'!$G$30="simple",0,IF(J$2&gt;'CREST Inputs'!$G$15,0,I32*(1+'CREST Inputs'!$G$40)))</f>
        <v>0</v>
      </c>
      <c r="K32" s="71">
        <f>IF('CREST Inputs'!$G$30="simple",0,IF(K$2&gt;'CREST Inputs'!$G$15,0,J32*(1+'CREST Inputs'!$G$40)))</f>
        <v>0</v>
      </c>
      <c r="L32" s="71">
        <f>IF('CREST Inputs'!$G$30="simple",0,IF(L$2&gt;'CREST Inputs'!$G$15,0,K32*(1+'CREST Inputs'!$G$40)))</f>
        <v>0</v>
      </c>
      <c r="M32" s="71">
        <f>IF('CREST Inputs'!$G$30="simple",0,IF(M$2&gt;'CREST Inputs'!$G$15,0,L32*(1+'CREST Inputs'!$G$40)))</f>
        <v>0</v>
      </c>
      <c r="N32" s="71">
        <f>IF('CREST Inputs'!$G$30="simple",0,IF(N$2&gt;'CREST Inputs'!$G$15,0,M32*(1+'CREST Inputs'!$G$40)))</f>
        <v>0</v>
      </c>
      <c r="O32" s="71">
        <f>IF('CREST Inputs'!$G$30="simple",0,IF(O$2&gt;'CREST Inputs'!$G$15,0,N32*(1+'CREST Inputs'!$G$40)))</f>
        <v>0</v>
      </c>
      <c r="P32" s="71">
        <f>IF('CREST Inputs'!$G$30="simple",0,IF(P$2&gt;'CREST Inputs'!$G$15,0,O32*(1+'CREST Inputs'!$G$40)))</f>
        <v>0</v>
      </c>
      <c r="Q32" s="71">
        <f>IF('CREST Inputs'!$G$30="simple",0,IF(Q$2&gt;'CREST Inputs'!$G$15,0,P32*(1+'CREST Inputs'!$G$40)))</f>
        <v>0</v>
      </c>
      <c r="R32" s="71">
        <f>IF('CREST Inputs'!$G$30="simple",0,IF(R$2&gt;'CREST Inputs'!$G$15,0,Q32*(1+'CREST Inputs'!$G$40)))</f>
        <v>0</v>
      </c>
      <c r="S32" s="71">
        <f>IF('CREST Inputs'!$G$30="simple",0,IF(S$2&gt;'CREST Inputs'!$G$15,0,R32*(1+'CREST Inputs'!$G$40)))</f>
        <v>0</v>
      </c>
      <c r="T32" s="71">
        <f>IF('CREST Inputs'!$G$30="simple",0,IF(T$2&gt;'CREST Inputs'!$G$15,0,S32*(1+'CREST Inputs'!$G$40)))</f>
        <v>0</v>
      </c>
      <c r="U32" s="71">
        <f>IF('CREST Inputs'!$G$30="simple",0,IF(U$2&gt;'CREST Inputs'!$G$15,0,T32*(1+'CREST Inputs'!$G$40)))</f>
        <v>0</v>
      </c>
      <c r="V32" s="71">
        <f>IF('CREST Inputs'!$G$30="simple",0,IF(V$2&gt;'CREST Inputs'!$G$15,0,U32*(1+'CREST Inputs'!$G$40)))</f>
        <v>0</v>
      </c>
      <c r="W32" s="71">
        <f>IF('CREST Inputs'!$G$30="simple",0,IF(W$2&gt;'CREST Inputs'!$G$15,0,V32*(1+'CREST Inputs'!$G$40)))</f>
        <v>0</v>
      </c>
      <c r="X32" s="71">
        <f>IF('CREST Inputs'!$G$30="simple",0,IF(X$2&gt;'CREST Inputs'!$G$15,0,W32*(1+'CREST Inputs'!$G$40)))</f>
        <v>0</v>
      </c>
      <c r="Y32" s="71">
        <f>IF('CREST Inputs'!$G$30="simple",0,IF(Y$2&gt;'CREST Inputs'!$G$15,0,X32*(1+'CREST Inputs'!$G$40)))</f>
        <v>0</v>
      </c>
      <c r="Z32" s="71">
        <f>IF('CREST Inputs'!$G$30="simple",0,IF(Z$2&gt;'CREST Inputs'!$G$15,0,Y32*(1+'CREST Inputs'!$G$40)))</f>
        <v>0</v>
      </c>
      <c r="AA32" s="71">
        <f>IF('CREST Inputs'!$G$30="simple",0,IF(AA$2&gt;'CREST Inputs'!$G$15,0,Z32*(1+'CREST Inputs'!$G$40)))</f>
        <v>0</v>
      </c>
      <c r="AB32" s="71">
        <f>IF('CREST Inputs'!$G$30="simple",0,IF(AB$2&gt;'CREST Inputs'!$G$15,0,AA32*(1+'CREST Inputs'!$G$40)))</f>
        <v>0</v>
      </c>
      <c r="AC32" s="71">
        <f>IF('CREST Inputs'!$G$30="simple",0,IF(AC$2&gt;'CREST Inputs'!$G$15,0,AB32*(1+'CREST Inputs'!$G$40)))</f>
        <v>0</v>
      </c>
      <c r="AD32" s="71">
        <f>IF('CREST Inputs'!$G$30="simple",0,IF(AD$2&gt;'CREST Inputs'!$G$15,0,AC32*(1+'CREST Inputs'!$G$40)))</f>
        <v>0</v>
      </c>
      <c r="AE32" s="71">
        <f>IF('CREST Inputs'!$G$30="simple",0,IF(AE$2&gt;'CREST Inputs'!$G$15,0,AD32*(1+'CREST Inputs'!$G$40)))</f>
        <v>0</v>
      </c>
      <c r="AF32" s="71">
        <f>IF('CREST Inputs'!$G$30="simple",0,IF(AF$2&gt;'CREST Inputs'!$G$15,0,AE32*(1+'CREST Inputs'!$G$40)))</f>
        <v>0</v>
      </c>
      <c r="AG32" s="71">
        <f>IF('CREST Inputs'!$G$30="simple",0,IF(AG$2&gt;'CREST Inputs'!$G$15,0,AF32*(1+'CREST Inputs'!$G$40)))</f>
        <v>0</v>
      </c>
      <c r="AH32" s="71">
        <f>IF('CREST Inputs'!$G$30="simple",0,IF(AH$2&gt;'CREST Inputs'!$G$15,0,AG32*(1+'CREST Inputs'!$G$40)))</f>
        <v>0</v>
      </c>
      <c r="AI32" s="71">
        <f>IF('CREST Inputs'!$G$30="simple",0,IF(AI$2&gt;'CREST Inputs'!$G$15,0,AH32*(1+'CREST Inputs'!$G$40)))</f>
        <v>0</v>
      </c>
      <c r="AJ32" s="71">
        <f>IF('CREST Inputs'!$G$30="simple",0,IF(AJ$2&gt;'CREST Inputs'!$G$15,0,AI32*(1+'CREST Inputs'!$G$40)))</f>
        <v>0</v>
      </c>
    </row>
    <row r="33" spans="2:36" s="27" customFormat="1" ht="15">
      <c r="B33" s="27" t="s">
        <v>268</v>
      </c>
      <c r="E33" s="64" t="s">
        <v>0</v>
      </c>
      <c r="G33" s="71">
        <f>IF('CREST Inputs'!$G$30="simple",0,IF(G$2&gt;'CREST Inputs'!$G$15,0,-'CREST Inputs'!$G$41*G$26))</f>
        <v>0</v>
      </c>
      <c r="H33" s="71">
        <f>IF('CREST Inputs'!$G$30="simple",0,IF(H$2&gt;'CREST Inputs'!$G$15,0,-'CREST Inputs'!$G$41*H$26))</f>
        <v>0</v>
      </c>
      <c r="I33" s="71">
        <f>IF('CREST Inputs'!$G$30="simple",0,IF(I$2&gt;'CREST Inputs'!$G$15,0,-'CREST Inputs'!$G$41*I$26))</f>
        <v>0</v>
      </c>
      <c r="J33" s="71">
        <f>IF('CREST Inputs'!$G$30="simple",0,IF(J$2&gt;'CREST Inputs'!$G$15,0,-'CREST Inputs'!$G$41*J$26))</f>
        <v>0</v>
      </c>
      <c r="K33" s="71">
        <f>IF('CREST Inputs'!$G$30="simple",0,IF(K$2&gt;'CREST Inputs'!$G$15,0,-'CREST Inputs'!$G$41*K$26))</f>
        <v>0</v>
      </c>
      <c r="L33" s="71">
        <f>IF('CREST Inputs'!$G$30="simple",0,IF(L$2&gt;'CREST Inputs'!$G$15,0,-'CREST Inputs'!$G$41*L$26))</f>
        <v>0</v>
      </c>
      <c r="M33" s="71">
        <f>IF('CREST Inputs'!$G$30="simple",0,IF(M$2&gt;'CREST Inputs'!$G$15,0,-'CREST Inputs'!$G$41*M$26))</f>
        <v>0</v>
      </c>
      <c r="N33" s="71">
        <f>IF('CREST Inputs'!$G$30="simple",0,IF(N$2&gt;'CREST Inputs'!$G$15,0,-'CREST Inputs'!$G$41*N$26))</f>
        <v>0</v>
      </c>
      <c r="O33" s="71">
        <f>IF('CREST Inputs'!$G$30="simple",0,IF(O$2&gt;'CREST Inputs'!$G$15,0,-'CREST Inputs'!$G$41*O$26))</f>
        <v>0</v>
      </c>
      <c r="P33" s="71">
        <f>IF('CREST Inputs'!$G$30="simple",0,IF(P$2&gt;'CREST Inputs'!$G$15,0,-'CREST Inputs'!$G$41*P$26))</f>
        <v>0</v>
      </c>
      <c r="Q33" s="71">
        <f>IF('CREST Inputs'!$G$30="simple",0,IF(Q$2&gt;'CREST Inputs'!$G$15,0,-'CREST Inputs'!$G$41*Q$26))</f>
        <v>0</v>
      </c>
      <c r="R33" s="71">
        <f>IF('CREST Inputs'!$G$30="simple",0,IF(R$2&gt;'CREST Inputs'!$G$15,0,-'CREST Inputs'!$G$41*R$26))</f>
        <v>0</v>
      </c>
      <c r="S33" s="71">
        <f>IF('CREST Inputs'!$G$30="simple",0,IF(S$2&gt;'CREST Inputs'!$G$15,0,-'CREST Inputs'!$G$41*S$26))</f>
        <v>0</v>
      </c>
      <c r="T33" s="71">
        <f>IF('CREST Inputs'!$G$30="simple",0,IF(T$2&gt;'CREST Inputs'!$G$15,0,-'CREST Inputs'!$G$41*T$26))</f>
        <v>0</v>
      </c>
      <c r="U33" s="71">
        <f>IF('CREST Inputs'!$G$30="simple",0,IF(U$2&gt;'CREST Inputs'!$G$15,0,-'CREST Inputs'!$G$41*U$26))</f>
        <v>0</v>
      </c>
      <c r="V33" s="71">
        <f>IF('CREST Inputs'!$G$30="simple",0,IF(V$2&gt;'CREST Inputs'!$G$15,0,-'CREST Inputs'!$G$41*V$26))</f>
        <v>0</v>
      </c>
      <c r="W33" s="71">
        <f>IF('CREST Inputs'!$G$30="simple",0,IF(W$2&gt;'CREST Inputs'!$G$15,0,-'CREST Inputs'!$G$41*W$26))</f>
        <v>0</v>
      </c>
      <c r="X33" s="71">
        <f>IF('CREST Inputs'!$G$30="simple",0,IF(X$2&gt;'CREST Inputs'!$G$15,0,-'CREST Inputs'!$G$41*X$26))</f>
        <v>0</v>
      </c>
      <c r="Y33" s="71">
        <f>IF('CREST Inputs'!$G$30="simple",0,IF(Y$2&gt;'CREST Inputs'!$G$15,0,-'CREST Inputs'!$G$41*Y$26))</f>
        <v>0</v>
      </c>
      <c r="Z33" s="71">
        <f>IF('CREST Inputs'!$G$30="simple",0,IF(Z$2&gt;'CREST Inputs'!$G$15,0,-'CREST Inputs'!$G$41*Z$26))</f>
        <v>0</v>
      </c>
      <c r="AA33" s="71">
        <f>IF('CREST Inputs'!$G$30="simple",0,IF(AA$2&gt;'CREST Inputs'!$G$15,0,-'CREST Inputs'!$G$41*AA$26))</f>
        <v>0</v>
      </c>
      <c r="AB33" s="71">
        <f>IF('CREST Inputs'!$G$30="simple",0,IF(AB$2&gt;'CREST Inputs'!$G$15,0,-'CREST Inputs'!$G$41*AB$26))</f>
        <v>0</v>
      </c>
      <c r="AC33" s="71">
        <f>IF('CREST Inputs'!$G$30="simple",0,IF(AC$2&gt;'CREST Inputs'!$G$15,0,-'CREST Inputs'!$G$41*AC$26))</f>
        <v>0</v>
      </c>
      <c r="AD33" s="71">
        <f>IF('CREST Inputs'!$G$30="simple",0,IF(AD$2&gt;'CREST Inputs'!$G$15,0,-'CREST Inputs'!$G$41*AD$26))</f>
        <v>0</v>
      </c>
      <c r="AE33" s="71">
        <f>IF('CREST Inputs'!$G$30="simple",0,IF(AE$2&gt;'CREST Inputs'!$G$15,0,-'CREST Inputs'!$G$41*AE$26))</f>
        <v>0</v>
      </c>
      <c r="AF33" s="71">
        <f>IF('CREST Inputs'!$G$30="simple",0,IF(AF$2&gt;'CREST Inputs'!$G$15,0,-'CREST Inputs'!$G$41*AF$26))</f>
        <v>0</v>
      </c>
      <c r="AG33" s="71">
        <f>IF('CREST Inputs'!$G$30="simple",0,IF(AG$2&gt;'CREST Inputs'!$G$15,0,-'CREST Inputs'!$G$41*AG$26))</f>
        <v>0</v>
      </c>
      <c r="AH33" s="71">
        <f>IF('CREST Inputs'!$G$30="simple",0,IF(AH$2&gt;'CREST Inputs'!$G$15,0,-'CREST Inputs'!$G$41*AH$26))</f>
        <v>0</v>
      </c>
      <c r="AI33" s="71">
        <f>IF('CREST Inputs'!$G$30="simple",0,IF(AI$2&gt;'CREST Inputs'!$G$15,0,-'CREST Inputs'!$G$41*AI$26))</f>
        <v>0</v>
      </c>
      <c r="AJ33" s="71">
        <f>IF('CREST Inputs'!$G$30="simple",0,IF(AJ$2&gt;'CREST Inputs'!$G$15,0,-'CREST Inputs'!$G$41*AJ$26))</f>
        <v>0</v>
      </c>
    </row>
    <row r="34" spans="2:36" s="27" customFormat="1" ht="15">
      <c r="B34" s="38" t="s">
        <v>100</v>
      </c>
      <c r="C34" s="38"/>
      <c r="D34" s="38"/>
      <c r="E34" s="67" t="s">
        <v>0</v>
      </c>
      <c r="F34" s="38"/>
      <c r="G34" s="52">
        <f>-IF('CREST Inputs'!$G$30="simple",0,IF(G$2&gt;'CREST Inputs'!$G$15,0,'CREST Inputs'!$G$42*(G$15+G$17+G$19+G$21)))</f>
        <v>0</v>
      </c>
      <c r="H34" s="52">
        <f>-IF('CREST Inputs'!$G$30="simple",0,IF(H$2&gt;'CREST Inputs'!$G$15,0,'CREST Inputs'!$G$42*(H$15+H$17+H$19+H$21)))</f>
        <v>0</v>
      </c>
      <c r="I34" s="52">
        <f>-IF('CREST Inputs'!$G$30="simple",0,IF(I$2&gt;'CREST Inputs'!$G$15,0,'CREST Inputs'!$G$42*(I$15+I$17+I$19+I$21)))</f>
        <v>0</v>
      </c>
      <c r="J34" s="52">
        <f>-IF('CREST Inputs'!$G$30="simple",0,IF(J$2&gt;'CREST Inputs'!$G$15,0,'CREST Inputs'!$G$42*(J$15+J$17+J$19+J$21)))</f>
        <v>0</v>
      </c>
      <c r="K34" s="52">
        <f>-IF('CREST Inputs'!$G$30="simple",0,IF(K$2&gt;'CREST Inputs'!$G$15,0,'CREST Inputs'!$G$42*(K$15+K$17+K$19+K$21)))</f>
        <v>0</v>
      </c>
      <c r="L34" s="52">
        <f>-IF('CREST Inputs'!$G$30="simple",0,IF(L$2&gt;'CREST Inputs'!$G$15,0,'CREST Inputs'!$G$42*(L$15+L$17+L$19+L$21)))</f>
        <v>0</v>
      </c>
      <c r="M34" s="52">
        <f>-IF('CREST Inputs'!$G$30="simple",0,IF(M$2&gt;'CREST Inputs'!$G$15,0,'CREST Inputs'!$G$42*(M$15+M$17+M$19+M$21)))</f>
        <v>0</v>
      </c>
      <c r="N34" s="52">
        <f>-IF('CREST Inputs'!$G$30="simple",0,IF(N$2&gt;'CREST Inputs'!$G$15,0,'CREST Inputs'!$G$42*(N$15+N$17+N$19+N$21)))</f>
        <v>0</v>
      </c>
      <c r="O34" s="52">
        <f>-IF('CREST Inputs'!$G$30="simple",0,IF(O$2&gt;'CREST Inputs'!$G$15,0,'CREST Inputs'!$G$42*(O$15+O$17+O$19+O$21)))</f>
        <v>0</v>
      </c>
      <c r="P34" s="52">
        <f>-IF('CREST Inputs'!$G$30="simple",0,IF(P$2&gt;'CREST Inputs'!$G$15,0,'CREST Inputs'!$G$42*(P$15+P$17+P$19+P$21)))</f>
        <v>0</v>
      </c>
      <c r="Q34" s="52">
        <f>-IF('CREST Inputs'!$G$30="simple",0,IF(Q$2&gt;'CREST Inputs'!$G$15,0,'CREST Inputs'!$G$42*(Q$15+Q$17+Q$19+Q$21)))</f>
        <v>0</v>
      </c>
      <c r="R34" s="52">
        <f>-IF('CREST Inputs'!$G$30="simple",0,IF(R$2&gt;'CREST Inputs'!$G$15,0,'CREST Inputs'!$G$42*(R$15+R$17+R$19+R$21)))</f>
        <v>0</v>
      </c>
      <c r="S34" s="52">
        <f>-IF('CREST Inputs'!$G$30="simple",0,IF(S$2&gt;'CREST Inputs'!$G$15,0,'CREST Inputs'!$G$42*(S$15+S$17+S$19+S$21)))</f>
        <v>0</v>
      </c>
      <c r="T34" s="52">
        <f>-IF('CREST Inputs'!$G$30="simple",0,IF(T$2&gt;'CREST Inputs'!$G$15,0,'CREST Inputs'!$G$42*(T$15+T$17+T$19+T$21)))</f>
        <v>0</v>
      </c>
      <c r="U34" s="52">
        <f>-IF('CREST Inputs'!$G$30="simple",0,IF(U$2&gt;'CREST Inputs'!$G$15,0,'CREST Inputs'!$G$42*(U$15+U$17+U$19+U$21)))</f>
        <v>0</v>
      </c>
      <c r="V34" s="52">
        <f>-IF('CREST Inputs'!$G$30="simple",0,IF(V$2&gt;'CREST Inputs'!$G$15,0,'CREST Inputs'!$G$42*(V$15+V$17+V$19+V$21)))</f>
        <v>0</v>
      </c>
      <c r="W34" s="52">
        <f>-IF('CREST Inputs'!$G$30="simple",0,IF(W$2&gt;'CREST Inputs'!$G$15,0,'CREST Inputs'!$G$42*(W$15+W$17+W$19+W$21)))</f>
        <v>0</v>
      </c>
      <c r="X34" s="52">
        <f>-IF('CREST Inputs'!$G$30="simple",0,IF(X$2&gt;'CREST Inputs'!$G$15,0,'CREST Inputs'!$G$42*(X$15+X$17+X$19+X$21)))</f>
        <v>0</v>
      </c>
      <c r="Y34" s="52">
        <f>-IF('CREST Inputs'!$G$30="simple",0,IF(Y$2&gt;'CREST Inputs'!$G$15,0,'CREST Inputs'!$G$42*(Y$15+Y$17+Y$19+Y$21)))</f>
        <v>0</v>
      </c>
      <c r="Z34" s="52">
        <f>-IF('CREST Inputs'!$G$30="simple",0,IF(Z$2&gt;'CREST Inputs'!$G$15,0,'CREST Inputs'!$G$42*(Z$15+Z$17+Z$19+Z$21)))</f>
        <v>0</v>
      </c>
      <c r="AA34" s="52">
        <f>-IF('CREST Inputs'!$G$30="simple",0,IF(AA$2&gt;'CREST Inputs'!$G$15,0,'CREST Inputs'!$G$42*(AA$15+AA$17+AA$19+AA$21)))</f>
        <v>0</v>
      </c>
      <c r="AB34" s="52">
        <f>-IF('CREST Inputs'!$G$30="simple",0,IF(AB$2&gt;'CREST Inputs'!$G$15,0,'CREST Inputs'!$G$42*(AB$15+AB$17+AB$19+AB$21)))</f>
        <v>0</v>
      </c>
      <c r="AC34" s="52">
        <f>-IF('CREST Inputs'!$G$30="simple",0,IF(AC$2&gt;'CREST Inputs'!$G$15,0,'CREST Inputs'!$G$42*(AC$15+AC$17+AC$19+AC$21)))</f>
        <v>0</v>
      </c>
      <c r="AD34" s="52">
        <f>-IF('CREST Inputs'!$G$30="simple",0,IF(AD$2&gt;'CREST Inputs'!$G$15,0,'CREST Inputs'!$G$42*(AD$15+AD$17+AD$19+AD$21)))</f>
        <v>0</v>
      </c>
      <c r="AE34" s="52">
        <f>-IF('CREST Inputs'!$G$30="simple",0,IF(AE$2&gt;'CREST Inputs'!$G$15,0,'CREST Inputs'!$G$42*(AE$15+AE$17+AE$19+AE$21)))</f>
        <v>0</v>
      </c>
      <c r="AF34" s="52">
        <f>-IF('CREST Inputs'!$G$30="simple",0,IF(AF$2&gt;'CREST Inputs'!$G$15,0,'CREST Inputs'!$G$42*(AF$15+AF$17+AF$19+AF$21)))</f>
        <v>0</v>
      </c>
      <c r="AG34" s="52">
        <f>-IF('CREST Inputs'!$G$30="simple",0,IF(AG$2&gt;'CREST Inputs'!$G$15,0,'CREST Inputs'!$G$42*(AG$15+AG$17+AG$19+AG$21)))</f>
        <v>0</v>
      </c>
      <c r="AH34" s="52">
        <f>-IF('CREST Inputs'!$G$30="simple",0,IF(AH$2&gt;'CREST Inputs'!$G$15,0,'CREST Inputs'!$G$42*(AH$15+AH$17+AH$19+AH$21)))</f>
        <v>0</v>
      </c>
      <c r="AI34" s="52">
        <f>-IF('CREST Inputs'!$G$30="simple",0,IF(AI$2&gt;'CREST Inputs'!$G$15,0,'CREST Inputs'!$G$42*(AI$15+AI$17+AI$19+AI$21)))</f>
        <v>0</v>
      </c>
      <c r="AJ34" s="52">
        <f>-IF('CREST Inputs'!$G$30="simple",0,IF(AJ$2&gt;'CREST Inputs'!$G$15,0,'CREST Inputs'!$G$42*(AJ$15+AJ$17+AJ$19+AJ$21)))</f>
        <v>0</v>
      </c>
    </row>
    <row r="35" spans="2:36" s="27" customFormat="1" ht="15.75">
      <c r="B35" s="42" t="s">
        <v>103</v>
      </c>
      <c r="C35" s="42"/>
      <c r="D35" s="42"/>
      <c r="E35" s="68" t="s">
        <v>0</v>
      </c>
      <c r="F35" s="32"/>
      <c r="G35" s="43">
        <f>SUM(G28:G34)</f>
        <v>-48979.87294051732</v>
      </c>
      <c r="H35" s="43">
        <f aca="true" t="shared" si="5" ref="H35:AJ35">SUM(H28:H34)</f>
        <v>-49959.47039932766</v>
      </c>
      <c r="I35" s="43">
        <f t="shared" si="5"/>
        <v>-50958.659807314216</v>
      </c>
      <c r="J35" s="43">
        <f t="shared" si="5"/>
        <v>-51977.833003460495</v>
      </c>
      <c r="K35" s="43">
        <f t="shared" si="5"/>
        <v>-53017.38966352971</v>
      </c>
      <c r="L35" s="43">
        <f t="shared" si="5"/>
        <v>-54077.737456800314</v>
      </c>
      <c r="M35" s="43">
        <f t="shared" si="5"/>
        <v>-55159.29220593631</v>
      </c>
      <c r="N35" s="43">
        <f t="shared" si="5"/>
        <v>-56262.47805005504</v>
      </c>
      <c r="O35" s="43">
        <f t="shared" si="5"/>
        <v>-57387.72761105614</v>
      </c>
      <c r="P35" s="43">
        <f t="shared" si="5"/>
        <v>-58535.48216327727</v>
      </c>
      <c r="Q35" s="43">
        <f t="shared" si="5"/>
        <v>-59706.19180654282</v>
      </c>
      <c r="R35" s="43">
        <f t="shared" si="5"/>
        <v>-60900.31564267367</v>
      </c>
      <c r="S35" s="43">
        <f t="shared" si="5"/>
        <v>-62118.32195552714</v>
      </c>
      <c r="T35" s="43">
        <f t="shared" si="5"/>
        <v>-63360.68839463768</v>
      </c>
      <c r="U35" s="43">
        <f t="shared" si="5"/>
        <v>-64627.902162530445</v>
      </c>
      <c r="V35" s="43">
        <f t="shared" si="5"/>
        <v>-65920.46020578106</v>
      </c>
      <c r="W35" s="43">
        <f t="shared" si="5"/>
        <v>-67238.86940989667</v>
      </c>
      <c r="X35" s="43">
        <f t="shared" si="5"/>
        <v>-68583.64679809462</v>
      </c>
      <c r="Y35" s="43">
        <f t="shared" si="5"/>
        <v>-69955.31973405651</v>
      </c>
      <c r="Z35" s="43">
        <f>SUM(Z28:Z34)</f>
        <v>-71354.42612873764</v>
      </c>
      <c r="AA35" s="43">
        <f t="shared" si="5"/>
        <v>-72781.5146513124</v>
      </c>
      <c r="AB35" s="43">
        <f t="shared" si="5"/>
        <v>-74237.14494433865</v>
      </c>
      <c r="AC35" s="43">
        <f t="shared" si="5"/>
        <v>-75721.88784322543</v>
      </c>
      <c r="AD35" s="43">
        <f t="shared" si="5"/>
        <v>-77236.32560008994</v>
      </c>
      <c r="AE35" s="43">
        <f t="shared" si="5"/>
        <v>-78781.05211209173</v>
      </c>
      <c r="AF35" s="43">
        <f t="shared" si="5"/>
        <v>0</v>
      </c>
      <c r="AG35" s="43">
        <f t="shared" si="5"/>
        <v>0</v>
      </c>
      <c r="AH35" s="43">
        <f t="shared" si="5"/>
        <v>0</v>
      </c>
      <c r="AI35" s="43">
        <f t="shared" si="5"/>
        <v>0</v>
      </c>
      <c r="AJ35" s="43">
        <f t="shared" si="5"/>
        <v>0</v>
      </c>
    </row>
    <row r="36" spans="2:36" s="29" customFormat="1" ht="15.75" hidden="1">
      <c r="B36" s="42"/>
      <c r="C36" s="42"/>
      <c r="D36" s="42"/>
      <c r="E36" s="296"/>
      <c r="F36" s="48"/>
      <c r="G36" s="49">
        <f>IF(G35=0,"",G35)</f>
        <v>-48979.87294051732</v>
      </c>
      <c r="H36" s="49">
        <f aca="true" t="shared" si="6" ref="H36:AJ36">IF(H35=0,"",H35)</f>
        <v>-49959.47039932766</v>
      </c>
      <c r="I36" s="49">
        <f t="shared" si="6"/>
        <v>-50958.659807314216</v>
      </c>
      <c r="J36" s="49">
        <f t="shared" si="6"/>
        <v>-51977.833003460495</v>
      </c>
      <c r="K36" s="49">
        <f t="shared" si="6"/>
        <v>-53017.38966352971</v>
      </c>
      <c r="L36" s="49">
        <f t="shared" si="6"/>
        <v>-54077.737456800314</v>
      </c>
      <c r="M36" s="49">
        <f t="shared" si="6"/>
        <v>-55159.29220593631</v>
      </c>
      <c r="N36" s="49">
        <f t="shared" si="6"/>
        <v>-56262.47805005504</v>
      </c>
      <c r="O36" s="49">
        <f t="shared" si="6"/>
        <v>-57387.72761105614</v>
      </c>
      <c r="P36" s="49">
        <f t="shared" si="6"/>
        <v>-58535.48216327727</v>
      </c>
      <c r="Q36" s="49">
        <f t="shared" si="6"/>
        <v>-59706.19180654282</v>
      </c>
      <c r="R36" s="49">
        <f t="shared" si="6"/>
        <v>-60900.31564267367</v>
      </c>
      <c r="S36" s="49">
        <f t="shared" si="6"/>
        <v>-62118.32195552714</v>
      </c>
      <c r="T36" s="49">
        <f t="shared" si="6"/>
        <v>-63360.68839463768</v>
      </c>
      <c r="U36" s="49">
        <f t="shared" si="6"/>
        <v>-64627.902162530445</v>
      </c>
      <c r="V36" s="49">
        <f t="shared" si="6"/>
        <v>-65920.46020578106</v>
      </c>
      <c r="W36" s="49">
        <f t="shared" si="6"/>
        <v>-67238.86940989667</v>
      </c>
      <c r="X36" s="49">
        <f t="shared" si="6"/>
        <v>-68583.64679809462</v>
      </c>
      <c r="Y36" s="49">
        <f t="shared" si="6"/>
        <v>-69955.31973405651</v>
      </c>
      <c r="Z36" s="49">
        <f t="shared" si="6"/>
        <v>-71354.42612873764</v>
      </c>
      <c r="AA36" s="49">
        <f t="shared" si="6"/>
        <v>-72781.5146513124</v>
      </c>
      <c r="AB36" s="49">
        <f t="shared" si="6"/>
        <v>-74237.14494433865</v>
      </c>
      <c r="AC36" s="49">
        <f t="shared" si="6"/>
        <v>-75721.88784322543</v>
      </c>
      <c r="AD36" s="49">
        <f t="shared" si="6"/>
        <v>-77236.32560008994</v>
      </c>
      <c r="AE36" s="49">
        <f t="shared" si="6"/>
        <v>-78781.05211209173</v>
      </c>
      <c r="AF36" s="49">
        <f t="shared" si="6"/>
      </c>
      <c r="AG36" s="49">
        <f t="shared" si="6"/>
      </c>
      <c r="AH36" s="49">
        <f t="shared" si="6"/>
      </c>
      <c r="AI36" s="49">
        <f t="shared" si="6"/>
      </c>
      <c r="AJ36" s="49">
        <f t="shared" si="6"/>
      </c>
    </row>
    <row r="37" spans="2:36" s="27" customFormat="1" ht="15">
      <c r="B37" s="44" t="s">
        <v>294</v>
      </c>
      <c r="C37" s="44"/>
      <c r="D37" s="44"/>
      <c r="E37" s="66" t="s">
        <v>50</v>
      </c>
      <c r="F37" s="45"/>
      <c r="G37" s="456">
        <f>IF(G$2&gt;'CREST Inputs'!$G$15,0,G35*100/G5)</f>
        <v>-1.497672240108773</v>
      </c>
      <c r="H37" s="456">
        <f>IF(H$2&gt;'CREST Inputs'!$G$15,0,H35*100/H5)</f>
        <v>-1.5353021958904003</v>
      </c>
      <c r="I37" s="456">
        <f>IF(I$2&gt;'CREST Inputs'!$G$15,0,I35*100/I5)</f>
        <v>-1.5738776279479478</v>
      </c>
      <c r="J37" s="456">
        <f>IF(J$2&gt;'CREST Inputs'!$G$15,0,J35*100/J5)</f>
        <v>-1.6134222919667407</v>
      </c>
      <c r="K37" s="456">
        <f>IF(K$2&gt;'CREST Inputs'!$G$15,0,K35*100/K5)</f>
        <v>-1.6539605405086186</v>
      </c>
      <c r="L37" s="456">
        <f>IF(L$2&gt;'CREST Inputs'!$G$15,0,L35*100/L5)</f>
        <v>-1.6955173380088353</v>
      </c>
      <c r="M37" s="456">
        <f>IF(M$2&gt;'CREST Inputs'!$G$15,0,M35*100/M5)</f>
        <v>-1.7381182761497604</v>
      </c>
      <c r="N37" s="456">
        <f>IF(N$2&gt;'CREST Inputs'!$G$15,0,N35*100/N5)</f>
        <v>-1.7817895896208602</v>
      </c>
      <c r="O37" s="456">
        <f>IF(O$2&gt;'CREST Inputs'!$G$15,0,O35*100/O5)</f>
        <v>-1.826558172274651</v>
      </c>
      <c r="P37" s="456">
        <f>IF(P$2&gt;'CREST Inputs'!$G$15,0,P35*100/P5)</f>
        <v>-1.8724515936885868</v>
      </c>
      <c r="Q37" s="456">
        <f>IF(Q$2&gt;'CREST Inputs'!$G$15,0,Q35*100/Q5)</f>
        <v>-1.9194981161430742</v>
      </c>
      <c r="R37" s="456">
        <f>IF(R$2&gt;'CREST Inputs'!$G$15,0,R35*100/R5)</f>
        <v>-1.967726712026066</v>
      </c>
      <c r="S37" s="456">
        <f>IF(S$2&gt;'CREST Inputs'!$G$15,0,S35*100/S5)</f>
        <v>-2.017167081674962</v>
      </c>
      <c r="T37" s="456">
        <f>IF(T$2&gt;'CREST Inputs'!$G$15,0,T35*100/T5)</f>
        <v>-2.067849671666795</v>
      </c>
      <c r="U37" s="456">
        <f>IF(U$2&gt;'CREST Inputs'!$G$15,0,U35*100/U5)</f>
        <v>-2.119805693567971</v>
      </c>
      <c r="V37" s="456">
        <f>IF(V$2&gt;'CREST Inputs'!$G$15,0,V35*100/V5)</f>
        <v>-2.1730671431551065</v>
      </c>
      <c r="W37" s="456">
        <f>IF(W$2&gt;'CREST Inputs'!$G$15,0,W35*100/W5)</f>
        <v>-2.227666820118802</v>
      </c>
      <c r="X37" s="456">
        <f>IF(X$2&gt;'CREST Inputs'!$G$15,0,X35*100/X5)</f>
        <v>-2.2836383482624916</v>
      </c>
      <c r="Y37" s="456">
        <f>IF(Y$2&gt;'CREST Inputs'!$G$15,0,Y35*100/Y5)</f>
        <v>-2.341016196208785</v>
      </c>
      <c r="Z37" s="456">
        <f>IF(Z$2&gt;'CREST Inputs'!$G$15,0,Z35*100/Z5)</f>
        <v>-2.3998356986260916</v>
      </c>
      <c r="AA37" s="456">
        <f>IF(AA$2&gt;'CREST Inputs'!$G$15,0,AA35*100/AA5)</f>
        <v>-2.4601330779885564</v>
      </c>
      <c r="AB37" s="456">
        <f>IF(AB$2&gt;'CREST Inputs'!$G$15,0,AB35*100/AB5)</f>
        <v>-2.521945466882741</v>
      </c>
      <c r="AC37" s="456">
        <f>IF(AC$2&gt;'CREST Inputs'!$G$15,0,AC35*100/AC5)</f>
        <v>-2.5853109308747695</v>
      </c>
      <c r="AD37" s="456">
        <f>IF(AD$2&gt;'CREST Inputs'!$G$15,0,AD35*100/AD5)</f>
        <v>-2.6502684919520254</v>
      </c>
      <c r="AE37" s="456">
        <f>IF(AE$2&gt;'CREST Inputs'!$G$15,0,AE35*100/AE5)</f>
        <v>-2.7168581525538347</v>
      </c>
      <c r="AF37" s="456">
        <f>IF(AF$2&gt;'CREST Inputs'!$G$15,0,AF35*100/AF5)</f>
        <v>0</v>
      </c>
      <c r="AG37" s="456">
        <f>IF(AG$2&gt;'CREST Inputs'!$G$15,0,AG35*100/AG5)</f>
        <v>0</v>
      </c>
      <c r="AH37" s="456">
        <f>IF(AH$2&gt;'CREST Inputs'!$G$15,0,AH35*100/AH5)</f>
        <v>0</v>
      </c>
      <c r="AI37" s="456">
        <f>IF(AI$2&gt;'CREST Inputs'!$G$15,0,AI35*100/AI5)</f>
        <v>0</v>
      </c>
      <c r="AJ37" s="456">
        <f>IF(AJ$2&gt;'CREST Inputs'!$G$15,0,AJ35*100/AJ5)</f>
        <v>0</v>
      </c>
    </row>
    <row r="38" s="27" customFormat="1" ht="15">
      <c r="E38" s="66"/>
    </row>
    <row r="39" spans="2:36" s="27" customFormat="1" ht="15.75">
      <c r="B39" s="32" t="s">
        <v>104</v>
      </c>
      <c r="C39" s="32"/>
      <c r="D39" s="32"/>
      <c r="E39" s="64" t="s">
        <v>0</v>
      </c>
      <c r="F39" s="29"/>
      <c r="G39" s="43">
        <f aca="true" t="shared" si="7" ref="G39:AJ39">G23+G35</f>
        <v>560463.493167406</v>
      </c>
      <c r="H39" s="43">
        <f t="shared" si="7"/>
        <v>557220.9700789658</v>
      </c>
      <c r="I39" s="43">
        <f t="shared" si="7"/>
        <v>553974.0215213497</v>
      </c>
      <c r="J39" s="43">
        <f t="shared" si="7"/>
        <v>550722.1798231736</v>
      </c>
      <c r="K39" s="43">
        <f t="shared" si="7"/>
        <v>547464.9698554369</v>
      </c>
      <c r="L39" s="43">
        <f t="shared" si="7"/>
        <v>544201.9088728889</v>
      </c>
      <c r="M39" s="43">
        <f t="shared" si="7"/>
        <v>540932.5063522736</v>
      </c>
      <c r="N39" s="43">
        <f t="shared" si="7"/>
        <v>537656.2638273849</v>
      </c>
      <c r="O39" s="43">
        <f t="shared" si="7"/>
        <v>534372.6747208696</v>
      </c>
      <c r="P39" s="43">
        <f t="shared" si="7"/>
        <v>527229.3723208618</v>
      </c>
      <c r="Q39" s="43">
        <f t="shared" si="7"/>
        <v>519692.4999764558</v>
      </c>
      <c r="R39" s="43">
        <f>R23+R35</f>
        <v>515613.37758602365</v>
      </c>
      <c r="S39" s="43">
        <f t="shared" si="7"/>
        <v>511524.7977116403</v>
      </c>
      <c r="T39" s="43">
        <f t="shared" si="7"/>
        <v>507426.21057880763</v>
      </c>
      <c r="U39" s="43">
        <f t="shared" si="7"/>
        <v>503317.05722066143</v>
      </c>
      <c r="V39" s="43">
        <f t="shared" si="7"/>
        <v>31776.496217566586</v>
      </c>
      <c r="W39" s="43">
        <f t="shared" si="7"/>
        <v>31005.501653822008</v>
      </c>
      <c r="X39" s="43">
        <f t="shared" si="7"/>
        <v>31115.21510800974</v>
      </c>
      <c r="Y39" s="43">
        <f t="shared" si="7"/>
        <v>31219.70492798509</v>
      </c>
      <c r="Z39" s="43">
        <f t="shared" si="7"/>
        <v>31318.756114304677</v>
      </c>
      <c r="AA39" s="43">
        <f t="shared" si="7"/>
        <v>31412.147720687528</v>
      </c>
      <c r="AB39" s="43">
        <f t="shared" si="7"/>
        <v>31499.65271054035</v>
      </c>
      <c r="AC39" s="43">
        <f t="shared" si="7"/>
        <v>31581.037810247595</v>
      </c>
      <c r="AD39" s="43">
        <f t="shared" si="7"/>
        <v>31656.063359156105</v>
      </c>
      <c r="AE39" s="43">
        <f t="shared" si="7"/>
        <v>31410.715154045203</v>
      </c>
      <c r="AF39" s="43">
        <f t="shared" si="7"/>
        <v>7.275957614183426E-13</v>
      </c>
      <c r="AG39" s="43">
        <f t="shared" si="7"/>
        <v>0</v>
      </c>
      <c r="AH39" s="43">
        <f t="shared" si="7"/>
        <v>0</v>
      </c>
      <c r="AI39" s="43">
        <f t="shared" si="7"/>
        <v>0</v>
      </c>
      <c r="AJ39" s="43">
        <f t="shared" si="7"/>
        <v>0</v>
      </c>
    </row>
    <row r="40" spans="2:36" s="27" customFormat="1" ht="15.75">
      <c r="B40" s="32"/>
      <c r="C40" s="32"/>
      <c r="D40" s="32"/>
      <c r="E40" s="64" t="s">
        <v>210</v>
      </c>
      <c r="F40" s="69" t="s">
        <v>162</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2:36" s="29" customFormat="1" ht="15">
      <c r="B41" s="46" t="s">
        <v>134</v>
      </c>
      <c r="C41" s="46"/>
      <c r="D41" s="46"/>
      <c r="E41" s="47">
        <f>IF(OR('CREST Inputs'!$G$51=0,'CREST Inputs'!$G$51=""),"N/A",AVERAGE(G41:AJ41))</f>
        <v>2.8847056084234666</v>
      </c>
      <c r="F41" s="47">
        <f>IF(OR('CREST Inputs'!$G$51=0,'CREST Inputs'!$G$51=""),"N/A",MIN(G41:AJ41))</f>
        <v>2.7991508572170374</v>
      </c>
      <c r="G41" s="47">
        <f>IF(OR('CREST Inputs'!$G$51=0,'CREST Inputs'!$G$51=""),"N/A",IF(G$2&gt;'CREST Inputs'!$G$52,"N/A",(G39+SUM(G47:G48))/-G85))</f>
        <v>2.9464363763693924</v>
      </c>
      <c r="H41" s="47">
        <f>IF(OR('CREST Inputs'!$G$51=0,'CREST Inputs'!$G$51=""),"N/A",IF(H$2&gt;'CREST Inputs'!$G$52,"N/A",(H39+SUM(H47:H48))/-H85))</f>
        <v>2.9281319794635223</v>
      </c>
      <c r="I41" s="47">
        <f>IF(OR('CREST Inputs'!$G$51=0,'CREST Inputs'!$G$51=""),"N/A",IF(I$2&gt;'CREST Inputs'!$G$52,"N/A",(I39+SUM(I47:I48))/-I85))</f>
        <v>2.9098026003009085</v>
      </c>
      <c r="J41" s="47">
        <f>IF(OR('CREST Inputs'!$G$51=0,'CREST Inputs'!$G$51=""),"N/A",IF(J$2&gt;'CREST Inputs'!$G$52,"N/A",(J39+SUM(J47:J48))/-J85))</f>
        <v>2.8914455988255203</v>
      </c>
      <c r="K41" s="47">
        <f>IF(OR('CREST Inputs'!$G$51=0,'CREST Inputs'!$G$51=""),"N/A",IF(K$2&gt;'CREST Inputs'!$G$52,"N/A",(K39+SUM(K47:K48))/-K85))</f>
        <v>2.873058292882268</v>
      </c>
      <c r="L41" s="47">
        <f>IF(OR('CREST Inputs'!$G$51=0,'CREST Inputs'!$G$51=""),"N/A",IF(L$2&gt;'CREST Inputs'!$G$52,"N/A",(L39+SUM(L47:L48))/-L85))</f>
        <v>2.8546379573214966</v>
      </c>
      <c r="M41" s="47">
        <f>IF(OR('CREST Inputs'!$G$51=0,'CREST Inputs'!$G$51=""),"N/A",IF(M$2&gt;'CREST Inputs'!$G$52,"N/A",(M39+SUM(M47:M48))/-M85))</f>
        <v>2.836181823085862</v>
      </c>
      <c r="N41" s="47">
        <f>IF(OR('CREST Inputs'!$G$51=0,'CREST Inputs'!$G$51=""),"N/A",IF(N$2&gt;'CREST Inputs'!$G$52,"N/A",(N39+SUM(N47:N48))/-N85))</f>
        <v>2.8176870762792006</v>
      </c>
      <c r="O41" s="47">
        <f>IF(OR('CREST Inputs'!$G$51=0,'CREST Inputs'!$G$51=""),"N/A",IF(O$2&gt;'CREST Inputs'!$G$52,"N/A",(O39+SUM(O47:O48))/-O85))</f>
        <v>2.7991508572170374</v>
      </c>
      <c r="P41" s="47">
        <f>IF(OR('CREST Inputs'!$G$51=0,'CREST Inputs'!$G$51=""),"N/A",IF(P$2&gt;'CREST Inputs'!$G$52,"N/A",(P39+SUM(P47:P48))/-P85))</f>
        <v>2.9762673782645277</v>
      </c>
      <c r="Q41" s="47">
        <f>IF(OR('CREST Inputs'!$G$51=0,'CREST Inputs'!$G$51=""),"N/A",IF(Q$2&gt;'CREST Inputs'!$G$52,"N/A",(Q39+SUM(Q47:Q48))/-Q85))</f>
        <v>2.9337209108815454</v>
      </c>
      <c r="R41" s="47">
        <f>IF(OR('CREST Inputs'!$G$51=0,'CREST Inputs'!$G$51=""),"N/A",IF(R$2&gt;'CREST Inputs'!$G$52,"N/A",(R39+SUM(R47:R48))/-R85))</f>
        <v>2.9106938195623555</v>
      </c>
      <c r="S41" s="47">
        <f>IF(OR('CREST Inputs'!$G$51=0,'CREST Inputs'!$G$51=""),"N/A",IF(S$2&gt;'CREST Inputs'!$G$52,"N/A",(S39+SUM(S47:S48))/-S85))</f>
        <v>2.887613339713539</v>
      </c>
      <c r="T41" s="47">
        <f>IF(OR('CREST Inputs'!$G$51=0,'CREST Inputs'!$G$51=""),"N/A",IF(T$2&gt;'CREST Inputs'!$G$52,"N/A",(T39+SUM(T47:T48))/-T85))</f>
        <v>2.8644763677980194</v>
      </c>
      <c r="U41" s="47">
        <f>IF(OR('CREST Inputs'!$G$51=0,'CREST Inputs'!$G$51=""),"N/A",IF(U$2&gt;'CREST Inputs'!$G$52,"N/A",(U39+SUM(U47:U48))/-U85))</f>
        <v>2.841279748386812</v>
      </c>
      <c r="V41" s="47" t="str">
        <f>IF(OR('CREST Inputs'!$G$51=0,'CREST Inputs'!$G$51=""),"N/A",IF(V$2&gt;'CREST Inputs'!$G$52,"N/A",(V39+SUM(V47:V48))/-V85))</f>
        <v>N/A</v>
      </c>
      <c r="W41" s="47" t="str">
        <f>IF(OR('CREST Inputs'!$G$51=0,'CREST Inputs'!$G$51=""),"N/A",IF(W$2&gt;'CREST Inputs'!$G$52,"N/A",(W39+SUM(W47:W48))/-W85))</f>
        <v>N/A</v>
      </c>
      <c r="X41" s="47" t="str">
        <f>IF(OR('CREST Inputs'!$G$51=0,'CREST Inputs'!$G$51=""),"N/A",IF(X$2&gt;'CREST Inputs'!$G$52,"N/A",(X39+SUM(X47:X48))/-X85))</f>
        <v>N/A</v>
      </c>
      <c r="Y41" s="47" t="str">
        <f>IF(OR('CREST Inputs'!$G$51=0,'CREST Inputs'!$G$51=""),"N/A",IF(Y$2&gt;'CREST Inputs'!$G$52,"N/A",(Y39+SUM(Y47:Y48))/-Y85))</f>
        <v>N/A</v>
      </c>
      <c r="Z41" s="47" t="str">
        <f>IF(OR('CREST Inputs'!$G$51=0,'CREST Inputs'!$G$51=""),"N/A",IF(Z$2&gt;'CREST Inputs'!$G$52,"N/A",(Z39+SUM(Z47:Z48))/-Z85))</f>
        <v>N/A</v>
      </c>
      <c r="AA41" s="47" t="str">
        <f>IF(OR('CREST Inputs'!$G$51=0,'CREST Inputs'!$G$51=""),"N/A",IF(AA$2&gt;'CREST Inputs'!$G$52,"N/A",(AA39+SUM(AA47:AA48))/-AA85))</f>
        <v>N/A</v>
      </c>
      <c r="AB41" s="47" t="str">
        <f>IF(OR('CREST Inputs'!$G$51=0,'CREST Inputs'!$G$51=""),"N/A",IF(AB$2&gt;'CREST Inputs'!$G$52,"N/A",(AB39+SUM(AB47:AB48))/-AB85))</f>
        <v>N/A</v>
      </c>
      <c r="AC41" s="47" t="str">
        <f>IF(OR('CREST Inputs'!$G$51=0,'CREST Inputs'!$G$51=""),"N/A",IF(AC$2&gt;'CREST Inputs'!$G$52,"N/A",(AC39+SUM(AC47:AC48))/-AC85))</f>
        <v>N/A</v>
      </c>
      <c r="AD41" s="47" t="str">
        <f>IF(OR('CREST Inputs'!$G$51=0,'CREST Inputs'!$G$51=""),"N/A",IF(AD$2&gt;'CREST Inputs'!$G$52,"N/A",(AD39+SUM(AD47:AD48))/-AD85))</f>
        <v>N/A</v>
      </c>
      <c r="AE41" s="47" t="str">
        <f>IF(OR('CREST Inputs'!$G$51=0,'CREST Inputs'!$G$51=""),"N/A",IF(AE$2&gt;'CREST Inputs'!$G$52,"N/A",(AE39+SUM(AE47:AE48))/-AE85))</f>
        <v>N/A</v>
      </c>
      <c r="AF41" s="47" t="str">
        <f>IF(OR('CREST Inputs'!$G$51=0,'CREST Inputs'!$G$51=""),"N/A",IF(AF$2&gt;'CREST Inputs'!$G$52,"N/A",(AF39+SUM(AF47:AF48))/-AF85))</f>
        <v>N/A</v>
      </c>
      <c r="AG41" s="47" t="str">
        <f>IF(OR('CREST Inputs'!$G$51=0,'CREST Inputs'!$G$51=""),"N/A",IF(AG$2&gt;'CREST Inputs'!$G$52,"N/A",(AG39+SUM(AG47:AG48))/-AG85))</f>
        <v>N/A</v>
      </c>
      <c r="AH41" s="47" t="str">
        <f>IF(OR('CREST Inputs'!$G$51=0,'CREST Inputs'!$G$51=""),"N/A",IF(AH$2&gt;'CREST Inputs'!$G$52,"N/A",(AH39+SUM(AH47:AH48))/-AH85))</f>
        <v>N/A</v>
      </c>
      <c r="AI41" s="47" t="str">
        <f>IF(OR('CREST Inputs'!$G$51=0,'CREST Inputs'!$G$51=""),"N/A",IF(AI$2&gt;'CREST Inputs'!$G$52,"N/A",(AI39+SUM(AI47:AI48))/-AI85))</f>
        <v>N/A</v>
      </c>
      <c r="AJ41" s="47" t="str">
        <f>IF(OR('CREST Inputs'!$G$51=0,'CREST Inputs'!$G$51=""),"N/A",IF(AJ$2&gt;'CREST Inputs'!$G$52,"N/A",(AJ39+SUM(AJ47:AJ48))/-AJ85))</f>
        <v>N/A</v>
      </c>
    </row>
    <row r="42" spans="2:36" s="29" customFormat="1" ht="15">
      <c r="B42" s="46" t="s">
        <v>235</v>
      </c>
      <c r="C42" s="46"/>
      <c r="D42" s="46"/>
      <c r="E42" s="69"/>
      <c r="F42" s="47"/>
      <c r="G42" s="226">
        <f>IF(G41=$F$41,G2,"")</f>
      </c>
      <c r="H42" s="226">
        <f aca="true" t="shared" si="8" ref="H42:AJ42">IF(H41=$F$41,H2,"")</f>
      </c>
      <c r="I42" s="226">
        <f t="shared" si="8"/>
      </c>
      <c r="J42" s="226">
        <f t="shared" si="8"/>
      </c>
      <c r="K42" s="226">
        <f t="shared" si="8"/>
      </c>
      <c r="L42" s="226">
        <f t="shared" si="8"/>
      </c>
      <c r="M42" s="226">
        <f t="shared" si="8"/>
      </c>
      <c r="N42" s="226">
        <f t="shared" si="8"/>
      </c>
      <c r="O42" s="226">
        <f t="shared" si="8"/>
        <v>9</v>
      </c>
      <c r="P42" s="226">
        <f t="shared" si="8"/>
      </c>
      <c r="Q42" s="226">
        <f t="shared" si="8"/>
      </c>
      <c r="R42" s="226">
        <f t="shared" si="8"/>
      </c>
      <c r="S42" s="226">
        <f t="shared" si="8"/>
      </c>
      <c r="T42" s="226">
        <f t="shared" si="8"/>
      </c>
      <c r="U42" s="226">
        <f t="shared" si="8"/>
      </c>
      <c r="V42" s="226">
        <f t="shared" si="8"/>
      </c>
      <c r="W42" s="226">
        <f t="shared" si="8"/>
      </c>
      <c r="X42" s="226">
        <f t="shared" si="8"/>
      </c>
      <c r="Y42" s="226">
        <f t="shared" si="8"/>
      </c>
      <c r="Z42" s="226">
        <f t="shared" si="8"/>
      </c>
      <c r="AA42" s="226">
        <f t="shared" si="8"/>
      </c>
      <c r="AB42" s="226">
        <f t="shared" si="8"/>
      </c>
      <c r="AC42" s="226">
        <f t="shared" si="8"/>
      </c>
      <c r="AD42" s="226">
        <f t="shared" si="8"/>
      </c>
      <c r="AE42" s="226">
        <f t="shared" si="8"/>
      </c>
      <c r="AF42" s="226">
        <f t="shared" si="8"/>
      </c>
      <c r="AG42" s="226">
        <f t="shared" si="8"/>
      </c>
      <c r="AH42" s="226">
        <f t="shared" si="8"/>
      </c>
      <c r="AI42" s="226">
        <f t="shared" si="8"/>
      </c>
      <c r="AJ42" s="226">
        <f t="shared" si="8"/>
      </c>
    </row>
    <row r="43" spans="2:36" s="27" customFormat="1" ht="15">
      <c r="B43" s="37" t="s">
        <v>109</v>
      </c>
      <c r="C43" s="37"/>
      <c r="D43" s="37"/>
      <c r="E43" s="67"/>
      <c r="F43" s="37"/>
      <c r="G43" s="41">
        <f>G86</f>
        <v>-103228.28469698383</v>
      </c>
      <c r="H43" s="41">
        <f aca="true" t="shared" si="9" ref="H43:AJ43">H86</f>
        <v>-98793.31226803547</v>
      </c>
      <c r="I43" s="41">
        <f t="shared" si="9"/>
        <v>-94092.24149335026</v>
      </c>
      <c r="J43" s="41">
        <f t="shared" si="9"/>
        <v>-89109.1064721839</v>
      </c>
      <c r="K43" s="41">
        <f t="shared" si="9"/>
        <v>-83826.98334974758</v>
      </c>
      <c r="L43" s="41">
        <f t="shared" si="9"/>
        <v>-78227.93283996505</v>
      </c>
      <c r="M43" s="41">
        <f t="shared" si="9"/>
        <v>-72292.9392995956</v>
      </c>
      <c r="N43" s="41">
        <f t="shared" si="9"/>
        <v>-66001.84614680397</v>
      </c>
      <c r="O43" s="41">
        <f t="shared" si="9"/>
        <v>-59333.28740484485</v>
      </c>
      <c r="P43" s="41">
        <f t="shared" si="9"/>
        <v>-52264.615138368164</v>
      </c>
      <c r="Q43" s="41">
        <f t="shared" si="9"/>
        <v>-44771.82253590291</v>
      </c>
      <c r="R43" s="41">
        <f t="shared" si="9"/>
        <v>-36829.46237728971</v>
      </c>
      <c r="S43" s="41">
        <f t="shared" si="9"/>
        <v>-28410.560609159722</v>
      </c>
      <c r="T43" s="41">
        <f t="shared" si="9"/>
        <v>-19486.524734941948</v>
      </c>
      <c r="U43" s="41">
        <f t="shared" si="9"/>
        <v>-10027.046708271098</v>
      </c>
      <c r="V43" s="41">
        <f t="shared" si="9"/>
        <v>0</v>
      </c>
      <c r="W43" s="41">
        <f t="shared" si="9"/>
        <v>0</v>
      </c>
      <c r="X43" s="41">
        <f t="shared" si="9"/>
        <v>0</v>
      </c>
      <c r="Y43" s="41">
        <f t="shared" si="9"/>
        <v>0</v>
      </c>
      <c r="Z43" s="41">
        <f t="shared" si="9"/>
        <v>0</v>
      </c>
      <c r="AA43" s="41">
        <f t="shared" si="9"/>
        <v>0</v>
      </c>
      <c r="AB43" s="41">
        <f t="shared" si="9"/>
        <v>0</v>
      </c>
      <c r="AC43" s="41">
        <f t="shared" si="9"/>
        <v>0</v>
      </c>
      <c r="AD43" s="41">
        <f t="shared" si="9"/>
        <v>0</v>
      </c>
      <c r="AE43" s="41">
        <f t="shared" si="9"/>
        <v>0</v>
      </c>
      <c r="AF43" s="41">
        <f t="shared" si="9"/>
        <v>0</v>
      </c>
      <c r="AG43" s="41">
        <f t="shared" si="9"/>
        <v>0</v>
      </c>
      <c r="AH43" s="41">
        <f t="shared" si="9"/>
        <v>0</v>
      </c>
      <c r="AI43" s="41">
        <f t="shared" si="9"/>
        <v>0</v>
      </c>
      <c r="AJ43" s="41">
        <f t="shared" si="9"/>
        <v>0</v>
      </c>
    </row>
    <row r="44" spans="2:36" s="27" customFormat="1" ht="15.75">
      <c r="B44" s="48" t="s">
        <v>61</v>
      </c>
      <c r="C44" s="48"/>
      <c r="D44" s="48"/>
      <c r="E44" s="69"/>
      <c r="F44" s="48"/>
      <c r="G44" s="49">
        <f>G39+G43</f>
        <v>457235.20847042213</v>
      </c>
      <c r="H44" s="49">
        <f aca="true" t="shared" si="10" ref="H44:AJ44">H39+H43</f>
        <v>458427.6578109303</v>
      </c>
      <c r="I44" s="49">
        <f t="shared" si="10"/>
        <v>459881.7800279994</v>
      </c>
      <c r="J44" s="49">
        <f t="shared" si="10"/>
        <v>461613.07335098967</v>
      </c>
      <c r="K44" s="49">
        <f t="shared" si="10"/>
        <v>463637.98650568933</v>
      </c>
      <c r="L44" s="49">
        <f t="shared" si="10"/>
        <v>465973.97603292385</v>
      </c>
      <c r="M44" s="49">
        <f t="shared" si="10"/>
        <v>468639.56705267803</v>
      </c>
      <c r="N44" s="49">
        <f t="shared" si="10"/>
        <v>471654.4176805809</v>
      </c>
      <c r="O44" s="49">
        <f t="shared" si="10"/>
        <v>475039.3873160248</v>
      </c>
      <c r="P44" s="49">
        <f t="shared" si="10"/>
        <v>474964.75718249363</v>
      </c>
      <c r="Q44" s="49">
        <f t="shared" si="10"/>
        <v>474920.6774405529</v>
      </c>
      <c r="R44" s="49">
        <f t="shared" si="10"/>
        <v>478783.91520873393</v>
      </c>
      <c r="S44" s="49">
        <f t="shared" si="10"/>
        <v>483114.2371024806</v>
      </c>
      <c r="T44" s="49">
        <f t="shared" si="10"/>
        <v>487939.6858438657</v>
      </c>
      <c r="U44" s="49">
        <f t="shared" si="10"/>
        <v>493290.01051239035</v>
      </c>
      <c r="V44" s="49">
        <f t="shared" si="10"/>
        <v>31776.496217566586</v>
      </c>
      <c r="W44" s="49">
        <f t="shared" si="10"/>
        <v>31005.501653822008</v>
      </c>
      <c r="X44" s="49">
        <f t="shared" si="10"/>
        <v>31115.21510800974</v>
      </c>
      <c r="Y44" s="49">
        <f t="shared" si="10"/>
        <v>31219.70492798509</v>
      </c>
      <c r="Z44" s="49">
        <f t="shared" si="10"/>
        <v>31318.756114304677</v>
      </c>
      <c r="AA44" s="49">
        <f t="shared" si="10"/>
        <v>31412.147720687528</v>
      </c>
      <c r="AB44" s="49">
        <f t="shared" si="10"/>
        <v>31499.65271054035</v>
      </c>
      <c r="AC44" s="49">
        <f t="shared" si="10"/>
        <v>31581.037810247595</v>
      </c>
      <c r="AD44" s="49">
        <f t="shared" si="10"/>
        <v>31656.063359156105</v>
      </c>
      <c r="AE44" s="49">
        <f t="shared" si="10"/>
        <v>31410.715154045203</v>
      </c>
      <c r="AF44" s="49">
        <f t="shared" si="10"/>
        <v>7.275957614183426E-13</v>
      </c>
      <c r="AG44" s="49">
        <f t="shared" si="10"/>
        <v>0</v>
      </c>
      <c r="AH44" s="49">
        <f t="shared" si="10"/>
        <v>0</v>
      </c>
      <c r="AI44" s="49">
        <f t="shared" si="10"/>
        <v>0</v>
      </c>
      <c r="AJ44" s="49">
        <f t="shared" si="10"/>
        <v>0</v>
      </c>
    </row>
    <row r="45" spans="2:36" s="27" customFormat="1" ht="15">
      <c r="B45" s="29"/>
      <c r="C45" s="29"/>
      <c r="D45" s="29"/>
      <c r="E45" s="6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2:36" s="27" customFormat="1" ht="15">
      <c r="B46" s="34" t="s">
        <v>108</v>
      </c>
      <c r="C46" s="34"/>
      <c r="D46" s="34"/>
      <c r="E46" s="64"/>
      <c r="F46" s="34"/>
      <c r="G46" s="40">
        <f>G87</f>
        <v>-73916.20714913894</v>
      </c>
      <c r="H46" s="40">
        <f aca="true" t="shared" si="11" ref="H46:AJ46">H87</f>
        <v>-78351.17957808728</v>
      </c>
      <c r="I46" s="40">
        <f t="shared" si="11"/>
        <v>-83052.25035277252</v>
      </c>
      <c r="J46" s="40">
        <f t="shared" si="11"/>
        <v>-88035.38537393886</v>
      </c>
      <c r="K46" s="40">
        <f t="shared" si="11"/>
        <v>-93317.50849637519</v>
      </c>
      <c r="L46" s="40">
        <f t="shared" si="11"/>
        <v>-98916.5590061577</v>
      </c>
      <c r="M46" s="40">
        <f t="shared" si="11"/>
        <v>-104851.55254652716</v>
      </c>
      <c r="N46" s="40">
        <f t="shared" si="11"/>
        <v>-111142.64569931879</v>
      </c>
      <c r="O46" s="40">
        <f t="shared" si="11"/>
        <v>-117811.20444127792</v>
      </c>
      <c r="P46" s="40">
        <f t="shared" si="11"/>
        <v>-124879.87670775458</v>
      </c>
      <c r="Q46" s="40">
        <f t="shared" si="11"/>
        <v>-132372.66931021988</v>
      </c>
      <c r="R46" s="40">
        <f t="shared" si="11"/>
        <v>-140315.02946883306</v>
      </c>
      <c r="S46" s="40">
        <f t="shared" si="11"/>
        <v>-148733.93123696302</v>
      </c>
      <c r="T46" s="40">
        <f t="shared" si="11"/>
        <v>-157657.96711118083</v>
      </c>
      <c r="U46" s="40">
        <f t="shared" si="11"/>
        <v>-167117.44513785167</v>
      </c>
      <c r="V46" s="40">
        <f t="shared" si="11"/>
        <v>0</v>
      </c>
      <c r="W46" s="40">
        <f t="shared" si="11"/>
        <v>0</v>
      </c>
      <c r="X46" s="40">
        <f t="shared" si="11"/>
        <v>0</v>
      </c>
      <c r="Y46" s="40">
        <f t="shared" si="11"/>
        <v>0</v>
      </c>
      <c r="Z46" s="40">
        <f t="shared" si="11"/>
        <v>0</v>
      </c>
      <c r="AA46" s="40">
        <f t="shared" si="11"/>
        <v>0</v>
      </c>
      <c r="AB46" s="40">
        <f t="shared" si="11"/>
        <v>0</v>
      </c>
      <c r="AC46" s="40">
        <f t="shared" si="11"/>
        <v>0</v>
      </c>
      <c r="AD46" s="40">
        <f t="shared" si="11"/>
        <v>0</v>
      </c>
      <c r="AE46" s="40">
        <f t="shared" si="11"/>
        <v>0</v>
      </c>
      <c r="AF46" s="40">
        <f t="shared" si="11"/>
        <v>0</v>
      </c>
      <c r="AG46" s="40">
        <f t="shared" si="11"/>
        <v>0</v>
      </c>
      <c r="AH46" s="40">
        <f t="shared" si="11"/>
        <v>0</v>
      </c>
      <c r="AI46" s="40">
        <f t="shared" si="11"/>
        <v>0</v>
      </c>
      <c r="AJ46" s="40">
        <f t="shared" si="11"/>
        <v>0</v>
      </c>
    </row>
    <row r="47" spans="2:36" s="36" customFormat="1" ht="15">
      <c r="B47" s="34" t="s">
        <v>157</v>
      </c>
      <c r="C47" s="34"/>
      <c r="D47" s="34"/>
      <c r="E47" s="64"/>
      <c r="F47" s="34"/>
      <c r="G47" s="40">
        <f>-G200</f>
        <v>-38518.51851851852</v>
      </c>
      <c r="H47" s="40">
        <f aca="true" t="shared" si="12" ref="H47:AJ47">-H200</f>
        <v>-38518.51851851852</v>
      </c>
      <c r="I47" s="40">
        <f t="shared" si="12"/>
        <v>-38518.51851851852</v>
      </c>
      <c r="J47" s="40">
        <f t="shared" si="12"/>
        <v>-38518.51851851852</v>
      </c>
      <c r="K47" s="40">
        <f t="shared" si="12"/>
        <v>-38518.51851851852</v>
      </c>
      <c r="L47" s="40">
        <f t="shared" si="12"/>
        <v>-38518.51851851852</v>
      </c>
      <c r="M47" s="40">
        <f t="shared" si="12"/>
        <v>-38518.51851851852</v>
      </c>
      <c r="N47" s="40">
        <f t="shared" si="12"/>
        <v>-38518.51851851852</v>
      </c>
      <c r="O47" s="40">
        <f t="shared" si="12"/>
        <v>-38518.51851851852</v>
      </c>
      <c r="P47" s="40">
        <f t="shared" si="12"/>
        <v>346666.6666666667</v>
      </c>
      <c r="Q47" s="40">
        <f t="shared" si="12"/>
        <v>0</v>
      </c>
      <c r="R47" s="40">
        <f t="shared" si="12"/>
        <v>0</v>
      </c>
      <c r="S47" s="40">
        <f t="shared" si="12"/>
        <v>0</v>
      </c>
      <c r="T47" s="40">
        <f t="shared" si="12"/>
        <v>0</v>
      </c>
      <c r="U47" s="40">
        <f t="shared" si="12"/>
        <v>0</v>
      </c>
      <c r="V47" s="40">
        <f t="shared" si="12"/>
        <v>88572.24592306139</v>
      </c>
      <c r="W47" s="40">
        <f t="shared" si="12"/>
        <v>0</v>
      </c>
      <c r="X47" s="40">
        <f t="shared" si="12"/>
        <v>0</v>
      </c>
      <c r="Y47" s="40">
        <f t="shared" si="12"/>
        <v>0</v>
      </c>
      <c r="Z47" s="40">
        <f t="shared" si="12"/>
        <v>0</v>
      </c>
      <c r="AA47" s="40">
        <f t="shared" si="12"/>
        <v>0</v>
      </c>
      <c r="AB47" s="40">
        <f t="shared" si="12"/>
        <v>0</v>
      </c>
      <c r="AC47" s="40">
        <f t="shared" si="12"/>
        <v>0</v>
      </c>
      <c r="AD47" s="40">
        <f t="shared" si="12"/>
        <v>0</v>
      </c>
      <c r="AE47" s="40">
        <f t="shared" si="12"/>
        <v>31376.800213816212</v>
      </c>
      <c r="AF47" s="40">
        <f t="shared" si="12"/>
        <v>0</v>
      </c>
      <c r="AG47" s="40">
        <f t="shared" si="12"/>
        <v>0</v>
      </c>
      <c r="AH47" s="40">
        <f t="shared" si="12"/>
        <v>0</v>
      </c>
      <c r="AI47" s="40">
        <f t="shared" si="12"/>
        <v>0</v>
      </c>
      <c r="AJ47" s="40">
        <f t="shared" si="12"/>
        <v>0</v>
      </c>
    </row>
    <row r="48" spans="2:36" s="36" customFormat="1" ht="15">
      <c r="B48" s="37" t="s">
        <v>158</v>
      </c>
      <c r="C48" s="37"/>
      <c r="D48" s="37"/>
      <c r="E48" s="67"/>
      <c r="F48" s="37"/>
      <c r="G48" s="41">
        <f>MIN(G195,0)</f>
        <v>0</v>
      </c>
      <c r="H48" s="41">
        <f aca="true" t="shared" si="13" ref="H48:AJ48">MIN(H195,0)</f>
        <v>0</v>
      </c>
      <c r="I48" s="41">
        <f t="shared" si="13"/>
        <v>0</v>
      </c>
      <c r="J48" s="41">
        <f t="shared" si="13"/>
        <v>0</v>
      </c>
      <c r="K48" s="41">
        <f t="shared" si="13"/>
        <v>0</v>
      </c>
      <c r="L48" s="41">
        <f t="shared" si="13"/>
        <v>0</v>
      </c>
      <c r="M48" s="41">
        <f t="shared" si="13"/>
        <v>0</v>
      </c>
      <c r="N48" s="41">
        <f t="shared" si="13"/>
        <v>0</v>
      </c>
      <c r="O48" s="41">
        <f t="shared" si="13"/>
        <v>0</v>
      </c>
      <c r="P48" s="41">
        <f t="shared" si="13"/>
        <v>-346666.6666666667</v>
      </c>
      <c r="Q48" s="41">
        <f t="shared" si="13"/>
        <v>0</v>
      </c>
      <c r="R48" s="41">
        <f t="shared" si="13"/>
        <v>0</v>
      </c>
      <c r="S48" s="41">
        <f t="shared" si="13"/>
        <v>0</v>
      </c>
      <c r="T48" s="41">
        <f t="shared" si="13"/>
        <v>0</v>
      </c>
      <c r="U48" s="41">
        <f t="shared" si="13"/>
        <v>0</v>
      </c>
      <c r="V48" s="41">
        <f t="shared" si="13"/>
        <v>0</v>
      </c>
      <c r="W48" s="41">
        <f t="shared" si="13"/>
        <v>0</v>
      </c>
      <c r="X48" s="41">
        <f t="shared" si="13"/>
        <v>0</v>
      </c>
      <c r="Y48" s="41">
        <f t="shared" si="13"/>
        <v>0</v>
      </c>
      <c r="Z48" s="41">
        <f t="shared" si="13"/>
        <v>0</v>
      </c>
      <c r="AA48" s="41">
        <f t="shared" si="13"/>
        <v>0</v>
      </c>
      <c r="AB48" s="41">
        <f t="shared" si="13"/>
        <v>0</v>
      </c>
      <c r="AC48" s="41">
        <f t="shared" si="13"/>
        <v>0</v>
      </c>
      <c r="AD48" s="41">
        <f t="shared" si="13"/>
        <v>0</v>
      </c>
      <c r="AE48" s="41">
        <f t="shared" si="13"/>
        <v>0</v>
      </c>
      <c r="AF48" s="41">
        <f t="shared" si="13"/>
        <v>0</v>
      </c>
      <c r="AG48" s="41">
        <f t="shared" si="13"/>
        <v>0</v>
      </c>
      <c r="AH48" s="41">
        <f t="shared" si="13"/>
        <v>0</v>
      </c>
      <c r="AI48" s="41">
        <f t="shared" si="13"/>
        <v>0</v>
      </c>
      <c r="AJ48" s="41">
        <f t="shared" si="13"/>
        <v>0</v>
      </c>
    </row>
    <row r="49" spans="1:36" s="27" customFormat="1" ht="15.75">
      <c r="A49" s="29"/>
      <c r="B49" s="50" t="s">
        <v>62</v>
      </c>
      <c r="C49" s="50"/>
      <c r="D49" s="50"/>
      <c r="E49" s="151"/>
      <c r="F49" s="151"/>
      <c r="G49" s="43">
        <f>G44+SUM(G46:G48)</f>
        <v>344800.4828027647</v>
      </c>
      <c r="H49" s="43">
        <f aca="true" t="shared" si="14" ref="H49:AJ49">H44+SUM(H46:H48)</f>
        <v>341557.95971432445</v>
      </c>
      <c r="I49" s="43">
        <f t="shared" si="14"/>
        <v>338311.01115670835</v>
      </c>
      <c r="J49" s="43">
        <f t="shared" si="14"/>
        <v>335059.1694585323</v>
      </c>
      <c r="K49" s="43">
        <f t="shared" si="14"/>
        <v>331801.9594907956</v>
      </c>
      <c r="L49" s="43">
        <f t="shared" si="14"/>
        <v>328538.8985082476</v>
      </c>
      <c r="M49" s="43">
        <f t="shared" si="14"/>
        <v>325269.4959876323</v>
      </c>
      <c r="N49" s="43">
        <f t="shared" si="14"/>
        <v>321993.2534627436</v>
      </c>
      <c r="O49" s="43">
        <f t="shared" si="14"/>
        <v>318709.6643562284</v>
      </c>
      <c r="P49" s="43">
        <f t="shared" si="14"/>
        <v>350084.88047473907</v>
      </c>
      <c r="Q49" s="43">
        <f t="shared" si="14"/>
        <v>342548.00813033304</v>
      </c>
      <c r="R49" s="43">
        <f t="shared" si="14"/>
        <v>338468.88573990087</v>
      </c>
      <c r="S49" s="43">
        <f t="shared" si="14"/>
        <v>334380.3058655176</v>
      </c>
      <c r="T49" s="43">
        <f t="shared" si="14"/>
        <v>330281.71873268485</v>
      </c>
      <c r="U49" s="43">
        <f t="shared" si="14"/>
        <v>326172.56537453865</v>
      </c>
      <c r="V49" s="43">
        <f t="shared" si="14"/>
        <v>120348.74214062798</v>
      </c>
      <c r="W49" s="43">
        <f t="shared" si="14"/>
        <v>31005.501653822008</v>
      </c>
      <c r="X49" s="43">
        <f t="shared" si="14"/>
        <v>31115.21510800974</v>
      </c>
      <c r="Y49" s="43">
        <f t="shared" si="14"/>
        <v>31219.70492798509</v>
      </c>
      <c r="Z49" s="43">
        <f t="shared" si="14"/>
        <v>31318.756114304677</v>
      </c>
      <c r="AA49" s="43">
        <f t="shared" si="14"/>
        <v>31412.147720687528</v>
      </c>
      <c r="AB49" s="43">
        <f t="shared" si="14"/>
        <v>31499.65271054035</v>
      </c>
      <c r="AC49" s="43">
        <f t="shared" si="14"/>
        <v>31581.037810247595</v>
      </c>
      <c r="AD49" s="43">
        <f t="shared" si="14"/>
        <v>31656.063359156105</v>
      </c>
      <c r="AE49" s="43">
        <f t="shared" si="14"/>
        <v>62787.515367861415</v>
      </c>
      <c r="AF49" s="43">
        <f t="shared" si="14"/>
        <v>7.275957614183426E-13</v>
      </c>
      <c r="AG49" s="43">
        <f t="shared" si="14"/>
        <v>0</v>
      </c>
      <c r="AH49" s="43">
        <f t="shared" si="14"/>
        <v>0</v>
      </c>
      <c r="AI49" s="43">
        <f t="shared" si="14"/>
        <v>0</v>
      </c>
      <c r="AJ49" s="43">
        <f t="shared" si="14"/>
        <v>0</v>
      </c>
    </row>
    <row r="50" spans="2:7" s="27" customFormat="1" ht="15.75">
      <c r="B50" s="32"/>
      <c r="C50" s="32"/>
      <c r="D50" s="32"/>
      <c r="G50" s="51"/>
    </row>
    <row r="51" spans="2:7" s="27" customFormat="1" ht="15.75">
      <c r="B51" s="28" t="s">
        <v>63</v>
      </c>
      <c r="C51" s="28"/>
      <c r="D51" s="28"/>
      <c r="F51" s="74"/>
      <c r="G51" s="51"/>
    </row>
    <row r="52" spans="2:36" s="27" customFormat="1" ht="15">
      <c r="B52" s="29" t="s">
        <v>214</v>
      </c>
      <c r="C52" s="29"/>
      <c r="D52" s="29"/>
      <c r="F52" s="51">
        <f>-('CREST Inputs'!$G$26-'CREST Inputs'!G69-$F$82)</f>
        <v>-2339485.786339199</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row>
    <row r="53" spans="2:36" s="27" customFormat="1" ht="15">
      <c r="B53" s="38" t="s">
        <v>62</v>
      </c>
      <c r="C53" s="38"/>
      <c r="D53" s="38"/>
      <c r="E53" s="38"/>
      <c r="F53" s="38"/>
      <c r="G53" s="52">
        <f>G49</f>
        <v>344800.4828027647</v>
      </c>
      <c r="H53" s="52">
        <f aca="true" t="shared" si="15" ref="H53:AJ53">H49</f>
        <v>341557.95971432445</v>
      </c>
      <c r="I53" s="52">
        <f t="shared" si="15"/>
        <v>338311.01115670835</v>
      </c>
      <c r="J53" s="52">
        <f t="shared" si="15"/>
        <v>335059.1694585323</v>
      </c>
      <c r="K53" s="52">
        <f t="shared" si="15"/>
        <v>331801.9594907956</v>
      </c>
      <c r="L53" s="52">
        <f t="shared" si="15"/>
        <v>328538.8985082476</v>
      </c>
      <c r="M53" s="52">
        <f t="shared" si="15"/>
        <v>325269.4959876323</v>
      </c>
      <c r="N53" s="52">
        <f t="shared" si="15"/>
        <v>321993.2534627436</v>
      </c>
      <c r="O53" s="52">
        <f t="shared" si="15"/>
        <v>318709.6643562284</v>
      </c>
      <c r="P53" s="52">
        <f t="shared" si="15"/>
        <v>350084.88047473907</v>
      </c>
      <c r="Q53" s="52">
        <f t="shared" si="15"/>
        <v>342548.00813033304</v>
      </c>
      <c r="R53" s="52">
        <f t="shared" si="15"/>
        <v>338468.88573990087</v>
      </c>
      <c r="S53" s="52">
        <f t="shared" si="15"/>
        <v>334380.3058655176</v>
      </c>
      <c r="T53" s="52">
        <f t="shared" si="15"/>
        <v>330281.71873268485</v>
      </c>
      <c r="U53" s="52">
        <f t="shared" si="15"/>
        <v>326172.56537453865</v>
      </c>
      <c r="V53" s="52">
        <f t="shared" si="15"/>
        <v>120348.74214062798</v>
      </c>
      <c r="W53" s="52">
        <f t="shared" si="15"/>
        <v>31005.501653822008</v>
      </c>
      <c r="X53" s="52">
        <f t="shared" si="15"/>
        <v>31115.21510800974</v>
      </c>
      <c r="Y53" s="52">
        <f t="shared" si="15"/>
        <v>31219.70492798509</v>
      </c>
      <c r="Z53" s="52">
        <f t="shared" si="15"/>
        <v>31318.756114304677</v>
      </c>
      <c r="AA53" s="52">
        <f t="shared" si="15"/>
        <v>31412.147720687528</v>
      </c>
      <c r="AB53" s="52">
        <f t="shared" si="15"/>
        <v>31499.65271054035</v>
      </c>
      <c r="AC53" s="52">
        <f t="shared" si="15"/>
        <v>31581.037810247595</v>
      </c>
      <c r="AD53" s="52">
        <f t="shared" si="15"/>
        <v>31656.063359156105</v>
      </c>
      <c r="AE53" s="52">
        <f t="shared" si="15"/>
        <v>62787.515367861415</v>
      </c>
      <c r="AF53" s="52">
        <f t="shared" si="15"/>
        <v>7.275957614183426E-13</v>
      </c>
      <c r="AG53" s="52">
        <f t="shared" si="15"/>
        <v>0</v>
      </c>
      <c r="AH53" s="52">
        <f t="shared" si="15"/>
        <v>0</v>
      </c>
      <c r="AI53" s="52">
        <f t="shared" si="15"/>
        <v>0</v>
      </c>
      <c r="AJ53" s="52">
        <f t="shared" si="15"/>
        <v>0</v>
      </c>
    </row>
    <row r="54" spans="2:36" s="27" customFormat="1" ht="15.75">
      <c r="B54" s="50" t="s">
        <v>110</v>
      </c>
      <c r="C54" s="50"/>
      <c r="D54" s="50"/>
      <c r="E54" s="199"/>
      <c r="F54" s="51">
        <f aca="true" t="shared" si="16" ref="F54:AJ54">SUM(F52:F53)</f>
        <v>-2339485.786339199</v>
      </c>
      <c r="G54" s="51">
        <f t="shared" si="16"/>
        <v>344800.4828027647</v>
      </c>
      <c r="H54" s="51">
        <f t="shared" si="16"/>
        <v>341557.95971432445</v>
      </c>
      <c r="I54" s="51">
        <f t="shared" si="16"/>
        <v>338311.01115670835</v>
      </c>
      <c r="J54" s="51">
        <f t="shared" si="16"/>
        <v>335059.1694585323</v>
      </c>
      <c r="K54" s="51">
        <f t="shared" si="16"/>
        <v>331801.9594907956</v>
      </c>
      <c r="L54" s="51">
        <f t="shared" si="16"/>
        <v>328538.8985082476</v>
      </c>
      <c r="M54" s="51">
        <f t="shared" si="16"/>
        <v>325269.4959876323</v>
      </c>
      <c r="N54" s="51">
        <f t="shared" si="16"/>
        <v>321993.2534627436</v>
      </c>
      <c r="O54" s="51">
        <f t="shared" si="16"/>
        <v>318709.6643562284</v>
      </c>
      <c r="P54" s="51">
        <f t="shared" si="16"/>
        <v>350084.88047473907</v>
      </c>
      <c r="Q54" s="51">
        <f t="shared" si="16"/>
        <v>342548.00813033304</v>
      </c>
      <c r="R54" s="51">
        <f t="shared" si="16"/>
        <v>338468.88573990087</v>
      </c>
      <c r="S54" s="51">
        <f t="shared" si="16"/>
        <v>334380.3058655176</v>
      </c>
      <c r="T54" s="51">
        <f t="shared" si="16"/>
        <v>330281.71873268485</v>
      </c>
      <c r="U54" s="51">
        <f t="shared" si="16"/>
        <v>326172.56537453865</v>
      </c>
      <c r="V54" s="51">
        <f t="shared" si="16"/>
        <v>120348.74214062798</v>
      </c>
      <c r="W54" s="51">
        <f t="shared" si="16"/>
        <v>31005.501653822008</v>
      </c>
      <c r="X54" s="51">
        <f t="shared" si="16"/>
        <v>31115.21510800974</v>
      </c>
      <c r="Y54" s="51">
        <f t="shared" si="16"/>
        <v>31219.70492798509</v>
      </c>
      <c r="Z54" s="51">
        <f t="shared" si="16"/>
        <v>31318.756114304677</v>
      </c>
      <c r="AA54" s="51">
        <f t="shared" si="16"/>
        <v>31412.147720687528</v>
      </c>
      <c r="AB54" s="51">
        <f t="shared" si="16"/>
        <v>31499.65271054035</v>
      </c>
      <c r="AC54" s="51">
        <f t="shared" si="16"/>
        <v>31581.037810247595</v>
      </c>
      <c r="AD54" s="51">
        <f t="shared" si="16"/>
        <v>31656.063359156105</v>
      </c>
      <c r="AE54" s="51">
        <f t="shared" si="16"/>
        <v>62787.515367861415</v>
      </c>
      <c r="AF54" s="51">
        <f t="shared" si="16"/>
        <v>7.275957614183426E-13</v>
      </c>
      <c r="AG54" s="51">
        <f t="shared" si="16"/>
        <v>0</v>
      </c>
      <c r="AH54" s="51">
        <f t="shared" si="16"/>
        <v>0</v>
      </c>
      <c r="AI54" s="51">
        <f t="shared" si="16"/>
        <v>0</v>
      </c>
      <c r="AJ54" s="51">
        <f t="shared" si="16"/>
        <v>0</v>
      </c>
    </row>
    <row r="55" spans="2:36" s="27" customFormat="1" ht="15">
      <c r="B55" s="53" t="s">
        <v>64</v>
      </c>
      <c r="C55" s="53"/>
      <c r="D55" s="53"/>
      <c r="E55" s="51"/>
      <c r="F55" s="72"/>
      <c r="G55" s="189">
        <f>IF(ISERROR(IRR($F54:G54)),"NA",IRR($F54:G54))</f>
        <v>-0.8526169789890861</v>
      </c>
      <c r="H55" s="189">
        <f>IF(ISERROR(IRR($F54:H54)),"NA",IRR($F54:H54))</f>
        <v>-0.5371716735394858</v>
      </c>
      <c r="I55" s="189">
        <f>IF(ISERROR(IRR($F54:I54)),"NA",IRR($F54:I54))</f>
        <v>-0.32231088087555004</v>
      </c>
      <c r="J55" s="189">
        <f>IF(ISERROR(IRR($F54:J54)),"NA",IRR($F54:J54))</f>
        <v>-0.18726809177154224</v>
      </c>
      <c r="K55" s="189">
        <f>IF(ISERROR(IRR($F54:K54)),"NA",IRR($F54:K54))</f>
        <v>-0.09976247912385194</v>
      </c>
      <c r="L55" s="189">
        <f>IF(ISERROR(IRR($F54:L54)),"NA",IRR($F54:L54))</f>
        <v>-0.04070611652796163</v>
      </c>
      <c r="M55" s="189">
        <f>IF(ISERROR(IRR($F54:M54)),"NA",IRR($F54:M54))</f>
        <v>0.0006312257961949008</v>
      </c>
      <c r="N55" s="189">
        <f>IF(ISERROR(IRR($F54:N54)),"NA",IRR($F54:N54))</f>
        <v>0.030465395041656906</v>
      </c>
      <c r="O55" s="189">
        <f>IF(ISERROR(IRR($F54:O54)),"NA",IRR($F54:O54))</f>
        <v>0.052551030922507014</v>
      </c>
      <c r="P55" s="189">
        <f>IF(ISERROR(IRR($F54:P54)),"NA",IRR($F54:P54))</f>
        <v>0.07089812208402946</v>
      </c>
      <c r="Q55" s="189">
        <f>IF(ISERROR(IRR($F54:Q54)),"NA",IRR($F54:Q54))</f>
        <v>0.08463496504454526</v>
      </c>
      <c r="R55" s="189">
        <f>IF(ISERROR(IRR($F54:R54)),"NA",IRR($F54:R54))</f>
        <v>0.09523288065164293</v>
      </c>
      <c r="S55" s="189">
        <f>IF(ISERROR(IRR($F54:S54)),"NA",IRR($F54:S54))</f>
        <v>0.10353388145888198</v>
      </c>
      <c r="T55" s="189">
        <f>IF(ISERROR(IRR($F54:T54)),"NA",IRR($F54:T54))</f>
        <v>0.11011755480910335</v>
      </c>
      <c r="U55" s="189">
        <f>IF(ISERROR(IRR($F54:U54)),"NA",IRR($F54:U54))</f>
        <v>0.11539428189648637</v>
      </c>
      <c r="V55" s="189">
        <f>IF(ISERROR(IRR($F54:V54)),"NA",IRR($F54:V54))</f>
        <v>0.11703126845692546</v>
      </c>
      <c r="W55" s="189">
        <f>IF(ISERROR(IRR($F54:W54)),"NA",IRR($F54:W54))</f>
        <v>0.11740127535100808</v>
      </c>
      <c r="X55" s="189">
        <f>IF(ISERROR(IRR($F54:X54)),"NA",IRR($F54:X54))</f>
        <v>0.11773098714681707</v>
      </c>
      <c r="Y55" s="189">
        <f>IF(ISERROR(IRR($F54:Y54)),"NA",IRR($F54:Y54))</f>
        <v>0.11802474356871318</v>
      </c>
      <c r="Z55" s="189">
        <f>IF(ISERROR(IRR($F54:Z54)),"NA",IRR($F54:Z54))</f>
        <v>0.11828643653697846</v>
      </c>
      <c r="AA55" s="189">
        <f>IF(ISERROR(IRR($F54:AA54)),"NA",IRR($F54:AA54))</f>
        <v>0.11851954934177278</v>
      </c>
      <c r="AB55" s="189">
        <f>IF(ISERROR(IRR($F54:AB54)),"NA",IRR($F54:AB54))</f>
        <v>0.11872719469699433</v>
      </c>
      <c r="AC55" s="189">
        <f>IF(ISERROR(IRR($F54:AC54)),"NA",IRR($F54:AC54))</f>
        <v>0.11891215087175544</v>
      </c>
      <c r="AD55" s="189">
        <f>IF(ISERROR(IRR($F54:AD54)),"NA",IRR($F54:AD54))</f>
        <v>0.11907689543432864</v>
      </c>
      <c r="AE55" s="189">
        <f>IF(ISERROR(IRR($F54:AE54)),"NA",IRR($F54:AE54))</f>
        <v>0.11936658181385384</v>
      </c>
      <c r="AF55" s="189">
        <f>IF(ISERROR(IRR($F54:AF54)),"NA",IRR($F54:AF54))</f>
        <v>0.11936658181385384</v>
      </c>
      <c r="AG55" s="189">
        <f>IF(ISERROR(IRR($F54:AG54)),"NA",IRR($F54:AG54))</f>
        <v>0.11936658181385384</v>
      </c>
      <c r="AH55" s="189">
        <f>IF(ISERROR(IRR($F54:AH54)),"NA",IRR($F54:AH54))</f>
        <v>0.11936658181385384</v>
      </c>
      <c r="AI55" s="189">
        <f>IF(ISERROR(IRR($F54:AI54)),"NA",IRR($F54:AI54))</f>
        <v>0.11936658181385384</v>
      </c>
      <c r="AJ55" s="189">
        <f>IF(ISERROR(IRR($F54:AJ54)),"NA",IRR($F54:AJ54))</f>
        <v>0.11936658181385384</v>
      </c>
    </row>
    <row r="56" spans="2:36" s="27" customFormat="1" ht="15">
      <c r="B56" s="53"/>
      <c r="C56" s="53"/>
      <c r="D56" s="53"/>
      <c r="E56" s="51"/>
      <c r="F56" s="72"/>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2:36" s="27" customFormat="1" ht="15">
      <c r="B57" s="197" t="s">
        <v>141</v>
      </c>
      <c r="C57" s="197"/>
      <c r="D57" s="197"/>
      <c r="E57" s="38"/>
      <c r="F57" s="154"/>
      <c r="G57" s="52">
        <f aca="true" t="shared" si="17" ref="G57:AJ57">-G136</f>
        <v>0</v>
      </c>
      <c r="H57" s="52">
        <f t="shared" si="17"/>
        <v>0</v>
      </c>
      <c r="I57" s="52">
        <f t="shared" si="17"/>
        <v>0</v>
      </c>
      <c r="J57" s="52">
        <f t="shared" si="17"/>
        <v>0</v>
      </c>
      <c r="K57" s="52">
        <f t="shared" si="17"/>
        <v>0</v>
      </c>
      <c r="L57" s="52">
        <f t="shared" si="17"/>
        <v>0</v>
      </c>
      <c r="M57" s="52">
        <f t="shared" si="17"/>
        <v>0</v>
      </c>
      <c r="N57" s="52">
        <f t="shared" si="17"/>
        <v>0</v>
      </c>
      <c r="O57" s="52">
        <f t="shared" si="17"/>
        <v>0</v>
      </c>
      <c r="P57" s="52">
        <f t="shared" si="17"/>
        <v>0</v>
      </c>
      <c r="Q57" s="52">
        <f t="shared" si="17"/>
        <v>0</v>
      </c>
      <c r="R57" s="52">
        <f t="shared" si="17"/>
        <v>0</v>
      </c>
      <c r="S57" s="52">
        <f t="shared" si="17"/>
        <v>0</v>
      </c>
      <c r="T57" s="52">
        <f t="shared" si="17"/>
        <v>0</v>
      </c>
      <c r="U57" s="52">
        <f t="shared" si="17"/>
        <v>0</v>
      </c>
      <c r="V57" s="52">
        <f t="shared" si="17"/>
        <v>0</v>
      </c>
      <c r="W57" s="52">
        <f t="shared" si="17"/>
        <v>0</v>
      </c>
      <c r="X57" s="52">
        <f t="shared" si="17"/>
        <v>0</v>
      </c>
      <c r="Y57" s="52">
        <f t="shared" si="17"/>
        <v>0</v>
      </c>
      <c r="Z57" s="52">
        <f t="shared" si="17"/>
        <v>0</v>
      </c>
      <c r="AA57" s="52">
        <f t="shared" si="17"/>
        <v>0</v>
      </c>
      <c r="AB57" s="52">
        <f t="shared" si="17"/>
        <v>0</v>
      </c>
      <c r="AC57" s="52">
        <f t="shared" si="17"/>
        <v>0</v>
      </c>
      <c r="AD57" s="52">
        <f t="shared" si="17"/>
        <v>0</v>
      </c>
      <c r="AE57" s="52">
        <f t="shared" si="17"/>
        <v>0</v>
      </c>
      <c r="AF57" s="52">
        <f t="shared" si="17"/>
        <v>0</v>
      </c>
      <c r="AG57" s="52">
        <f t="shared" si="17"/>
        <v>0</v>
      </c>
      <c r="AH57" s="52">
        <f t="shared" si="17"/>
        <v>0</v>
      </c>
      <c r="AI57" s="52">
        <f t="shared" si="17"/>
        <v>0</v>
      </c>
      <c r="AJ57" s="52">
        <f t="shared" si="17"/>
        <v>0</v>
      </c>
    </row>
    <row r="58" spans="2:36" s="27" customFormat="1" ht="15.75">
      <c r="B58" s="32" t="s">
        <v>230</v>
      </c>
      <c r="C58" s="32"/>
      <c r="D58" s="32"/>
      <c r="F58" s="73"/>
      <c r="G58" s="71">
        <f>IF('CREST Inputs'!$G$73="No",0,(G$44+G$57))</f>
        <v>0</v>
      </c>
      <c r="H58" s="71">
        <f>IF('CREST Inputs'!$G$73="No",0,(H$44+H$57))</f>
        <v>0</v>
      </c>
      <c r="I58" s="71">
        <f>IF('CREST Inputs'!$G$73="No",0,(I$44+I$57))</f>
        <v>0</v>
      </c>
      <c r="J58" s="71">
        <f>IF('CREST Inputs'!$G$73="No",0,(J$44+J$57))</f>
        <v>0</v>
      </c>
      <c r="K58" s="71">
        <f>IF('CREST Inputs'!$G$73="No",0,(K$44+K$57))</f>
        <v>0</v>
      </c>
      <c r="L58" s="71">
        <f>IF('CREST Inputs'!$G$73="No",0,(L$44+L$57))</f>
        <v>0</v>
      </c>
      <c r="M58" s="71">
        <f>IF('CREST Inputs'!$G$73="No",0,(M$44+M$57))</f>
        <v>0</v>
      </c>
      <c r="N58" s="71">
        <f>IF('CREST Inputs'!$G$73="No",0,(N$44+N$57))</f>
        <v>0</v>
      </c>
      <c r="O58" s="71">
        <f>IF('CREST Inputs'!$G$73="No",0,(O$44+O$57))</f>
        <v>0</v>
      </c>
      <c r="P58" s="71">
        <f>IF('CREST Inputs'!$G$73="No",0,(P$44+P$57))</f>
        <v>0</v>
      </c>
      <c r="Q58" s="71">
        <f>IF('CREST Inputs'!$G$73="No",0,(Q$44+Q$57))</f>
        <v>0</v>
      </c>
      <c r="R58" s="71">
        <f>IF('CREST Inputs'!$G$73="No",0,(R$44+R$57))</f>
        <v>0</v>
      </c>
      <c r="S58" s="71">
        <f>IF('CREST Inputs'!$G$73="No",0,(S$44+S$57))</f>
        <v>0</v>
      </c>
      <c r="T58" s="71">
        <f>IF('CREST Inputs'!$G$73="No",0,(T$44+T$57))</f>
        <v>0</v>
      </c>
      <c r="U58" s="71">
        <f>IF('CREST Inputs'!$G$73="No",0,(U$44+U$57))</f>
        <v>0</v>
      </c>
      <c r="V58" s="71">
        <f>IF('CREST Inputs'!$G$73="No",0,(V$44+V$57))</f>
        <v>0</v>
      </c>
      <c r="W58" s="71">
        <f>IF('CREST Inputs'!$G$73="No",0,(W$44+W$57))</f>
        <v>0</v>
      </c>
      <c r="X58" s="71">
        <f>IF('CREST Inputs'!$G$73="No",0,(X$44+X$57))</f>
        <v>0</v>
      </c>
      <c r="Y58" s="71">
        <f>IF('CREST Inputs'!$G$73="No",0,(Y$44+Y$57))</f>
        <v>0</v>
      </c>
      <c r="Z58" s="71">
        <f>IF('CREST Inputs'!$G$73="No",0,(Z$44+Z$57))</f>
        <v>0</v>
      </c>
      <c r="AA58" s="71">
        <f>IF('CREST Inputs'!$G$73="No",0,(AA$44+AA$57))</f>
        <v>0</v>
      </c>
      <c r="AB58" s="71">
        <f>IF('CREST Inputs'!$G$73="No",0,(AB$44+AB$57))</f>
        <v>0</v>
      </c>
      <c r="AC58" s="71">
        <f>IF('CREST Inputs'!$G$73="No",0,(AC$44+AC$57))</f>
        <v>0</v>
      </c>
      <c r="AD58" s="71">
        <f>IF('CREST Inputs'!$G$73="No",0,(AD$44+AD$57))</f>
        <v>0</v>
      </c>
      <c r="AE58" s="71">
        <f>IF('CREST Inputs'!$G$73="No",0,(AE$44+AE$57))</f>
        <v>0</v>
      </c>
      <c r="AF58" s="71">
        <f>IF('CREST Inputs'!$G$73="No",0,(AF$44+AF$57))</f>
        <v>0</v>
      </c>
      <c r="AG58" s="71">
        <f>IF('CREST Inputs'!$G$73="No",0,(AG$44+AG$57))</f>
        <v>0</v>
      </c>
      <c r="AH58" s="71">
        <f>IF('CREST Inputs'!$G$73="No",0,(AH$44+AH$57))</f>
        <v>0</v>
      </c>
      <c r="AI58" s="71">
        <f>IF('CREST Inputs'!$G$73="No",0,(AI$44+AI$57))</f>
        <v>0</v>
      </c>
      <c r="AJ58" s="71">
        <f>IF('CREST Inputs'!$G$73="No",0,(AJ$44+AJ$57))</f>
        <v>0</v>
      </c>
    </row>
    <row r="59" spans="2:36" s="27" customFormat="1" ht="15.75">
      <c r="B59" s="50"/>
      <c r="C59" s="50"/>
      <c r="D59" s="50"/>
      <c r="F59" s="73"/>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2:36" s="27" customFormat="1" ht="15.75">
      <c r="B60" s="32" t="s">
        <v>282</v>
      </c>
      <c r="C60" s="32"/>
      <c r="D60" s="32"/>
      <c r="E60" s="309" t="s">
        <v>281</v>
      </c>
      <c r="F60" s="155" t="str">
        <f>'CREST Inputs'!G75</f>
        <v>As Generated</v>
      </c>
      <c r="G60" s="71">
        <f aca="true" t="shared" si="18" ref="G60:AJ60">IF($F$60="as generated",G$58,G$151)</f>
        <v>0</v>
      </c>
      <c r="H60" s="71">
        <f t="shared" si="18"/>
        <v>0</v>
      </c>
      <c r="I60" s="71">
        <f t="shared" si="18"/>
        <v>0</v>
      </c>
      <c r="J60" s="71">
        <f t="shared" si="18"/>
        <v>0</v>
      </c>
      <c r="K60" s="71">
        <f t="shared" si="18"/>
        <v>0</v>
      </c>
      <c r="L60" s="71">
        <f t="shared" si="18"/>
        <v>0</v>
      </c>
      <c r="M60" s="71">
        <f t="shared" si="18"/>
        <v>0</v>
      </c>
      <c r="N60" s="71">
        <f t="shared" si="18"/>
        <v>0</v>
      </c>
      <c r="O60" s="71">
        <f t="shared" si="18"/>
        <v>0</v>
      </c>
      <c r="P60" s="71">
        <f t="shared" si="18"/>
        <v>0</v>
      </c>
      <c r="Q60" s="71">
        <f t="shared" si="18"/>
        <v>0</v>
      </c>
      <c r="R60" s="71">
        <f t="shared" si="18"/>
        <v>0</v>
      </c>
      <c r="S60" s="71">
        <f t="shared" si="18"/>
        <v>0</v>
      </c>
      <c r="T60" s="71">
        <f t="shared" si="18"/>
        <v>0</v>
      </c>
      <c r="U60" s="71">
        <f t="shared" si="18"/>
        <v>0</v>
      </c>
      <c r="V60" s="71">
        <f t="shared" si="18"/>
        <v>0</v>
      </c>
      <c r="W60" s="71">
        <f t="shared" si="18"/>
        <v>0</v>
      </c>
      <c r="X60" s="71">
        <f t="shared" si="18"/>
        <v>0</v>
      </c>
      <c r="Y60" s="71">
        <f t="shared" si="18"/>
        <v>0</v>
      </c>
      <c r="Z60" s="71">
        <f t="shared" si="18"/>
        <v>0</v>
      </c>
      <c r="AA60" s="71">
        <f t="shared" si="18"/>
        <v>0</v>
      </c>
      <c r="AB60" s="71">
        <f t="shared" si="18"/>
        <v>0</v>
      </c>
      <c r="AC60" s="71">
        <f t="shared" si="18"/>
        <v>0</v>
      </c>
      <c r="AD60" s="71">
        <f t="shared" si="18"/>
        <v>0</v>
      </c>
      <c r="AE60" s="71">
        <f t="shared" si="18"/>
        <v>0</v>
      </c>
      <c r="AF60" s="71">
        <f t="shared" si="18"/>
        <v>0</v>
      </c>
      <c r="AG60" s="71">
        <f t="shared" si="18"/>
        <v>0</v>
      </c>
      <c r="AH60" s="71">
        <f t="shared" si="18"/>
        <v>0</v>
      </c>
      <c r="AI60" s="71">
        <f t="shared" si="18"/>
        <v>0</v>
      </c>
      <c r="AJ60" s="71">
        <f t="shared" si="18"/>
        <v>0</v>
      </c>
    </row>
    <row r="61" spans="2:36" s="27" customFormat="1" ht="15.75">
      <c r="B61" s="32" t="s">
        <v>283</v>
      </c>
      <c r="C61" s="32"/>
      <c r="D61" s="32"/>
      <c r="E61" s="309" t="s">
        <v>281</v>
      </c>
      <c r="F61" s="155" t="str">
        <f>'CREST Inputs'!G77</f>
        <v>As Generated</v>
      </c>
      <c r="G61" s="71">
        <f aca="true" t="shared" si="19" ref="G61:AJ61">IF($F$61="as generated",G$58,G$159)</f>
        <v>0</v>
      </c>
      <c r="H61" s="71">
        <f t="shared" si="19"/>
        <v>0</v>
      </c>
      <c r="I61" s="71">
        <f t="shared" si="19"/>
        <v>0</v>
      </c>
      <c r="J61" s="71">
        <f t="shared" si="19"/>
        <v>0</v>
      </c>
      <c r="K61" s="71">
        <f t="shared" si="19"/>
        <v>0</v>
      </c>
      <c r="L61" s="71">
        <f t="shared" si="19"/>
        <v>0</v>
      </c>
      <c r="M61" s="71">
        <f t="shared" si="19"/>
        <v>0</v>
      </c>
      <c r="N61" s="71">
        <f t="shared" si="19"/>
        <v>0</v>
      </c>
      <c r="O61" s="71">
        <f t="shared" si="19"/>
        <v>0</v>
      </c>
      <c r="P61" s="71">
        <f t="shared" si="19"/>
        <v>0</v>
      </c>
      <c r="Q61" s="71">
        <f t="shared" si="19"/>
        <v>0</v>
      </c>
      <c r="R61" s="71">
        <f t="shared" si="19"/>
        <v>0</v>
      </c>
      <c r="S61" s="71">
        <f t="shared" si="19"/>
        <v>0</v>
      </c>
      <c r="T61" s="71">
        <f t="shared" si="19"/>
        <v>0</v>
      </c>
      <c r="U61" s="71">
        <f t="shared" si="19"/>
        <v>0</v>
      </c>
      <c r="V61" s="71">
        <f t="shared" si="19"/>
        <v>0</v>
      </c>
      <c r="W61" s="71">
        <f t="shared" si="19"/>
        <v>0</v>
      </c>
      <c r="X61" s="71">
        <f t="shared" si="19"/>
        <v>0</v>
      </c>
      <c r="Y61" s="71">
        <f t="shared" si="19"/>
        <v>0</v>
      </c>
      <c r="Z61" s="71">
        <f t="shared" si="19"/>
        <v>0</v>
      </c>
      <c r="AA61" s="71">
        <f t="shared" si="19"/>
        <v>0</v>
      </c>
      <c r="AB61" s="71">
        <f t="shared" si="19"/>
        <v>0</v>
      </c>
      <c r="AC61" s="71">
        <f t="shared" si="19"/>
        <v>0</v>
      </c>
      <c r="AD61" s="71">
        <f t="shared" si="19"/>
        <v>0</v>
      </c>
      <c r="AE61" s="71">
        <f t="shared" si="19"/>
        <v>0</v>
      </c>
      <c r="AF61" s="71">
        <f t="shared" si="19"/>
        <v>0</v>
      </c>
      <c r="AG61" s="71">
        <f t="shared" si="19"/>
        <v>0</v>
      </c>
      <c r="AH61" s="71">
        <f t="shared" si="19"/>
        <v>0</v>
      </c>
      <c r="AI61" s="71">
        <f t="shared" si="19"/>
        <v>0</v>
      </c>
      <c r="AJ61" s="71">
        <f t="shared" si="19"/>
        <v>0</v>
      </c>
    </row>
    <row r="62" spans="2:36" s="27" customFormat="1" ht="15">
      <c r="B62" s="153"/>
      <c r="C62" s="153"/>
      <c r="D62" s="153"/>
      <c r="F62" s="73"/>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s="36" customFormat="1" ht="15">
      <c r="B63" s="34" t="s">
        <v>125</v>
      </c>
      <c r="C63" s="34"/>
      <c r="D63" s="34"/>
      <c r="E63" s="151"/>
      <c r="G63" s="71">
        <f>IF('CREST Inputs'!$G$73="No",0,-(G$60+G$64)*'CREST Inputs'!$G$74)</f>
        <v>0</v>
      </c>
      <c r="H63" s="71">
        <f>IF('CREST Inputs'!$G$73="No",0,-(H$60+H$64)*'CREST Inputs'!$G$74)</f>
        <v>0</v>
      </c>
      <c r="I63" s="71">
        <f>IF('CREST Inputs'!$G$73="No",0,-(I$60+I$64)*'CREST Inputs'!$G$74)</f>
        <v>0</v>
      </c>
      <c r="J63" s="71">
        <f>IF('CREST Inputs'!$G$73="No",0,-(J$60+J$64)*'CREST Inputs'!$G$74)</f>
        <v>0</v>
      </c>
      <c r="K63" s="71">
        <f>IF('CREST Inputs'!$G$73="No",0,-(K$60+K$64)*'CREST Inputs'!$G$74)</f>
        <v>0</v>
      </c>
      <c r="L63" s="71">
        <f>IF('CREST Inputs'!$G$73="No",0,-(L$60+L$64)*'CREST Inputs'!$G$74)</f>
        <v>0</v>
      </c>
      <c r="M63" s="71">
        <f>IF('CREST Inputs'!$G$73="No",0,-(M$60+M$64)*'CREST Inputs'!$G$74)</f>
        <v>0</v>
      </c>
      <c r="N63" s="71">
        <f>IF('CREST Inputs'!$G$73="No",0,-(N$60+N$64)*'CREST Inputs'!$G$74)</f>
        <v>0</v>
      </c>
      <c r="O63" s="71">
        <f>IF('CREST Inputs'!$G$73="No",0,-(O$60+O$64)*'CREST Inputs'!$G$74)</f>
        <v>0</v>
      </c>
      <c r="P63" s="71">
        <f>IF('CREST Inputs'!$G$73="No",0,-(P$60+P$64)*'CREST Inputs'!$G$74)</f>
        <v>0</v>
      </c>
      <c r="Q63" s="71">
        <f>IF('CREST Inputs'!$G$73="No",0,-(Q$60+Q$64)*'CREST Inputs'!$G$74)</f>
        <v>0</v>
      </c>
      <c r="R63" s="71">
        <f>IF('CREST Inputs'!$G$73="No",0,-(R$60+R$64)*'CREST Inputs'!$G$74)</f>
        <v>0</v>
      </c>
      <c r="S63" s="71">
        <f>IF('CREST Inputs'!$G$73="No",0,-(S$60+S$64)*'CREST Inputs'!$G$74)</f>
        <v>0</v>
      </c>
      <c r="T63" s="71">
        <f>IF('CREST Inputs'!$G$73="No",0,-(T$60+T$64)*'CREST Inputs'!$G$74)</f>
        <v>0</v>
      </c>
      <c r="U63" s="71">
        <f>IF('CREST Inputs'!$G$73="No",0,-(U$60+U$64)*'CREST Inputs'!$G$74)</f>
        <v>0</v>
      </c>
      <c r="V63" s="71">
        <f>IF('CREST Inputs'!$G$73="No",0,-(V$60+V$64)*'CREST Inputs'!$G$74)</f>
        <v>0</v>
      </c>
      <c r="W63" s="71">
        <f>IF('CREST Inputs'!$G$73="No",0,-(W$60+W$64)*'CREST Inputs'!$G$74)</f>
        <v>0</v>
      </c>
      <c r="X63" s="71">
        <f>IF('CREST Inputs'!$G$73="No",0,-(X$60+X$64)*'CREST Inputs'!$G$74)</f>
        <v>0</v>
      </c>
      <c r="Y63" s="71">
        <f>IF('CREST Inputs'!$G$73="No",0,-(Y$60+Y$64)*'CREST Inputs'!$G$74)</f>
        <v>0</v>
      </c>
      <c r="Z63" s="71">
        <f>IF('CREST Inputs'!$G$73="No",0,-(Z$60+Z$64)*'CREST Inputs'!$G$74)</f>
        <v>0</v>
      </c>
      <c r="AA63" s="71">
        <f>IF('CREST Inputs'!$G$73="No",0,-(AA$60+AA$64)*'CREST Inputs'!$G$74)</f>
        <v>0</v>
      </c>
      <c r="AB63" s="71">
        <f>IF('CREST Inputs'!$G$73="No",0,-(AB$60+AB$64)*'CREST Inputs'!$G$74)</f>
        <v>0</v>
      </c>
      <c r="AC63" s="71">
        <f>IF('CREST Inputs'!$G$73="No",0,-(AC$60+AC$64)*'CREST Inputs'!$G$74)</f>
        <v>0</v>
      </c>
      <c r="AD63" s="71">
        <f>IF('CREST Inputs'!$G$73="No",0,-(AD$60+AD$64)*'CREST Inputs'!$G$74)</f>
        <v>0</v>
      </c>
      <c r="AE63" s="71">
        <f>IF('CREST Inputs'!$G$73="No",0,-(AE$60+AE$64)*'CREST Inputs'!$G$74)</f>
        <v>0</v>
      </c>
      <c r="AF63" s="71">
        <f>IF('CREST Inputs'!$G$73="No",0,-(AF$60+AF$64)*'CREST Inputs'!$G$74)</f>
        <v>0</v>
      </c>
      <c r="AG63" s="71">
        <f>IF('CREST Inputs'!$G$73="No",0,-(AG$60+AG$64)*'CREST Inputs'!$G$74)</f>
        <v>0</v>
      </c>
      <c r="AH63" s="71">
        <f>IF('CREST Inputs'!$G$73="No",0,-(AH$60+AH$64)*'CREST Inputs'!$G$74)</f>
        <v>0</v>
      </c>
      <c r="AI63" s="71">
        <f>IF('CREST Inputs'!$G$73="No",0,-(AI$60+AI$64)*'CREST Inputs'!$G$74)</f>
        <v>0</v>
      </c>
      <c r="AJ63" s="71">
        <f>IF('CREST Inputs'!$G$73="No",0,-(AJ$60+AJ$64)*'CREST Inputs'!$G$74)</f>
        <v>0</v>
      </c>
    </row>
    <row r="64" spans="2:36" s="36" customFormat="1" ht="15">
      <c r="B64" s="34" t="s">
        <v>151</v>
      </c>
      <c r="C64" s="34"/>
      <c r="D64" s="34"/>
      <c r="G64" s="71">
        <f>IF('CREST Inputs'!$G$73="No",0,-(G$61-IF(AND('CREST Inputs'!$Q$38="Cash",'CREST Inputs'!$Q$40="No"),'Cash Flow'!G$21,0))*'CREST Inputs'!$G$76)</f>
        <v>0</v>
      </c>
      <c r="H64" s="71">
        <f>IF('CREST Inputs'!$G$73="No",0,-(H$61-IF(AND('CREST Inputs'!$Q$38="Cash",'CREST Inputs'!$Q$40="No"),'Cash Flow'!H$21,0))*'CREST Inputs'!$G$76)</f>
        <v>0</v>
      </c>
      <c r="I64" s="71">
        <f>IF('CREST Inputs'!$G$73="No",0,-(I$61-IF(AND('CREST Inputs'!$Q$38="Cash",'CREST Inputs'!$Q$40="No"),'Cash Flow'!I$21,0))*'CREST Inputs'!$G$76)</f>
        <v>0</v>
      </c>
      <c r="J64" s="71">
        <f>IF('CREST Inputs'!$G$73="No",0,-(J$61-IF(AND('CREST Inputs'!$Q$38="Cash",'CREST Inputs'!$Q$40="No"),'Cash Flow'!J$21,0))*'CREST Inputs'!$G$76)</f>
        <v>0</v>
      </c>
      <c r="K64" s="71">
        <f>IF('CREST Inputs'!$G$73="No",0,-(K$61-IF(AND('CREST Inputs'!$Q$38="Cash",'CREST Inputs'!$Q$40="No"),'Cash Flow'!K$21,0))*'CREST Inputs'!$G$76)</f>
        <v>0</v>
      </c>
      <c r="L64" s="71">
        <f>IF('CREST Inputs'!$G$73="No",0,-(L$61-IF(AND('CREST Inputs'!$Q$38="Cash",'CREST Inputs'!$Q$40="No"),'Cash Flow'!L$21,0))*'CREST Inputs'!$G$76)</f>
        <v>0</v>
      </c>
      <c r="M64" s="71">
        <f>IF('CREST Inputs'!$G$73="No",0,-(M$61-IF(AND('CREST Inputs'!$Q$38="Cash",'CREST Inputs'!$Q$40="No"),'Cash Flow'!M$21,0))*'CREST Inputs'!$G$76)</f>
        <v>0</v>
      </c>
      <c r="N64" s="71">
        <f>IF('CREST Inputs'!$G$73="No",0,-(N$61-IF(AND('CREST Inputs'!$Q$38="Cash",'CREST Inputs'!$Q$40="No"),'Cash Flow'!N$21,0))*'CREST Inputs'!$G$76)</f>
        <v>0</v>
      </c>
      <c r="O64" s="71">
        <f>IF('CREST Inputs'!$G$73="No",0,-(O$61-IF(AND('CREST Inputs'!$Q$38="Cash",'CREST Inputs'!$Q$40="No"),'Cash Flow'!O$21,0))*'CREST Inputs'!$G$76)</f>
        <v>0</v>
      </c>
      <c r="P64" s="71">
        <f>IF('CREST Inputs'!$G$73="No",0,-(P$61-IF(AND('CREST Inputs'!$Q$38="Cash",'CREST Inputs'!$Q$40="No"),'Cash Flow'!P$21,0))*'CREST Inputs'!$G$76)</f>
        <v>0</v>
      </c>
      <c r="Q64" s="71">
        <f>IF('CREST Inputs'!$G$73="No",0,-(Q$61-IF(AND('CREST Inputs'!$Q$38="Cash",'CREST Inputs'!$Q$40="No"),'Cash Flow'!Q$21,0))*'CREST Inputs'!$G$76)</f>
        <v>0</v>
      </c>
      <c r="R64" s="71">
        <f>IF('CREST Inputs'!$G$73="No",0,-(R$61-IF(AND('CREST Inputs'!$Q$38="Cash",'CREST Inputs'!$Q$40="No"),'Cash Flow'!R$21,0))*'CREST Inputs'!$G$76)</f>
        <v>0</v>
      </c>
      <c r="S64" s="71">
        <f>IF('CREST Inputs'!$G$73="No",0,-(S$61-IF(AND('CREST Inputs'!$Q$38="Cash",'CREST Inputs'!$Q$40="No"),'Cash Flow'!S$21,0))*'CREST Inputs'!$G$76)</f>
        <v>0</v>
      </c>
      <c r="T64" s="71">
        <f>IF('CREST Inputs'!$G$73="No",0,-(T$61-IF(AND('CREST Inputs'!$Q$38="Cash",'CREST Inputs'!$Q$40="No"),'Cash Flow'!T$21,0))*'CREST Inputs'!$G$76)</f>
        <v>0</v>
      </c>
      <c r="U64" s="71">
        <f>IF('CREST Inputs'!$G$73="No",0,-(U$61-IF(AND('CREST Inputs'!$Q$38="Cash",'CREST Inputs'!$Q$40="No"),'Cash Flow'!U$21,0))*'CREST Inputs'!$G$76)</f>
        <v>0</v>
      </c>
      <c r="V64" s="71">
        <f>IF('CREST Inputs'!$G$73="No",0,-(V$61-IF(AND('CREST Inputs'!$Q$38="Cash",'CREST Inputs'!$Q$40="No"),'Cash Flow'!V$21,0))*'CREST Inputs'!$G$76)</f>
        <v>0</v>
      </c>
      <c r="W64" s="71">
        <f>IF('CREST Inputs'!$G$73="No",0,-(W$61-IF(AND('CREST Inputs'!$Q$38="Cash",'CREST Inputs'!$Q$40="No"),'Cash Flow'!W$21,0))*'CREST Inputs'!$G$76)</f>
        <v>0</v>
      </c>
      <c r="X64" s="71">
        <f>IF('CREST Inputs'!$G$73="No",0,-(X$61-IF(AND('CREST Inputs'!$Q$38="Cash",'CREST Inputs'!$Q$40="No"),'Cash Flow'!X$21,0))*'CREST Inputs'!$G$76)</f>
        <v>0</v>
      </c>
      <c r="Y64" s="71">
        <f>IF('CREST Inputs'!$G$73="No",0,-(Y$61-IF(AND('CREST Inputs'!$Q$38="Cash",'CREST Inputs'!$Q$40="No"),'Cash Flow'!Y$21,0))*'CREST Inputs'!$G$76)</f>
        <v>0</v>
      </c>
      <c r="Z64" s="71">
        <f>IF('CREST Inputs'!$G$73="No",0,-(Z$61-IF(AND('CREST Inputs'!$Q$38="Cash",'CREST Inputs'!$Q$40="No"),'Cash Flow'!Z$21,0))*'CREST Inputs'!$G$76)</f>
        <v>0</v>
      </c>
      <c r="AA64" s="71">
        <f>IF('CREST Inputs'!$G$73="No",0,-(AA$61-IF(AND('CREST Inputs'!$Q$38="Cash",'CREST Inputs'!$Q$40="No"),'Cash Flow'!AA$21,0))*'CREST Inputs'!$G$76)</f>
        <v>0</v>
      </c>
      <c r="AB64" s="71">
        <f>IF('CREST Inputs'!$G$73="No",0,-(AB$61-IF(AND('CREST Inputs'!$Q$38="Cash",'CREST Inputs'!$Q$40="No"),'Cash Flow'!AB$21,0))*'CREST Inputs'!$G$76)</f>
        <v>0</v>
      </c>
      <c r="AC64" s="71">
        <f>IF('CREST Inputs'!$G$73="No",0,-(AC$61-IF(AND('CREST Inputs'!$Q$38="Cash",'CREST Inputs'!$Q$40="No"),'Cash Flow'!AC$21,0))*'CREST Inputs'!$G$76)</f>
        <v>0</v>
      </c>
      <c r="AD64" s="71">
        <f>IF('CREST Inputs'!$G$73="No",0,-(AD$61-IF(AND('CREST Inputs'!$Q$38="Cash",'CREST Inputs'!$Q$40="No"),'Cash Flow'!AD$21,0))*'CREST Inputs'!$G$76)</f>
        <v>0</v>
      </c>
      <c r="AE64" s="71">
        <f>IF('CREST Inputs'!$G$73="No",0,-(AE$61-IF(AND('CREST Inputs'!$Q$38="Cash",'CREST Inputs'!$Q$40="No"),'Cash Flow'!AE$21,0))*'CREST Inputs'!$G$76)</f>
        <v>0</v>
      </c>
      <c r="AF64" s="71">
        <f>IF('CREST Inputs'!$G$73="No",0,-(AF$61-IF(AND('CREST Inputs'!$Q$38="Cash",'CREST Inputs'!$Q$40="No"),'Cash Flow'!AF$21,0))*'CREST Inputs'!$G$76)</f>
        <v>0</v>
      </c>
      <c r="AG64" s="71">
        <f>IF('CREST Inputs'!$G$73="No",0,-(AG$61-IF(AND('CREST Inputs'!$Q$38="Cash",'CREST Inputs'!$Q$40="No"),'Cash Flow'!AG$21,0))*'CREST Inputs'!$G$76)</f>
        <v>0</v>
      </c>
      <c r="AH64" s="71">
        <f>IF('CREST Inputs'!$G$73="No",0,-(AH$61-IF(AND('CREST Inputs'!$Q$38="Cash",'CREST Inputs'!$Q$40="No"),'Cash Flow'!AH$21,0))*'CREST Inputs'!$G$76)</f>
        <v>0</v>
      </c>
      <c r="AI64" s="71">
        <f>IF('CREST Inputs'!$G$73="No",0,-(AI$61-IF(AND('CREST Inputs'!$Q$38="Cash",'CREST Inputs'!$Q$40="No"),'Cash Flow'!AI$21,0))*'CREST Inputs'!$G$76)</f>
        <v>0</v>
      </c>
      <c r="AJ64" s="71">
        <f>IF('CREST Inputs'!$G$73="No",0,-(AJ$61-IF(AND('CREST Inputs'!$Q$38="Cash",'CREST Inputs'!$Q$40="No"),'Cash Flow'!AJ$21,0))*'CREST Inputs'!$G$76)</f>
        <v>0</v>
      </c>
    </row>
    <row r="65" spans="2:36" s="27" customFormat="1" ht="15">
      <c r="B65" s="34" t="s">
        <v>215</v>
      </c>
      <c r="C65" s="34"/>
      <c r="D65" s="34"/>
      <c r="E65" s="151"/>
      <c r="F65" s="36"/>
      <c r="G65" s="40">
        <f>IF(AND('CREST Inputs'!$Q$19="Cost-Based",'CREST Inputs'!$Q$20="Cash Grant",G$2=1),'CREST Inputs'!$Q$23,IF('CREST Inputs'!$G$75="as generated",'Cash Flow'!G$166,-G$173))</f>
        <v>0</v>
      </c>
      <c r="H65" s="40">
        <f>IF(AND('CREST Inputs'!$Q$19="Cost-Based",'CREST Inputs'!$Q$20="Cash Grant",H$2=1),'CREST Inputs'!$Q$23,IF('CREST Inputs'!$G$75="as generated",'Cash Flow'!H$166,-H$173))</f>
        <v>0</v>
      </c>
      <c r="I65" s="40">
        <f>IF(AND('CREST Inputs'!$Q$19="Cost-Based",'CREST Inputs'!$Q$20="Cash Grant",I$2=1),'CREST Inputs'!$Q$23,IF('CREST Inputs'!$G$75="as generated",'Cash Flow'!I$166,-I$173))</f>
        <v>0</v>
      </c>
      <c r="J65" s="40">
        <f>IF(AND('CREST Inputs'!$Q$19="Cost-Based",'CREST Inputs'!$Q$20="Cash Grant",J$2=1),'CREST Inputs'!$Q$23,IF('CREST Inputs'!$G$75="as generated",'Cash Flow'!J$166,-J$173))</f>
        <v>0</v>
      </c>
      <c r="K65" s="40">
        <f>IF(AND('CREST Inputs'!$Q$19="Cost-Based",'CREST Inputs'!$Q$20="Cash Grant",K$2=1),'CREST Inputs'!$Q$23,IF('CREST Inputs'!$G$75="as generated",'Cash Flow'!K$166,-K$173))</f>
        <v>0</v>
      </c>
      <c r="L65" s="40">
        <f>IF(AND('CREST Inputs'!$Q$19="Cost-Based",'CREST Inputs'!$Q$20="Cash Grant",L$2=1),'CREST Inputs'!$Q$23,IF('CREST Inputs'!$G$75="as generated",'Cash Flow'!L$166,-L$173))</f>
        <v>0</v>
      </c>
      <c r="M65" s="40">
        <f>IF(AND('CREST Inputs'!$Q$19="Cost-Based",'CREST Inputs'!$Q$20="Cash Grant",M$2=1),'CREST Inputs'!$Q$23,IF('CREST Inputs'!$G$75="as generated",'Cash Flow'!M$166,-M$173))</f>
        <v>0</v>
      </c>
      <c r="N65" s="40">
        <f>IF(AND('CREST Inputs'!$Q$19="Cost-Based",'CREST Inputs'!$Q$20="Cash Grant",N$2=1),'CREST Inputs'!$Q$23,IF('CREST Inputs'!$G$75="as generated",'Cash Flow'!N$166,-N$173))</f>
        <v>0</v>
      </c>
      <c r="O65" s="40">
        <f>IF(AND('CREST Inputs'!$Q$19="Cost-Based",'CREST Inputs'!$Q$20="Cash Grant",O$2=1),'CREST Inputs'!$Q$23,IF('CREST Inputs'!$G$75="as generated",'Cash Flow'!O$166,-O$173))</f>
        <v>0</v>
      </c>
      <c r="P65" s="40">
        <f>IF(AND('CREST Inputs'!$Q$19="Cost-Based",'CREST Inputs'!$Q$20="Cash Grant",P$2=1),'CREST Inputs'!$Q$23,IF('CREST Inputs'!$G$75="as generated",'Cash Flow'!P$166,-P$173))</f>
        <v>0</v>
      </c>
      <c r="Q65" s="40">
        <f>IF(AND('CREST Inputs'!$Q$19="Cost-Based",'CREST Inputs'!$Q$20="Cash Grant",Q$2=1),'CREST Inputs'!$Q$23,IF('CREST Inputs'!$G$75="as generated",'Cash Flow'!Q$166,-Q$173))</f>
        <v>0</v>
      </c>
      <c r="R65" s="40">
        <f>IF(AND('CREST Inputs'!$Q$19="Cost-Based",'CREST Inputs'!$Q$20="Cash Grant",R$2=1),'CREST Inputs'!$Q$23,IF('CREST Inputs'!$G$75="as generated",'Cash Flow'!R$166,-R$173))</f>
        <v>0</v>
      </c>
      <c r="S65" s="40">
        <f>IF(AND('CREST Inputs'!$Q$19="Cost-Based",'CREST Inputs'!$Q$20="Cash Grant",S$2=1),'CREST Inputs'!$Q$23,IF('CREST Inputs'!$G$75="as generated",'Cash Flow'!S$166,-S$173))</f>
        <v>0</v>
      </c>
      <c r="T65" s="40">
        <f>IF(AND('CREST Inputs'!$Q$19="Cost-Based",'CREST Inputs'!$Q$20="Cash Grant",T$2=1),'CREST Inputs'!$Q$23,IF('CREST Inputs'!$G$75="as generated",'Cash Flow'!T$166,-T$173))</f>
        <v>0</v>
      </c>
      <c r="U65" s="40">
        <f>IF(AND('CREST Inputs'!$Q$19="Cost-Based",'CREST Inputs'!$Q$20="Cash Grant",U$2=1),'CREST Inputs'!$Q$23,IF('CREST Inputs'!$G$75="as generated",'Cash Flow'!U$166,-U$173))</f>
        <v>0</v>
      </c>
      <c r="V65" s="40">
        <f>IF(AND('CREST Inputs'!$Q$19="Cost-Based",'CREST Inputs'!$Q$20="Cash Grant",V$2=1),'CREST Inputs'!$Q$23,IF('CREST Inputs'!$G$75="as generated",'Cash Flow'!V$166,-V$173))</f>
        <v>0</v>
      </c>
      <c r="W65" s="40">
        <f>IF(AND('CREST Inputs'!$Q$19="Cost-Based",'CREST Inputs'!$Q$20="Cash Grant",W$2=1),'CREST Inputs'!$Q$23,IF('CREST Inputs'!$G$75="as generated",'Cash Flow'!W$166,-W$173))</f>
        <v>0</v>
      </c>
      <c r="X65" s="40">
        <f>IF(AND('CREST Inputs'!$Q$19="Cost-Based",'CREST Inputs'!$Q$20="Cash Grant",X$2=1),'CREST Inputs'!$Q$23,IF('CREST Inputs'!$G$75="as generated",'Cash Flow'!X$166,-X$173))</f>
        <v>0</v>
      </c>
      <c r="Y65" s="40">
        <f>IF(AND('CREST Inputs'!$Q$19="Cost-Based",'CREST Inputs'!$Q$20="Cash Grant",Y$2=1),'CREST Inputs'!$Q$23,IF('CREST Inputs'!$G$75="as generated",'Cash Flow'!Y$166,-Y$173))</f>
        <v>0</v>
      </c>
      <c r="Z65" s="40">
        <f>IF(AND('CREST Inputs'!$Q$19="Cost-Based",'CREST Inputs'!$Q$20="Cash Grant",Z$2=1),'CREST Inputs'!$Q$23,IF('CREST Inputs'!$G$75="as generated",'Cash Flow'!Z$166,-Z$173))</f>
        <v>0</v>
      </c>
      <c r="AA65" s="40">
        <f>IF(AND('CREST Inputs'!$Q$19="Cost-Based",'CREST Inputs'!$Q$20="Cash Grant",AA$2=1),'CREST Inputs'!$Q$23,IF('CREST Inputs'!$G$75="as generated",'Cash Flow'!AA$166,-AA$173))</f>
        <v>0</v>
      </c>
      <c r="AB65" s="40">
        <f>IF(AND('CREST Inputs'!$Q$19="Cost-Based",'CREST Inputs'!$Q$20="Cash Grant",AB$2=1),'CREST Inputs'!$Q$23,IF('CREST Inputs'!$G$75="as generated",'Cash Flow'!AB$166,-AB$173))</f>
        <v>0</v>
      </c>
      <c r="AC65" s="40">
        <f>IF(AND('CREST Inputs'!$Q$19="Cost-Based",'CREST Inputs'!$Q$20="Cash Grant",AC$2=1),'CREST Inputs'!$Q$23,IF('CREST Inputs'!$G$75="as generated",'Cash Flow'!AC$166,-AC$173))</f>
        <v>0</v>
      </c>
      <c r="AD65" s="40">
        <f>IF(AND('CREST Inputs'!$Q$19="Cost-Based",'CREST Inputs'!$Q$20="Cash Grant",AD$2=1),'CREST Inputs'!$Q$23,IF('CREST Inputs'!$G$75="as generated",'Cash Flow'!AD$166,-AD$173))</f>
        <v>0</v>
      </c>
      <c r="AE65" s="40">
        <f>IF(AND('CREST Inputs'!$Q$19="Cost-Based",'CREST Inputs'!$Q$20="Cash Grant",AE$2=1),'CREST Inputs'!$Q$23,IF('CREST Inputs'!$G$75="as generated",'Cash Flow'!AE$166,-AE$173))</f>
        <v>0</v>
      </c>
      <c r="AF65" s="40">
        <f>IF(AND('CREST Inputs'!$Q$19="Cost-Based",'CREST Inputs'!$Q$20="Cash Grant",AF$2=1),'CREST Inputs'!$Q$23,IF('CREST Inputs'!$G$75="as generated",'Cash Flow'!AF$166,-AF$173))</f>
        <v>0</v>
      </c>
      <c r="AG65" s="40">
        <f>IF(AND('CREST Inputs'!$Q$19="Cost-Based",'CREST Inputs'!$Q$20="Cash Grant",AG$2=1),'CREST Inputs'!$Q$23,IF('CREST Inputs'!$G$75="as generated",'Cash Flow'!AG$166,-AG$173))</f>
        <v>0</v>
      </c>
      <c r="AH65" s="40">
        <f>IF(AND('CREST Inputs'!$Q$19="Cost-Based",'CREST Inputs'!$Q$20="Cash Grant",AH$2=1),'CREST Inputs'!$Q$23,IF('CREST Inputs'!$G$75="as generated",'Cash Flow'!AH$166,-AH$173))</f>
        <v>0</v>
      </c>
      <c r="AI65" s="40">
        <f>IF(AND('CREST Inputs'!$Q$19="Cost-Based",'CREST Inputs'!$Q$20="Cash Grant",AI$2=1),'CREST Inputs'!$Q$23,IF('CREST Inputs'!$G$75="as generated",'Cash Flow'!AI$166,-AI$173))</f>
        <v>0</v>
      </c>
      <c r="AJ65" s="40">
        <f>IF(AND('CREST Inputs'!$Q$19="Cost-Based",'CREST Inputs'!$Q$20="Cash Grant",AJ$2=1),'CREST Inputs'!$Q$23,IF('CREST Inputs'!$G$75="as generated",'Cash Flow'!AJ$166,-AJ$173))</f>
        <v>0</v>
      </c>
    </row>
    <row r="66" spans="2:36" s="27" customFormat="1" ht="15">
      <c r="B66" s="37" t="s">
        <v>128</v>
      </c>
      <c r="C66" s="37"/>
      <c r="D66" s="37"/>
      <c r="E66" s="152"/>
      <c r="F66" s="38"/>
      <c r="G66" s="41">
        <f>IF('CREST Inputs'!$G$77="as generated",'Cash Flow'!G$180,-G$187)</f>
        <v>0</v>
      </c>
      <c r="H66" s="41">
        <f>IF('CREST Inputs'!$G$77="as generated",'Cash Flow'!H$180,-H$187)</f>
        <v>0</v>
      </c>
      <c r="I66" s="41">
        <f>IF('CREST Inputs'!$G$77="as generated",'Cash Flow'!I$180,-I$187)</f>
        <v>0</v>
      </c>
      <c r="J66" s="41">
        <f>IF('CREST Inputs'!$G$77="as generated",'Cash Flow'!J$180,-J$187)</f>
        <v>0</v>
      </c>
      <c r="K66" s="41">
        <f>IF('CREST Inputs'!$G$77="as generated",'Cash Flow'!K$180,-K$187)</f>
        <v>0</v>
      </c>
      <c r="L66" s="41">
        <f>IF('CREST Inputs'!$G$77="as generated",'Cash Flow'!L$180,-L$187)</f>
        <v>0</v>
      </c>
      <c r="M66" s="41">
        <f>IF('CREST Inputs'!$G$77="as generated",'Cash Flow'!M$180,-M$187)</f>
        <v>0</v>
      </c>
      <c r="N66" s="41">
        <f>IF('CREST Inputs'!$G$77="as generated",'Cash Flow'!N$180,-N$187)</f>
        <v>0</v>
      </c>
      <c r="O66" s="41">
        <f>IF('CREST Inputs'!$G$77="as generated",'Cash Flow'!O$180,-O$187)</f>
        <v>0</v>
      </c>
      <c r="P66" s="41">
        <f>IF('CREST Inputs'!$G$77="as generated",'Cash Flow'!P$180,-P$187)</f>
        <v>0</v>
      </c>
      <c r="Q66" s="41">
        <f>IF('CREST Inputs'!$G$77="as generated",'Cash Flow'!Q$180,-Q$187)</f>
        <v>0</v>
      </c>
      <c r="R66" s="41">
        <f>IF('CREST Inputs'!$G$77="as generated",'Cash Flow'!R$180,-R$187)</f>
        <v>0</v>
      </c>
      <c r="S66" s="41">
        <f>IF('CREST Inputs'!$G$77="as generated",'Cash Flow'!S$180,-S$187)</f>
        <v>0</v>
      </c>
      <c r="T66" s="41">
        <f>IF('CREST Inputs'!$G$77="as generated",'Cash Flow'!T$180,-T$187)</f>
        <v>0</v>
      </c>
      <c r="U66" s="41">
        <f>IF('CREST Inputs'!$G$77="as generated",'Cash Flow'!U$180,-U$187)</f>
        <v>0</v>
      </c>
      <c r="V66" s="41">
        <f>IF('CREST Inputs'!$G$77="as generated",'Cash Flow'!V$180,-V$187)</f>
        <v>0</v>
      </c>
      <c r="W66" s="41">
        <f>IF('CREST Inputs'!$G$77="as generated",'Cash Flow'!W$180,-W$187)</f>
        <v>0</v>
      </c>
      <c r="X66" s="41">
        <f>IF('CREST Inputs'!$G$77="as generated",'Cash Flow'!X$180,-X$187)</f>
        <v>0</v>
      </c>
      <c r="Y66" s="41">
        <f>IF('CREST Inputs'!$G$77="as generated",'Cash Flow'!Y$180,-Y$187)</f>
        <v>0</v>
      </c>
      <c r="Z66" s="41">
        <f>IF('CREST Inputs'!$G$77="as generated",'Cash Flow'!Z$180,-Z$187)</f>
        <v>0</v>
      </c>
      <c r="AA66" s="41">
        <f>IF('CREST Inputs'!$G$77="as generated",'Cash Flow'!AA$180,-AA$187)</f>
        <v>0</v>
      </c>
      <c r="AB66" s="41">
        <f>IF('CREST Inputs'!$G$77="as generated",'Cash Flow'!AB$180,-AB$187)</f>
        <v>0</v>
      </c>
      <c r="AC66" s="41">
        <f>IF('CREST Inputs'!$G$77="as generated",'Cash Flow'!AC$180,-AC$187)</f>
        <v>0</v>
      </c>
      <c r="AD66" s="41">
        <f>IF('CREST Inputs'!$G$77="as generated",'Cash Flow'!AD$180,-AD$187)</f>
        <v>0</v>
      </c>
      <c r="AE66" s="41">
        <f>IF('CREST Inputs'!$G$77="as generated",'Cash Flow'!AE$180,-AE$187)</f>
        <v>0</v>
      </c>
      <c r="AF66" s="41">
        <f>IF('CREST Inputs'!$G$77="as generated",'Cash Flow'!AF$180,-AF$187)</f>
        <v>0</v>
      </c>
      <c r="AG66" s="41">
        <f>IF('CREST Inputs'!$G$77="as generated",'Cash Flow'!AG$180,-AG$187)</f>
        <v>0</v>
      </c>
      <c r="AH66" s="41">
        <f>IF('CREST Inputs'!$G$77="as generated",'Cash Flow'!AH$180,-AH$187)</f>
        <v>0</v>
      </c>
      <c r="AI66" s="41">
        <f>IF('CREST Inputs'!$G$77="as generated",'Cash Flow'!AI$180,-AI$187)</f>
        <v>0</v>
      </c>
      <c r="AJ66" s="41">
        <f>IF('CREST Inputs'!$G$77="as generated",'Cash Flow'!AJ$180,-AJ$187)</f>
        <v>0</v>
      </c>
    </row>
    <row r="67" spans="2:36" s="27" customFormat="1" ht="15.75">
      <c r="B67" s="32" t="s">
        <v>127</v>
      </c>
      <c r="C67" s="32"/>
      <c r="D67" s="32"/>
      <c r="E67" s="51"/>
      <c r="F67" s="43">
        <f aca="true" t="shared" si="20" ref="F67:AJ67">F54+SUM(F63:F66)</f>
        <v>-2339485.786339199</v>
      </c>
      <c r="G67" s="43">
        <f>G54+SUM(G63:G66)</f>
        <v>344800.4828027647</v>
      </c>
      <c r="H67" s="43">
        <f t="shared" si="20"/>
        <v>341557.95971432445</v>
      </c>
      <c r="I67" s="43">
        <f t="shared" si="20"/>
        <v>338311.01115670835</v>
      </c>
      <c r="J67" s="43">
        <f t="shared" si="20"/>
        <v>335059.1694585323</v>
      </c>
      <c r="K67" s="43">
        <f t="shared" si="20"/>
        <v>331801.9594907956</v>
      </c>
      <c r="L67" s="43">
        <f t="shared" si="20"/>
        <v>328538.8985082476</v>
      </c>
      <c r="M67" s="43">
        <f t="shared" si="20"/>
        <v>325269.4959876323</v>
      </c>
      <c r="N67" s="43">
        <f t="shared" si="20"/>
        <v>321993.2534627436</v>
      </c>
      <c r="O67" s="43">
        <f t="shared" si="20"/>
        <v>318709.6643562284</v>
      </c>
      <c r="P67" s="43">
        <f t="shared" si="20"/>
        <v>350084.88047473907</v>
      </c>
      <c r="Q67" s="43">
        <f t="shared" si="20"/>
        <v>342548.00813033304</v>
      </c>
      <c r="R67" s="43">
        <f t="shared" si="20"/>
        <v>338468.88573990087</v>
      </c>
      <c r="S67" s="43">
        <f t="shared" si="20"/>
        <v>334380.3058655176</v>
      </c>
      <c r="T67" s="43">
        <f t="shared" si="20"/>
        <v>330281.71873268485</v>
      </c>
      <c r="U67" s="43">
        <f t="shared" si="20"/>
        <v>326172.56537453865</v>
      </c>
      <c r="V67" s="43">
        <f t="shared" si="20"/>
        <v>120348.74214062798</v>
      </c>
      <c r="W67" s="43">
        <f t="shared" si="20"/>
        <v>31005.501653822008</v>
      </c>
      <c r="X67" s="43">
        <f t="shared" si="20"/>
        <v>31115.21510800974</v>
      </c>
      <c r="Y67" s="43">
        <f t="shared" si="20"/>
        <v>31219.70492798509</v>
      </c>
      <c r="Z67" s="43">
        <f t="shared" si="20"/>
        <v>31318.756114304677</v>
      </c>
      <c r="AA67" s="43">
        <f t="shared" si="20"/>
        <v>31412.147720687528</v>
      </c>
      <c r="AB67" s="43">
        <f t="shared" si="20"/>
        <v>31499.65271054035</v>
      </c>
      <c r="AC67" s="43">
        <f t="shared" si="20"/>
        <v>31581.037810247595</v>
      </c>
      <c r="AD67" s="43">
        <f t="shared" si="20"/>
        <v>31656.063359156105</v>
      </c>
      <c r="AE67" s="43">
        <f t="shared" si="20"/>
        <v>62787.515367861415</v>
      </c>
      <c r="AF67" s="43">
        <f t="shared" si="20"/>
        <v>7.275957614183426E-13</v>
      </c>
      <c r="AG67" s="43">
        <f t="shared" si="20"/>
        <v>0</v>
      </c>
      <c r="AH67" s="43">
        <f t="shared" si="20"/>
        <v>0</v>
      </c>
      <c r="AI67" s="43">
        <f t="shared" si="20"/>
        <v>0</v>
      </c>
      <c r="AJ67" s="43">
        <f t="shared" si="20"/>
        <v>0</v>
      </c>
    </row>
    <row r="68" spans="2:36" s="27" customFormat="1" ht="15.75">
      <c r="B68" s="53" t="s">
        <v>126</v>
      </c>
      <c r="C68" s="53"/>
      <c r="D68" s="53"/>
      <c r="E68" s="51"/>
      <c r="F68" s="43"/>
      <c r="G68" s="189">
        <f>IF(ISERROR(IRR($F67:G67)),"NA",IRR($F67:G67))</f>
        <v>-0.8526169789890861</v>
      </c>
      <c r="H68" s="189">
        <f>IF(ISERROR(IRR($F67:H67)),"NA",IRR($F67:H67))</f>
        <v>-0.5371716735394858</v>
      </c>
      <c r="I68" s="189">
        <f>IF(ISERROR(IRR($F67:I67)),"NA",IRR($F67:I67))</f>
        <v>-0.32231088087555004</v>
      </c>
      <c r="J68" s="189">
        <f>IF(ISERROR(IRR($F67:J67)),"NA",IRR($F67:J67))</f>
        <v>-0.18726809177154224</v>
      </c>
      <c r="K68" s="189">
        <f>IF(ISERROR(IRR($F67:K67)),"NA",IRR($F67:K67))</f>
        <v>-0.09976247912385194</v>
      </c>
      <c r="L68" s="189">
        <f>IF(ISERROR(IRR($F67:L67)),"NA",IRR($F67:L67))</f>
        <v>-0.04070611652796163</v>
      </c>
      <c r="M68" s="189">
        <f>IF(ISERROR(IRR($F67:M67)),"NA",IRR($F67:M67))</f>
        <v>0.0006312257961949008</v>
      </c>
      <c r="N68" s="189">
        <f>IF(ISERROR(IRR($F67:N67)),"NA",IRR($F67:N67))</f>
        <v>0.030465395041656906</v>
      </c>
      <c r="O68" s="189">
        <f>IF(ISERROR(IRR($F67:O67)),"NA",IRR($F67:O67))</f>
        <v>0.052551030922507014</v>
      </c>
      <c r="P68" s="189">
        <f>IF(ISERROR(IRR($F67:P67)),"NA",IRR($F67:P67))</f>
        <v>0.07089812208402946</v>
      </c>
      <c r="Q68" s="189">
        <f>IF(ISERROR(IRR($F67:Q67)),"NA",IRR($F67:Q67))</f>
        <v>0.08463496504454526</v>
      </c>
      <c r="R68" s="189">
        <f>IF(ISERROR(IRR($F67:R67)),"NA",IRR($F67:R67))</f>
        <v>0.09523288065164293</v>
      </c>
      <c r="S68" s="189">
        <f>IF(ISERROR(IRR($F67:S67)),"NA",IRR($F67:S67))</f>
        <v>0.10353388145888198</v>
      </c>
      <c r="T68" s="189">
        <f>IF(ISERROR(IRR($F67:T67)),"NA",IRR($F67:T67))</f>
        <v>0.11011755480910335</v>
      </c>
      <c r="U68" s="189">
        <f>IF(ISERROR(IRR($F67:U67)),"NA",IRR($F67:U67))</f>
        <v>0.11539428189648637</v>
      </c>
      <c r="V68" s="189">
        <f>IF(ISERROR(IRR($F67:V67)),"NA",IRR($F67:V67))</f>
        <v>0.11703126845692546</v>
      </c>
      <c r="W68" s="189">
        <f>IF(ISERROR(IRR($F67:W67)),"NA",IRR($F67:W67))</f>
        <v>0.11740127535100808</v>
      </c>
      <c r="X68" s="189">
        <f>IF(ISERROR(IRR($F67:X67)),"NA",IRR($F67:X67))</f>
        <v>0.11773098714681707</v>
      </c>
      <c r="Y68" s="189">
        <f>IF(ISERROR(IRR($F67:Y67)),"NA",IRR($F67:Y67))</f>
        <v>0.11802474356871318</v>
      </c>
      <c r="Z68" s="189">
        <f>IF(ISERROR(IRR($F67:Z67)),"NA",IRR($F67:Z67))</f>
        <v>0.11828643653697846</v>
      </c>
      <c r="AA68" s="189">
        <f>IF(ISERROR(IRR($F67:AA67)),"NA",IRR($F67:AA67))</f>
        <v>0.11851954934177278</v>
      </c>
      <c r="AB68" s="189">
        <f>IF(ISERROR(IRR($F67:AB67)),"NA",IRR($F67:AB67))</f>
        <v>0.11872719469699433</v>
      </c>
      <c r="AC68" s="189">
        <f>IF(ISERROR(IRR($F67:AC67)),"NA",IRR($F67:AC67))</f>
        <v>0.11891215087175544</v>
      </c>
      <c r="AD68" s="189">
        <f>IF(ISERROR(IRR($F67:AD67)),"NA",IRR($F67:AD67))</f>
        <v>0.11907689543432864</v>
      </c>
      <c r="AE68" s="189">
        <f>IF(ISERROR(IRR($F67:AE67)),"NA",IRR($F67:AE67))</f>
        <v>0.11936658181385384</v>
      </c>
      <c r="AF68" s="189">
        <f>IF(ISERROR(IRR($F67:AF67)),"NA",IRR($F67:AF67))</f>
        <v>0.11936658181385384</v>
      </c>
      <c r="AG68" s="189">
        <f>IF(ISERROR(IRR($F67:AG67)),"NA",IRR($F67:AG67))</f>
        <v>0.11936658181385384</v>
      </c>
      <c r="AH68" s="189">
        <f>IF(ISERROR(IRR($F67:AH67)),"NA",IRR($F67:AH67))</f>
        <v>0.11936658181385384</v>
      </c>
      <c r="AI68" s="189">
        <f>IF(ISERROR(IRR($F67:AI67)),"NA",IRR($F67:AI67))</f>
        <v>0.11936658181385384</v>
      </c>
      <c r="AJ68" s="189">
        <f>IF(ISERROR(IRR($F67:AJ67)),"NA",IRR($F67:AJ67))</f>
        <v>0.11936658181385384</v>
      </c>
    </row>
    <row r="69" spans="2:36" s="27" customFormat="1" ht="16.5" thickBot="1">
      <c r="B69" s="32"/>
      <c r="C69" s="32"/>
      <c r="D69" s="32"/>
      <c r="E69" s="55"/>
      <c r="F69" s="198"/>
      <c r="G69" s="198"/>
      <c r="H69" s="198"/>
      <c r="I69" s="198"/>
      <c r="J69" s="198"/>
      <c r="K69" s="198"/>
      <c r="L69" s="198"/>
      <c r="M69" s="198"/>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2:36" s="27" customFormat="1" ht="16.5" thickBot="1">
      <c r="B70" s="685" t="s">
        <v>285</v>
      </c>
      <c r="C70" s="686"/>
      <c r="D70" s="305">
        <f>IRR(F54:AJ54)</f>
        <v>0.11936658181385384</v>
      </c>
      <c r="F70" s="43"/>
      <c r="G70" s="263" t="s">
        <v>152</v>
      </c>
      <c r="H70" s="269"/>
      <c r="I70" s="269"/>
      <c r="J70" s="270"/>
      <c r="K70" s="269"/>
      <c r="L70" s="43"/>
      <c r="O70" s="43"/>
      <c r="P70" s="43"/>
      <c r="Q70" s="43"/>
      <c r="R70" s="43"/>
      <c r="S70" s="43"/>
      <c r="T70" s="43"/>
      <c r="U70" s="43"/>
      <c r="V70" s="43"/>
      <c r="W70" s="43"/>
      <c r="X70" s="43"/>
      <c r="Y70" s="43"/>
      <c r="Z70" s="43"/>
      <c r="AA70" s="43"/>
      <c r="AB70" s="43"/>
      <c r="AC70" s="43"/>
      <c r="AD70" s="43"/>
      <c r="AE70" s="43"/>
      <c r="AF70" s="43"/>
      <c r="AG70" s="43"/>
      <c r="AH70" s="43"/>
      <c r="AI70" s="43"/>
      <c r="AJ70" s="43"/>
    </row>
    <row r="71" spans="2:36" s="27" customFormat="1" ht="32.25" thickBot="1">
      <c r="B71" s="306" t="s">
        <v>286</v>
      </c>
      <c r="C71" s="307"/>
      <c r="D71" s="305">
        <f>IRR(F67:AJ67)</f>
        <v>0.11936658181385384</v>
      </c>
      <c r="F71" s="43"/>
      <c r="G71" s="265" t="s">
        <v>220</v>
      </c>
      <c r="H71" s="271"/>
      <c r="I71" s="267"/>
      <c r="J71" s="268"/>
      <c r="K71" s="268"/>
      <c r="L71" s="43"/>
      <c r="O71" s="43"/>
      <c r="P71" s="43"/>
      <c r="Q71" s="43"/>
      <c r="R71" s="43"/>
      <c r="S71" s="43"/>
      <c r="T71" s="43"/>
      <c r="U71" s="43"/>
      <c r="V71" s="43"/>
      <c r="W71" s="43"/>
      <c r="X71" s="43"/>
      <c r="Y71" s="43"/>
      <c r="Z71" s="43"/>
      <c r="AA71" s="43"/>
      <c r="AB71" s="43"/>
      <c r="AC71" s="43"/>
      <c r="AD71" s="43"/>
      <c r="AE71" s="43"/>
      <c r="AF71" s="43"/>
      <c r="AG71" s="43"/>
      <c r="AH71" s="43"/>
      <c r="AI71" s="43"/>
      <c r="AJ71" s="43"/>
    </row>
    <row r="72" spans="2:11" s="27" customFormat="1" ht="16.5" thickBot="1">
      <c r="B72" s="687">
        <f>'CREST Inputs'!$G$62</f>
        <v>0.12</v>
      </c>
      <c r="C72" s="688"/>
      <c r="D72" s="308">
        <f>NPV('CREST Inputs'!$G$62,'Cash Flow'!F67:AJ67)</f>
        <v>-7329.334969965931</v>
      </c>
      <c r="G72" s="264">
        <f>AVERAGE(R204:S204)</f>
        <v>18.550000000000008</v>
      </c>
      <c r="H72" s="271"/>
      <c r="I72" s="267"/>
      <c r="J72" s="272"/>
      <c r="K72" s="267"/>
    </row>
    <row r="73" spans="2:36" s="27" customFormat="1" ht="16.5" thickBot="1">
      <c r="B73" s="56"/>
      <c r="C73" s="56"/>
      <c r="D73" s="56"/>
      <c r="E73" s="57"/>
      <c r="F73" s="160"/>
      <c r="G73" s="15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2:36" s="27" customFormat="1" ht="15.75">
      <c r="B74" s="58"/>
      <c r="C74" s="58"/>
      <c r="D74" s="58"/>
      <c r="E74" s="59"/>
      <c r="F74" s="59"/>
      <c r="G74" s="60"/>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s="27" customFormat="1" ht="15">
      <c r="B75" s="61" t="s">
        <v>65</v>
      </c>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row>
    <row r="76" spans="2:36" s="27" customFormat="1" ht="15.75" thickBot="1">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2:36" s="27" customFormat="1" ht="15.75">
      <c r="B77" s="95"/>
      <c r="C77" s="95"/>
      <c r="D77" s="95"/>
      <c r="E77" s="95"/>
      <c r="F77" s="110"/>
      <c r="G77" s="120"/>
      <c r="H77" s="121"/>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2:36" s="27" customFormat="1" ht="15.75">
      <c r="B78" s="94" t="s">
        <v>73</v>
      </c>
      <c r="C78" s="94"/>
      <c r="D78" s="94"/>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2:36" s="27" customFormat="1" ht="15.75">
      <c r="B79" s="122" t="s">
        <v>75</v>
      </c>
      <c r="C79" s="122"/>
      <c r="D79" s="122"/>
      <c r="E79" s="123"/>
      <c r="F79" s="124"/>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row>
    <row r="80" spans="2:36" s="27" customFormat="1" ht="15">
      <c r="B80" s="123" t="s">
        <v>76</v>
      </c>
      <c r="C80" s="123"/>
      <c r="D80" s="123"/>
      <c r="E80" s="123"/>
      <c r="F80" s="124">
        <f>IF('CREST Inputs'!$G$18="Simple",'CREST Inputs'!$G$26-'CREST Inputs'!$G$69,IF('CREST Inputs'!$G$18="Intermediate",SUM('CREST Inputs'!G20:G23)-'CREST Inputs'!G69,0))</f>
        <v>3823269.803591994</v>
      </c>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row>
    <row r="81" spans="2:36" s="27" customFormat="1" ht="15">
      <c r="B81" s="123" t="s">
        <v>77</v>
      </c>
      <c r="C81" s="123"/>
      <c r="D81" s="123"/>
      <c r="E81" s="123"/>
      <c r="F81" s="126">
        <f>'CREST Inputs'!$G$51</f>
        <v>0.45</v>
      </c>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row>
    <row r="82" spans="2:36" s="27" customFormat="1" ht="15">
      <c r="B82" s="123" t="s">
        <v>74</v>
      </c>
      <c r="C82" s="123"/>
      <c r="D82" s="123"/>
      <c r="E82" s="123"/>
      <c r="F82" s="127">
        <f>F80*F81</f>
        <v>1720471.4116163973</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row>
    <row r="83" spans="2:36" s="27" customFormat="1" ht="15">
      <c r="B83" s="128"/>
      <c r="C83" s="128"/>
      <c r="D83" s="128"/>
      <c r="E83" s="128"/>
      <c r="F83" s="129"/>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row>
    <row r="84" spans="2:36" s="27" customFormat="1" ht="15.75">
      <c r="B84" s="122" t="s">
        <v>107</v>
      </c>
      <c r="C84" s="122"/>
      <c r="D84" s="122"/>
      <c r="E84" s="122"/>
      <c r="F84" s="129"/>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row>
    <row r="85" spans="2:36" s="27" customFormat="1" ht="15.75">
      <c r="B85" s="130" t="s">
        <v>83</v>
      </c>
      <c r="C85" s="130"/>
      <c r="D85" s="130"/>
      <c r="E85" s="130"/>
      <c r="F85" s="131">
        <v>0</v>
      </c>
      <c r="G85" s="132">
        <f>SUM(G86:G87)</f>
        <v>-177144.49184612278</v>
      </c>
      <c r="H85" s="132">
        <f aca="true" t="shared" si="21" ref="H85:AJ85">SUM(H86:H87)</f>
        <v>-177144.49184612275</v>
      </c>
      <c r="I85" s="132">
        <f t="shared" si="21"/>
        <v>-177144.49184612278</v>
      </c>
      <c r="J85" s="132">
        <f t="shared" si="21"/>
        <v>-177144.49184612278</v>
      </c>
      <c r="K85" s="132">
        <f t="shared" si="21"/>
        <v>-177144.49184612278</v>
      </c>
      <c r="L85" s="132">
        <f t="shared" si="21"/>
        <v>-177144.49184612275</v>
      </c>
      <c r="M85" s="132">
        <f t="shared" si="21"/>
        <v>-177144.49184612278</v>
      </c>
      <c r="N85" s="132">
        <f t="shared" si="21"/>
        <v>-177144.49184612278</v>
      </c>
      <c r="O85" s="132">
        <f t="shared" si="21"/>
        <v>-177144.49184612278</v>
      </c>
      <c r="P85" s="132">
        <f t="shared" si="21"/>
        <v>-177144.49184612275</v>
      </c>
      <c r="Q85" s="132">
        <f t="shared" si="21"/>
        <v>-177144.49184612278</v>
      </c>
      <c r="R85" s="132">
        <f t="shared" si="21"/>
        <v>-177144.49184612278</v>
      </c>
      <c r="S85" s="132">
        <f t="shared" si="21"/>
        <v>-177144.49184612275</v>
      </c>
      <c r="T85" s="132">
        <f t="shared" si="21"/>
        <v>-177144.49184612278</v>
      </c>
      <c r="U85" s="132">
        <f t="shared" si="21"/>
        <v>-177144.49184612278</v>
      </c>
      <c r="V85" s="132">
        <f t="shared" si="21"/>
        <v>0</v>
      </c>
      <c r="W85" s="132">
        <f t="shared" si="21"/>
        <v>0</v>
      </c>
      <c r="X85" s="132">
        <f t="shared" si="21"/>
        <v>0</v>
      </c>
      <c r="Y85" s="132">
        <f t="shared" si="21"/>
        <v>0</v>
      </c>
      <c r="Z85" s="132">
        <f t="shared" si="21"/>
        <v>0</v>
      </c>
      <c r="AA85" s="132">
        <f t="shared" si="21"/>
        <v>0</v>
      </c>
      <c r="AB85" s="132">
        <f t="shared" si="21"/>
        <v>0</v>
      </c>
      <c r="AC85" s="132">
        <f t="shared" si="21"/>
        <v>0</v>
      </c>
      <c r="AD85" s="132">
        <f t="shared" si="21"/>
        <v>0</v>
      </c>
      <c r="AE85" s="132">
        <f t="shared" si="21"/>
        <v>0</v>
      </c>
      <c r="AF85" s="132">
        <f t="shared" si="21"/>
        <v>0</v>
      </c>
      <c r="AG85" s="132">
        <f t="shared" si="21"/>
        <v>0</v>
      </c>
      <c r="AH85" s="132">
        <f t="shared" si="21"/>
        <v>0</v>
      </c>
      <c r="AI85" s="132">
        <f t="shared" si="21"/>
        <v>0</v>
      </c>
      <c r="AJ85" s="132">
        <f t="shared" si="21"/>
        <v>0</v>
      </c>
    </row>
    <row r="86" spans="2:36" s="36" customFormat="1" ht="15.75">
      <c r="B86" s="133" t="s">
        <v>81</v>
      </c>
      <c r="C86" s="133"/>
      <c r="D86" s="133"/>
      <c r="E86" s="133"/>
      <c r="F86" s="131">
        <v>0</v>
      </c>
      <c r="G86" s="132">
        <f>IF(G$2&gt;'CREST Inputs'!$G$52,0,IPMT('CREST Inputs'!$G$53,G$2,'CREST Inputs'!$G$52,$F$82))</f>
        <v>-103228.28469698383</v>
      </c>
      <c r="H86" s="132">
        <f>IF(H$2&gt;'CREST Inputs'!$G$52,0,IPMT('CREST Inputs'!$G$53,H$2,'CREST Inputs'!$G$52,$F$82))</f>
        <v>-98793.31226803547</v>
      </c>
      <c r="I86" s="132">
        <f>IF(I$2&gt;'CREST Inputs'!$G$52,0,IPMT('CREST Inputs'!$G$53,I$2,'CREST Inputs'!$G$52,$F$82))</f>
        <v>-94092.24149335026</v>
      </c>
      <c r="J86" s="132">
        <f>IF(J$2&gt;'CREST Inputs'!$G$52,0,IPMT('CREST Inputs'!$G$53,J$2,'CREST Inputs'!$G$52,$F$82))</f>
        <v>-89109.1064721839</v>
      </c>
      <c r="K86" s="132">
        <f>IF(K$2&gt;'CREST Inputs'!$G$52,0,IPMT('CREST Inputs'!$G$53,K$2,'CREST Inputs'!$G$52,$F$82))</f>
        <v>-83826.98334974758</v>
      </c>
      <c r="L86" s="132">
        <f>IF(L$2&gt;'CREST Inputs'!$G$52,0,IPMT('CREST Inputs'!$G$53,L$2,'CREST Inputs'!$G$52,$F$82))</f>
        <v>-78227.93283996505</v>
      </c>
      <c r="M86" s="132">
        <f>IF(M$2&gt;'CREST Inputs'!$G$52,0,IPMT('CREST Inputs'!$G$53,M$2,'CREST Inputs'!$G$52,$F$82))</f>
        <v>-72292.9392995956</v>
      </c>
      <c r="N86" s="132">
        <f>IF(N$2&gt;'CREST Inputs'!$G$52,0,IPMT('CREST Inputs'!$G$53,N$2,'CREST Inputs'!$G$52,$F$82))</f>
        <v>-66001.84614680397</v>
      </c>
      <c r="O86" s="132">
        <f>IF(O$2&gt;'CREST Inputs'!$G$52,0,IPMT('CREST Inputs'!$G$53,O$2,'CREST Inputs'!$G$52,$F$82))</f>
        <v>-59333.28740484485</v>
      </c>
      <c r="P86" s="132">
        <f>IF(P$2&gt;'CREST Inputs'!$G$52,0,IPMT('CREST Inputs'!$G$53,P$2,'CREST Inputs'!$G$52,$F$82))</f>
        <v>-52264.615138368164</v>
      </c>
      <c r="Q86" s="132">
        <f>IF(Q$2&gt;'CREST Inputs'!$G$52,0,IPMT('CREST Inputs'!$G$53,Q$2,'CREST Inputs'!$G$52,$F$82))</f>
        <v>-44771.82253590291</v>
      </c>
      <c r="R86" s="132">
        <f>IF(R$2&gt;'CREST Inputs'!$G$52,0,IPMT('CREST Inputs'!$G$53,R$2,'CREST Inputs'!$G$52,$F$82))</f>
        <v>-36829.46237728971</v>
      </c>
      <c r="S86" s="132">
        <f>IF(S$2&gt;'CREST Inputs'!$G$52,0,IPMT('CREST Inputs'!$G$53,S$2,'CREST Inputs'!$G$52,$F$82))</f>
        <v>-28410.560609159722</v>
      </c>
      <c r="T86" s="132">
        <f>IF(T$2&gt;'CREST Inputs'!$G$52,0,IPMT('CREST Inputs'!$G$53,T$2,'CREST Inputs'!$G$52,$F$82))</f>
        <v>-19486.524734941948</v>
      </c>
      <c r="U86" s="132">
        <f>IF(U$2&gt;'CREST Inputs'!$G$52,0,IPMT('CREST Inputs'!$G$53,U$2,'CREST Inputs'!$G$52,$F$82))</f>
        <v>-10027.046708271098</v>
      </c>
      <c r="V86" s="132">
        <f>IF(V$2&gt;'CREST Inputs'!$G$52,0,IPMT('CREST Inputs'!$G$53,V$2,'CREST Inputs'!$G$52,$F$82))</f>
        <v>0</v>
      </c>
      <c r="W86" s="132">
        <f>IF(W$2&gt;'CREST Inputs'!$G$52,0,IPMT('CREST Inputs'!$G$53,W$2,'CREST Inputs'!$G$52,$F$82))</f>
        <v>0</v>
      </c>
      <c r="X86" s="132">
        <f>IF(X$2&gt;'CREST Inputs'!$G$52,0,IPMT('CREST Inputs'!$G$53,X$2,'CREST Inputs'!$G$52,$F$82))</f>
        <v>0</v>
      </c>
      <c r="Y86" s="132">
        <f>IF(Y$2&gt;'CREST Inputs'!$G$52,0,IPMT('CREST Inputs'!$G$53,Y$2,'CREST Inputs'!$G$52,$F$82))</f>
        <v>0</v>
      </c>
      <c r="Z86" s="132">
        <f>IF(Z$2&gt;'CREST Inputs'!$G$52,0,IPMT('CREST Inputs'!$G$53,Z$2,'CREST Inputs'!$G$52,$F$82))</f>
        <v>0</v>
      </c>
      <c r="AA86" s="132">
        <f>IF(AA$2&gt;'CREST Inputs'!$G$52,0,IPMT('CREST Inputs'!$G$53,AA$2,'CREST Inputs'!$G$52,$F$82))</f>
        <v>0</v>
      </c>
      <c r="AB86" s="132">
        <f>IF(AB$2&gt;'CREST Inputs'!$G$52,0,IPMT('CREST Inputs'!$G$53,AB$2,'CREST Inputs'!$G$52,$F$82))</f>
        <v>0</v>
      </c>
      <c r="AC86" s="132">
        <f>IF(AC$2&gt;'CREST Inputs'!$G$52,0,IPMT('CREST Inputs'!$G$53,AC$2,'CREST Inputs'!$G$52,$F$82))</f>
        <v>0</v>
      </c>
      <c r="AD86" s="132">
        <f>IF(AD$2&gt;'CREST Inputs'!$G$52,0,IPMT('CREST Inputs'!$G$53,AD$2,'CREST Inputs'!$G$52,$F$82))</f>
        <v>0</v>
      </c>
      <c r="AE86" s="132">
        <f>IF(AE$2&gt;'CREST Inputs'!$G$52,0,IPMT('CREST Inputs'!$G$53,AE$2,'CREST Inputs'!$G$52,$F$82))</f>
        <v>0</v>
      </c>
      <c r="AF86" s="132">
        <f>IF(AF$2&gt;'CREST Inputs'!$G$52,0,IPMT('CREST Inputs'!$G$53,AF$2,'CREST Inputs'!$G$52,$F$82))</f>
        <v>0</v>
      </c>
      <c r="AG86" s="132">
        <f>IF(AG$2&gt;'CREST Inputs'!$G$52,0,IPMT('CREST Inputs'!$G$53,AG$2,'CREST Inputs'!$G$52,$F$82))</f>
        <v>0</v>
      </c>
      <c r="AH86" s="132">
        <f>IF(AH$2&gt;'CREST Inputs'!$G$52,0,IPMT('CREST Inputs'!$G$53,AH$2,'CREST Inputs'!$G$52,$F$82))</f>
        <v>0</v>
      </c>
      <c r="AI86" s="132">
        <f>IF(AI$2&gt;'CREST Inputs'!$G$52,0,IPMT('CREST Inputs'!$G$53,AI$2,'CREST Inputs'!$G$52,$F$82))</f>
        <v>0</v>
      </c>
      <c r="AJ86" s="132">
        <f>IF(AJ$2&gt;'CREST Inputs'!$G$52,0,IPMT('CREST Inputs'!$G$53,AJ$2,'CREST Inputs'!$G$52,$F$82))</f>
        <v>0</v>
      </c>
    </row>
    <row r="87" spans="2:36" s="27" customFormat="1" ht="15">
      <c r="B87" s="130" t="s">
        <v>82</v>
      </c>
      <c r="C87" s="130"/>
      <c r="D87" s="130"/>
      <c r="E87" s="130"/>
      <c r="F87" s="134">
        <f>MIN(MAX(0,F85-F86),F$90)</f>
        <v>0</v>
      </c>
      <c r="G87" s="132">
        <f>IF(G$2&gt;'CREST Inputs'!$G$52,0,PPMT('CREST Inputs'!$G$53,G$2,'CREST Inputs'!$G$52,$F$82))</f>
        <v>-73916.20714913894</v>
      </c>
      <c r="H87" s="132">
        <f>IF(H$2&gt;'CREST Inputs'!$G$52,0,PPMT('CREST Inputs'!$G$53,H$2,'CREST Inputs'!$G$52,$F$82))</f>
        <v>-78351.17957808728</v>
      </c>
      <c r="I87" s="132">
        <f>IF(I$2&gt;'CREST Inputs'!$G$52,0,PPMT('CREST Inputs'!$G$53,I$2,'CREST Inputs'!$G$52,$F$82))</f>
        <v>-83052.25035277252</v>
      </c>
      <c r="J87" s="132">
        <f>IF(J$2&gt;'CREST Inputs'!$G$52,0,PPMT('CREST Inputs'!$G$53,J$2,'CREST Inputs'!$G$52,$F$82))</f>
        <v>-88035.38537393886</v>
      </c>
      <c r="K87" s="132">
        <f>IF(K$2&gt;'CREST Inputs'!$G$52,0,PPMT('CREST Inputs'!$G$53,K$2,'CREST Inputs'!$G$52,$F$82))</f>
        <v>-93317.50849637519</v>
      </c>
      <c r="L87" s="132">
        <f>IF(L$2&gt;'CREST Inputs'!$G$52,0,PPMT('CREST Inputs'!$G$53,L$2,'CREST Inputs'!$G$52,$F$82))</f>
        <v>-98916.5590061577</v>
      </c>
      <c r="M87" s="132">
        <f>IF(M$2&gt;'CREST Inputs'!$G$52,0,PPMT('CREST Inputs'!$G$53,M$2,'CREST Inputs'!$G$52,$F$82))</f>
        <v>-104851.55254652716</v>
      </c>
      <c r="N87" s="132">
        <f>IF(N$2&gt;'CREST Inputs'!$G$52,0,PPMT('CREST Inputs'!$G$53,N$2,'CREST Inputs'!$G$52,$F$82))</f>
        <v>-111142.64569931879</v>
      </c>
      <c r="O87" s="132">
        <f>IF(O$2&gt;'CREST Inputs'!$G$52,0,PPMT('CREST Inputs'!$G$53,O$2,'CREST Inputs'!$G$52,$F$82))</f>
        <v>-117811.20444127792</v>
      </c>
      <c r="P87" s="132">
        <f>IF(P$2&gt;'CREST Inputs'!$G$52,0,PPMT('CREST Inputs'!$G$53,P$2,'CREST Inputs'!$G$52,$F$82))</f>
        <v>-124879.87670775458</v>
      </c>
      <c r="Q87" s="132">
        <f>IF(Q$2&gt;'CREST Inputs'!$G$52,0,PPMT('CREST Inputs'!$G$53,Q$2,'CREST Inputs'!$G$52,$F$82))</f>
        <v>-132372.66931021988</v>
      </c>
      <c r="R87" s="132">
        <f>IF(R$2&gt;'CREST Inputs'!$G$52,0,PPMT('CREST Inputs'!$G$53,R$2,'CREST Inputs'!$G$52,$F$82))</f>
        <v>-140315.02946883306</v>
      </c>
      <c r="S87" s="132">
        <f>IF(S$2&gt;'CREST Inputs'!$G$52,0,PPMT('CREST Inputs'!$G$53,S$2,'CREST Inputs'!$G$52,$F$82))</f>
        <v>-148733.93123696302</v>
      </c>
      <c r="T87" s="132">
        <f>IF(T$2&gt;'CREST Inputs'!$G$52,0,PPMT('CREST Inputs'!$G$53,T$2,'CREST Inputs'!$G$52,$F$82))</f>
        <v>-157657.96711118083</v>
      </c>
      <c r="U87" s="132">
        <f>IF(U$2&gt;'CREST Inputs'!$G$52,0,PPMT('CREST Inputs'!$G$53,U$2,'CREST Inputs'!$G$52,$F$82))</f>
        <v>-167117.44513785167</v>
      </c>
      <c r="V87" s="132">
        <f>IF(V$2&gt;'CREST Inputs'!$G$52,0,PPMT('CREST Inputs'!$G$53,V$2,'CREST Inputs'!$G$52,$F$82))</f>
        <v>0</v>
      </c>
      <c r="W87" s="132">
        <f>IF(W$2&gt;'CREST Inputs'!$G$52,0,PPMT('CREST Inputs'!$G$53,W$2,'CREST Inputs'!$G$52,$F$82))</f>
        <v>0</v>
      </c>
      <c r="X87" s="132">
        <f>IF(X$2&gt;'CREST Inputs'!$G$52,0,PPMT('CREST Inputs'!$G$53,X$2,'CREST Inputs'!$G$52,$F$82))</f>
        <v>0</v>
      </c>
      <c r="Y87" s="132">
        <f>IF(Y$2&gt;'CREST Inputs'!$G$52,0,PPMT('CREST Inputs'!$G$53,Y$2,'CREST Inputs'!$G$52,$F$82))</f>
        <v>0</v>
      </c>
      <c r="Z87" s="132">
        <f>IF(Z$2&gt;'CREST Inputs'!$G$52,0,PPMT('CREST Inputs'!$G$53,Z$2,'CREST Inputs'!$G$52,$F$82))</f>
        <v>0</v>
      </c>
      <c r="AA87" s="132">
        <f>IF(AA$2&gt;'CREST Inputs'!$G$52,0,PPMT('CREST Inputs'!$G$53,AA$2,'CREST Inputs'!$G$52,$F$82))</f>
        <v>0</v>
      </c>
      <c r="AB87" s="132">
        <f>IF(AB$2&gt;'CREST Inputs'!$G$52,0,PPMT('CREST Inputs'!$G$53,AB$2,'CREST Inputs'!$G$52,$F$82))</f>
        <v>0</v>
      </c>
      <c r="AC87" s="132">
        <f>IF(AC$2&gt;'CREST Inputs'!$G$52,0,PPMT('CREST Inputs'!$G$53,AC$2,'CREST Inputs'!$G$52,$F$82))</f>
        <v>0</v>
      </c>
      <c r="AD87" s="132">
        <f>IF(AD$2&gt;'CREST Inputs'!$G$52,0,PPMT('CREST Inputs'!$G$53,AD$2,'CREST Inputs'!$G$52,$F$82))</f>
        <v>0</v>
      </c>
      <c r="AE87" s="132">
        <f>IF(AE$2&gt;'CREST Inputs'!$G$52,0,PPMT('CREST Inputs'!$G$53,AE$2,'CREST Inputs'!$G$52,$F$82))</f>
        <v>0</v>
      </c>
      <c r="AF87" s="132">
        <f>IF(AF$2&gt;'CREST Inputs'!$G$52,0,PPMT('CREST Inputs'!$G$53,AF$2,'CREST Inputs'!$G$52,$F$82))</f>
        <v>0</v>
      </c>
      <c r="AG87" s="132">
        <f>IF(AG$2&gt;'CREST Inputs'!$G$52,0,PPMT('CREST Inputs'!$G$53,AG$2,'CREST Inputs'!$G$52,$F$82))</f>
        <v>0</v>
      </c>
      <c r="AH87" s="132">
        <f>IF(AH$2&gt;'CREST Inputs'!$G$52,0,PPMT('CREST Inputs'!$G$53,AH$2,'CREST Inputs'!$G$52,$F$82))</f>
        <v>0</v>
      </c>
      <c r="AI87" s="132">
        <f>IF(AI$2&gt;'CREST Inputs'!$G$52,0,PPMT('CREST Inputs'!$G$53,AI$2,'CREST Inputs'!$G$52,$F$82))</f>
        <v>0</v>
      </c>
      <c r="AJ87" s="132">
        <f>IF(AJ$2&gt;'CREST Inputs'!$G$52,0,PPMT('CREST Inputs'!$G$53,AJ$2,'CREST Inputs'!$G$52,$F$82))</f>
        <v>0</v>
      </c>
    </row>
    <row r="88" spans="2:36" s="27" customFormat="1" ht="15.75">
      <c r="B88" s="122"/>
      <c r="C88" s="122"/>
      <c r="D88" s="122"/>
      <c r="E88" s="122"/>
      <c r="F88" s="129"/>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row>
    <row r="89" spans="2:36" s="27" customFormat="1" ht="15.75">
      <c r="B89" s="122" t="s">
        <v>106</v>
      </c>
      <c r="C89" s="122"/>
      <c r="D89" s="122"/>
      <c r="E89" s="123"/>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2:36" s="27" customFormat="1" ht="15.75">
      <c r="B90" s="130" t="s">
        <v>78</v>
      </c>
      <c r="C90" s="130"/>
      <c r="D90" s="130"/>
      <c r="E90" s="130"/>
      <c r="F90" s="136">
        <v>0</v>
      </c>
      <c r="G90" s="134">
        <f aca="true" t="shared" si="22" ref="G90:AJ90">F93</f>
        <v>1720471.4116163973</v>
      </c>
      <c r="H90" s="134">
        <f t="shared" si="22"/>
        <v>1646555.2044672584</v>
      </c>
      <c r="I90" s="134">
        <f t="shared" si="22"/>
        <v>1568204.0248891711</v>
      </c>
      <c r="J90" s="134">
        <f t="shared" si="22"/>
        <v>1485151.7745363987</v>
      </c>
      <c r="K90" s="134">
        <f t="shared" si="22"/>
        <v>1397116.3891624599</v>
      </c>
      <c r="L90" s="134">
        <f t="shared" si="22"/>
        <v>1303798.8806660846</v>
      </c>
      <c r="M90" s="134">
        <f t="shared" si="22"/>
        <v>1204882.3216599268</v>
      </c>
      <c r="N90" s="134">
        <f t="shared" si="22"/>
        <v>1100030.7691133996</v>
      </c>
      <c r="O90" s="134">
        <f t="shared" si="22"/>
        <v>988888.1234140808</v>
      </c>
      <c r="P90" s="134">
        <f t="shared" si="22"/>
        <v>871076.9189728029</v>
      </c>
      <c r="Q90" s="134">
        <f t="shared" si="22"/>
        <v>746197.0422650484</v>
      </c>
      <c r="R90" s="134">
        <f t="shared" si="22"/>
        <v>613824.3729548284</v>
      </c>
      <c r="S90" s="134">
        <f t="shared" si="22"/>
        <v>473509.34348599537</v>
      </c>
      <c r="T90" s="134">
        <f t="shared" si="22"/>
        <v>324775.41224903235</v>
      </c>
      <c r="U90" s="134">
        <f t="shared" si="22"/>
        <v>167117.44513785152</v>
      </c>
      <c r="V90" s="134">
        <f t="shared" si="22"/>
        <v>0</v>
      </c>
      <c r="W90" s="134">
        <f t="shared" si="22"/>
        <v>0</v>
      </c>
      <c r="X90" s="134">
        <f t="shared" si="22"/>
        <v>0</v>
      </c>
      <c r="Y90" s="134">
        <f t="shared" si="22"/>
        <v>0</v>
      </c>
      <c r="Z90" s="134">
        <f t="shared" si="22"/>
        <v>0</v>
      </c>
      <c r="AA90" s="134">
        <f t="shared" si="22"/>
        <v>0</v>
      </c>
      <c r="AB90" s="134">
        <f t="shared" si="22"/>
        <v>0</v>
      </c>
      <c r="AC90" s="134">
        <f t="shared" si="22"/>
        <v>0</v>
      </c>
      <c r="AD90" s="134">
        <f t="shared" si="22"/>
        <v>0</v>
      </c>
      <c r="AE90" s="134">
        <f t="shared" si="22"/>
        <v>0</v>
      </c>
      <c r="AF90" s="134">
        <f t="shared" si="22"/>
        <v>0</v>
      </c>
      <c r="AG90" s="134">
        <f t="shared" si="22"/>
        <v>0</v>
      </c>
      <c r="AH90" s="134">
        <f t="shared" si="22"/>
        <v>0</v>
      </c>
      <c r="AI90" s="134">
        <f t="shared" si="22"/>
        <v>0</v>
      </c>
      <c r="AJ90" s="134">
        <f t="shared" si="22"/>
        <v>0</v>
      </c>
    </row>
    <row r="91" spans="2:36" s="27" customFormat="1" ht="15.75">
      <c r="B91" s="130" t="s">
        <v>79</v>
      </c>
      <c r="C91" s="130"/>
      <c r="D91" s="130"/>
      <c r="E91" s="130"/>
      <c r="F91" s="134">
        <f>$F$82</f>
        <v>1720471.4116163973</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row>
    <row r="92" spans="2:36" s="27" customFormat="1" ht="15.75">
      <c r="B92" s="130" t="s">
        <v>105</v>
      </c>
      <c r="C92" s="130"/>
      <c r="D92" s="130"/>
      <c r="E92" s="130"/>
      <c r="F92" s="137">
        <v>0</v>
      </c>
      <c r="G92" s="138">
        <f aca="true" t="shared" si="23" ref="G92:AJ92">G87</f>
        <v>-73916.20714913894</v>
      </c>
      <c r="H92" s="138">
        <f t="shared" si="23"/>
        <v>-78351.17957808728</v>
      </c>
      <c r="I92" s="138">
        <f t="shared" si="23"/>
        <v>-83052.25035277252</v>
      </c>
      <c r="J92" s="138">
        <f t="shared" si="23"/>
        <v>-88035.38537393886</v>
      </c>
      <c r="K92" s="138">
        <f t="shared" si="23"/>
        <v>-93317.50849637519</v>
      </c>
      <c r="L92" s="138">
        <f t="shared" si="23"/>
        <v>-98916.5590061577</v>
      </c>
      <c r="M92" s="138">
        <f t="shared" si="23"/>
        <v>-104851.55254652716</v>
      </c>
      <c r="N92" s="138">
        <f t="shared" si="23"/>
        <v>-111142.64569931879</v>
      </c>
      <c r="O92" s="138">
        <f t="shared" si="23"/>
        <v>-117811.20444127792</v>
      </c>
      <c r="P92" s="138">
        <f t="shared" si="23"/>
        <v>-124879.87670775458</v>
      </c>
      <c r="Q92" s="138">
        <f t="shared" si="23"/>
        <v>-132372.66931021988</v>
      </c>
      <c r="R92" s="138">
        <f t="shared" si="23"/>
        <v>-140315.02946883306</v>
      </c>
      <c r="S92" s="138">
        <f t="shared" si="23"/>
        <v>-148733.93123696302</v>
      </c>
      <c r="T92" s="138">
        <f t="shared" si="23"/>
        <v>-157657.96711118083</v>
      </c>
      <c r="U92" s="138">
        <f t="shared" si="23"/>
        <v>-167117.44513785167</v>
      </c>
      <c r="V92" s="138">
        <f t="shared" si="23"/>
        <v>0</v>
      </c>
      <c r="W92" s="138">
        <f t="shared" si="23"/>
        <v>0</v>
      </c>
      <c r="X92" s="138">
        <f t="shared" si="23"/>
        <v>0</v>
      </c>
      <c r="Y92" s="138">
        <f t="shared" si="23"/>
        <v>0</v>
      </c>
      <c r="Z92" s="138">
        <f t="shared" si="23"/>
        <v>0</v>
      </c>
      <c r="AA92" s="138">
        <f t="shared" si="23"/>
        <v>0</v>
      </c>
      <c r="AB92" s="138">
        <f t="shared" si="23"/>
        <v>0</v>
      </c>
      <c r="AC92" s="138">
        <f t="shared" si="23"/>
        <v>0</v>
      </c>
      <c r="AD92" s="138">
        <f t="shared" si="23"/>
        <v>0</v>
      </c>
      <c r="AE92" s="138">
        <f t="shared" si="23"/>
        <v>0</v>
      </c>
      <c r="AF92" s="138">
        <f t="shared" si="23"/>
        <v>0</v>
      </c>
      <c r="AG92" s="138">
        <f t="shared" si="23"/>
        <v>0</v>
      </c>
      <c r="AH92" s="138">
        <f t="shared" si="23"/>
        <v>0</v>
      </c>
      <c r="AI92" s="138">
        <f t="shared" si="23"/>
        <v>0</v>
      </c>
      <c r="AJ92" s="138">
        <f t="shared" si="23"/>
        <v>0</v>
      </c>
    </row>
    <row r="93" spans="2:36" s="27" customFormat="1" ht="15">
      <c r="B93" s="130" t="s">
        <v>80</v>
      </c>
      <c r="C93" s="130"/>
      <c r="D93" s="130"/>
      <c r="E93" s="130"/>
      <c r="F93" s="134">
        <f aca="true" t="shared" si="24" ref="F93:AJ93">SUM(F90:F92)</f>
        <v>1720471.4116163973</v>
      </c>
      <c r="G93" s="134">
        <f t="shared" si="24"/>
        <v>1646555.2044672584</v>
      </c>
      <c r="H93" s="134">
        <f t="shared" si="24"/>
        <v>1568204.0248891711</v>
      </c>
      <c r="I93" s="134">
        <f t="shared" si="24"/>
        <v>1485151.7745363987</v>
      </c>
      <c r="J93" s="134">
        <f t="shared" si="24"/>
        <v>1397116.3891624599</v>
      </c>
      <c r="K93" s="134">
        <f t="shared" si="24"/>
        <v>1303798.8806660846</v>
      </c>
      <c r="L93" s="134">
        <f t="shared" si="24"/>
        <v>1204882.3216599268</v>
      </c>
      <c r="M93" s="134">
        <f t="shared" si="24"/>
        <v>1100030.7691133996</v>
      </c>
      <c r="N93" s="134">
        <f t="shared" si="24"/>
        <v>988888.1234140808</v>
      </c>
      <c r="O93" s="134">
        <f t="shared" si="24"/>
        <v>871076.9189728029</v>
      </c>
      <c r="P93" s="134">
        <f t="shared" si="24"/>
        <v>746197.0422650484</v>
      </c>
      <c r="Q93" s="134">
        <f t="shared" si="24"/>
        <v>613824.3729548284</v>
      </c>
      <c r="R93" s="134">
        <f t="shared" si="24"/>
        <v>473509.34348599537</v>
      </c>
      <c r="S93" s="134">
        <f t="shared" si="24"/>
        <v>324775.41224903235</v>
      </c>
      <c r="T93" s="134">
        <f t="shared" si="24"/>
        <v>167117.44513785152</v>
      </c>
      <c r="U93" s="134">
        <f t="shared" si="24"/>
        <v>0</v>
      </c>
      <c r="V93" s="134">
        <f t="shared" si="24"/>
        <v>0</v>
      </c>
      <c r="W93" s="134">
        <f t="shared" si="24"/>
        <v>0</v>
      </c>
      <c r="X93" s="134">
        <f t="shared" si="24"/>
        <v>0</v>
      </c>
      <c r="Y93" s="134">
        <f t="shared" si="24"/>
        <v>0</v>
      </c>
      <c r="Z93" s="134">
        <f t="shared" si="24"/>
        <v>0</v>
      </c>
      <c r="AA93" s="134">
        <f t="shared" si="24"/>
        <v>0</v>
      </c>
      <c r="AB93" s="134">
        <f t="shared" si="24"/>
        <v>0</v>
      </c>
      <c r="AC93" s="134">
        <f t="shared" si="24"/>
        <v>0</v>
      </c>
      <c r="AD93" s="134">
        <f t="shared" si="24"/>
        <v>0</v>
      </c>
      <c r="AE93" s="134">
        <f t="shared" si="24"/>
        <v>0</v>
      </c>
      <c r="AF93" s="134">
        <f t="shared" si="24"/>
        <v>0</v>
      </c>
      <c r="AG93" s="134">
        <f t="shared" si="24"/>
        <v>0</v>
      </c>
      <c r="AH93" s="134">
        <f t="shared" si="24"/>
        <v>0</v>
      </c>
      <c r="AI93" s="134">
        <f t="shared" si="24"/>
        <v>0</v>
      </c>
      <c r="AJ93" s="134">
        <f t="shared" si="24"/>
        <v>0</v>
      </c>
    </row>
    <row r="94" spans="2:36" s="27" customFormat="1" ht="15.75" thickBot="1">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row>
    <row r="95" spans="2:36" ht="15">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2:36" s="27" customFormat="1" ht="15.75">
      <c r="B96" s="94" t="s">
        <v>135</v>
      </c>
      <c r="C96" s="684" t="s">
        <v>271</v>
      </c>
      <c r="D96" s="684"/>
      <c r="E96" s="684"/>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2:36" s="27" customFormat="1" ht="15">
      <c r="B97" s="95" t="s">
        <v>111</v>
      </c>
      <c r="C97" s="96" t="s">
        <v>272</v>
      </c>
      <c r="D97" s="96" t="s">
        <v>278</v>
      </c>
      <c r="E97" s="96" t="s">
        <v>273</v>
      </c>
      <c r="F97" s="96">
        <v>0</v>
      </c>
      <c r="G97" s="96">
        <v>1</v>
      </c>
      <c r="H97" s="96">
        <v>2</v>
      </c>
      <c r="I97" s="96">
        <v>3</v>
      </c>
      <c r="J97" s="96">
        <v>4</v>
      </c>
      <c r="K97" s="96">
        <v>5</v>
      </c>
      <c r="L97" s="96">
        <v>6</v>
      </c>
      <c r="M97" s="96">
        <v>7</v>
      </c>
      <c r="N97" s="96">
        <v>8</v>
      </c>
      <c r="O97" s="96">
        <v>9</v>
      </c>
      <c r="P97" s="96">
        <v>10</v>
      </c>
      <c r="Q97" s="96">
        <v>11</v>
      </c>
      <c r="R97" s="96">
        <v>12</v>
      </c>
      <c r="S97" s="96">
        <v>13</v>
      </c>
      <c r="T97" s="96">
        <v>14</v>
      </c>
      <c r="U97" s="96">
        <v>15</v>
      </c>
      <c r="V97" s="96">
        <v>16</v>
      </c>
      <c r="W97" s="96">
        <v>17</v>
      </c>
      <c r="X97" s="96">
        <v>18</v>
      </c>
      <c r="Y97" s="96">
        <v>19</v>
      </c>
      <c r="Z97" s="96">
        <v>20</v>
      </c>
      <c r="AA97" s="96">
        <v>21</v>
      </c>
      <c r="AB97" s="96">
        <v>22</v>
      </c>
      <c r="AC97" s="96">
        <v>23</v>
      </c>
      <c r="AD97" s="96">
        <v>24</v>
      </c>
      <c r="AE97" s="96">
        <v>25</v>
      </c>
      <c r="AF97" s="96">
        <v>26</v>
      </c>
      <c r="AG97" s="96">
        <v>27</v>
      </c>
      <c r="AH97" s="96">
        <v>28</v>
      </c>
      <c r="AI97" s="96">
        <v>29</v>
      </c>
      <c r="AJ97" s="96">
        <v>30</v>
      </c>
    </row>
    <row r="98" spans="2:36" s="27" customFormat="1" ht="15.75">
      <c r="B98" s="97" t="s">
        <v>112</v>
      </c>
      <c r="C98" s="98" t="s">
        <v>274</v>
      </c>
      <c r="D98" s="98" t="s">
        <v>120</v>
      </c>
      <c r="E98" s="98" t="s">
        <v>274</v>
      </c>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2:36" s="27" customFormat="1" ht="15.75">
      <c r="B99" s="95" t="s">
        <v>66</v>
      </c>
      <c r="C99" s="99">
        <f>IF('CREST Inputs'!$G$18="Simple",'CREST Inputs'!$G$26*'CREST Inputs'!$P$73,IF('CREST Inputs'!$G$18="Intermediate",SUMPRODUCT('CREST Inputs'!$G$20:$G$24,'CREST Inputs'!$P$74:$P$78),0))</f>
        <v>3422625.140629159</v>
      </c>
      <c r="D99" s="298">
        <f aca="true" t="shared" si="25" ref="D99:D106">C99/$C$110</f>
        <v>0.7241162484382885</v>
      </c>
      <c r="E99" s="99">
        <f>($C$110-$C$112)*IF('CREST Inputs'!$P$70="No",1,(1-'CREST Inputs'!$P$71))*D99</f>
        <v>0</v>
      </c>
      <c r="F99" s="100"/>
      <c r="G99" s="101">
        <v>0.2</v>
      </c>
      <c r="H99" s="101">
        <v>0.32</v>
      </c>
      <c r="I99" s="101">
        <v>0.192</v>
      </c>
      <c r="J99" s="101">
        <v>0.1152</v>
      </c>
      <c r="K99" s="101">
        <v>0.1152</v>
      </c>
      <c r="L99" s="101">
        <v>0.0576</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v>0</v>
      </c>
    </row>
    <row r="100" spans="2:36" s="27" customFormat="1" ht="15.75">
      <c r="B100" s="95" t="s">
        <v>113</v>
      </c>
      <c r="C100" s="99">
        <f>IF('CREST Inputs'!$G$18="Simple",'CREST Inputs'!$G$26*'CREST Inputs'!$Q$73,IF('CREST Inputs'!$G$18="Intermediate",SUMPRODUCT('CREST Inputs'!$G$20:$G$24,'CREST Inputs'!$Q$74:$Q$78),0))</f>
        <v>0</v>
      </c>
      <c r="D100" s="298">
        <f t="shared" si="25"/>
        <v>0</v>
      </c>
      <c r="E100" s="99">
        <f>($C$110-$C$112)*IF('CREST Inputs'!$P$70="No",1,(1-'CREST Inputs'!$P$71))*D100</f>
        <v>0</v>
      </c>
      <c r="F100" s="95"/>
      <c r="G100" s="101">
        <v>0.1429</v>
      </c>
      <c r="H100" s="101">
        <v>0.2449</v>
      </c>
      <c r="I100" s="101">
        <v>0.1749</v>
      </c>
      <c r="J100" s="101">
        <v>0.1249</v>
      </c>
      <c r="K100" s="101">
        <v>0.0893</v>
      </c>
      <c r="L100" s="101">
        <v>0.0892</v>
      </c>
      <c r="M100" s="101">
        <v>0.0893</v>
      </c>
      <c r="N100" s="101">
        <v>0.0446</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row>
    <row r="101" spans="2:36" s="27" customFormat="1" ht="15.75">
      <c r="B101" s="95" t="s">
        <v>67</v>
      </c>
      <c r="C101" s="99">
        <f>IF('CREST Inputs'!$G$18="Simple",'CREST Inputs'!$G$26*'CREST Inputs'!$R$73,IF('CREST Inputs'!$G$18="Intermediate",SUMPRODUCT('CREST Inputs'!$G$20:$G$24,'CREST Inputs'!$R$74:$R$78),0))</f>
        <v>323617.74075144494</v>
      </c>
      <c r="D101" s="298">
        <f t="shared" si="25"/>
        <v>0.06846699674447385</v>
      </c>
      <c r="E101" s="99">
        <f>($C$110-$C$112)*IF('CREST Inputs'!$P$70="No",1,(1-'CREST Inputs'!$P$71))*D101</f>
        <v>0</v>
      </c>
      <c r="F101" s="95"/>
      <c r="G101" s="101">
        <v>0.05</v>
      </c>
      <c r="H101" s="101">
        <v>0.095</v>
      </c>
      <c r="I101" s="101">
        <v>0.0855</v>
      </c>
      <c r="J101" s="101">
        <v>0.077</v>
      </c>
      <c r="K101" s="101">
        <v>0.0693</v>
      </c>
      <c r="L101" s="101">
        <v>0.0623</v>
      </c>
      <c r="M101" s="101">
        <v>0.059</v>
      </c>
      <c r="N101" s="101">
        <v>0.059</v>
      </c>
      <c r="O101" s="101">
        <v>0.0591</v>
      </c>
      <c r="P101" s="101">
        <v>0.059</v>
      </c>
      <c r="Q101" s="101">
        <v>0.0591</v>
      </c>
      <c r="R101" s="101">
        <v>0.059</v>
      </c>
      <c r="S101" s="101">
        <v>0.0591</v>
      </c>
      <c r="T101" s="101">
        <v>0.059</v>
      </c>
      <c r="U101" s="101">
        <v>0.0591</v>
      </c>
      <c r="V101" s="101">
        <v>0.0295</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row>
    <row r="102" spans="2:36" s="27" customFormat="1" ht="15.75">
      <c r="B102" s="95" t="s">
        <v>68</v>
      </c>
      <c r="C102" s="99">
        <f>IF('CREST Inputs'!$G$18="Simple",'CREST Inputs'!$G$26*'CREST Inputs'!$U$73,IF('CREST Inputs'!$G$18="Intermediate",SUMPRODUCT('CREST Inputs'!$G$20:$G$24,'CREST Inputs'!$U$74:$U$78),0))</f>
        <v>0</v>
      </c>
      <c r="D102" s="298">
        <f t="shared" si="25"/>
        <v>0</v>
      </c>
      <c r="E102" s="99">
        <f>($C$110-$C$112)*IF('CREST Inputs'!$P$70="No",1,(1-'CREST Inputs'!$P$71))*D102</f>
        <v>0</v>
      </c>
      <c r="F102" s="95"/>
      <c r="G102" s="101">
        <v>0.0375</v>
      </c>
      <c r="H102" s="101">
        <v>0.07219</v>
      </c>
      <c r="I102" s="101">
        <v>0.06677</v>
      </c>
      <c r="J102" s="101">
        <v>0.06177</v>
      </c>
      <c r="K102" s="101">
        <v>0.05713</v>
      </c>
      <c r="L102" s="101">
        <v>0.05285</v>
      </c>
      <c r="M102" s="101">
        <v>0.04888</v>
      </c>
      <c r="N102" s="101">
        <v>0.04522</v>
      </c>
      <c r="O102" s="101">
        <v>0.04462</v>
      </c>
      <c r="P102" s="101">
        <v>0.04461</v>
      </c>
      <c r="Q102" s="101">
        <v>0.04462</v>
      </c>
      <c r="R102" s="101">
        <v>0.04461</v>
      </c>
      <c r="S102" s="101">
        <v>0.04462</v>
      </c>
      <c r="T102" s="101">
        <v>0.04461</v>
      </c>
      <c r="U102" s="101">
        <v>0.04462</v>
      </c>
      <c r="V102" s="101">
        <v>0.04461</v>
      </c>
      <c r="W102" s="101">
        <v>0.04462</v>
      </c>
      <c r="X102" s="101">
        <v>0.04461</v>
      </c>
      <c r="Y102" s="101">
        <v>0.04462</v>
      </c>
      <c r="Z102" s="101">
        <v>0.04461</v>
      </c>
      <c r="AA102" s="101">
        <v>0.02231</v>
      </c>
      <c r="AB102" s="101">
        <v>0</v>
      </c>
      <c r="AC102" s="101">
        <v>0</v>
      </c>
      <c r="AD102" s="101">
        <v>0</v>
      </c>
      <c r="AE102" s="101">
        <v>0</v>
      </c>
      <c r="AF102" s="101">
        <v>0</v>
      </c>
      <c r="AG102" s="101">
        <v>0</v>
      </c>
      <c r="AH102" s="101">
        <v>0</v>
      </c>
      <c r="AI102" s="101">
        <v>0</v>
      </c>
      <c r="AJ102" s="101">
        <v>0</v>
      </c>
    </row>
    <row r="103" spans="2:36" s="27" customFormat="1" ht="15.75">
      <c r="B103" s="95" t="s">
        <v>114</v>
      </c>
      <c r="C103" s="99">
        <f>IF('CREST Inputs'!$G$18="Simple",'CREST Inputs'!$G$26*'CREST Inputs'!$V$73,IF('CREST Inputs'!$G$18="Intermediate",SUMPRODUCT('CREST Inputs'!$G$20:$G$24,'CREST Inputs'!$V$74:$V$78),0))</f>
        <v>0</v>
      </c>
      <c r="D103" s="298">
        <f t="shared" si="25"/>
        <v>0</v>
      </c>
      <c r="E103" s="99">
        <f>($C$110-$C$112)*IF('CREST Inputs'!$P$70="No",1,(1-'CREST Inputs'!$P$71))*D103</f>
        <v>0</v>
      </c>
      <c r="F103" s="95"/>
      <c r="G103" s="101">
        <v>0.1</v>
      </c>
      <c r="H103" s="101">
        <v>0.2</v>
      </c>
      <c r="I103" s="101">
        <v>0.2</v>
      </c>
      <c r="J103" s="101">
        <v>0.2</v>
      </c>
      <c r="K103" s="101">
        <v>0.2</v>
      </c>
      <c r="L103" s="101">
        <v>0.1</v>
      </c>
      <c r="M103" s="101">
        <f aca="true" t="shared" si="26" ref="M103:AJ103">IF(M$97&lt;=5,1/5,0)</f>
        <v>0</v>
      </c>
      <c r="N103" s="101">
        <f t="shared" si="26"/>
        <v>0</v>
      </c>
      <c r="O103" s="101">
        <f t="shared" si="26"/>
        <v>0</v>
      </c>
      <c r="P103" s="101">
        <f t="shared" si="26"/>
        <v>0</v>
      </c>
      <c r="Q103" s="101">
        <f t="shared" si="26"/>
        <v>0</v>
      </c>
      <c r="R103" s="101">
        <f t="shared" si="26"/>
        <v>0</v>
      </c>
      <c r="S103" s="101">
        <f t="shared" si="26"/>
        <v>0</v>
      </c>
      <c r="T103" s="101">
        <f t="shared" si="26"/>
        <v>0</v>
      </c>
      <c r="U103" s="101">
        <f t="shared" si="26"/>
        <v>0</v>
      </c>
      <c r="V103" s="101">
        <f t="shared" si="26"/>
        <v>0</v>
      </c>
      <c r="W103" s="101">
        <f t="shared" si="26"/>
        <v>0</v>
      </c>
      <c r="X103" s="101">
        <f t="shared" si="26"/>
        <v>0</v>
      </c>
      <c r="Y103" s="101">
        <f t="shared" si="26"/>
        <v>0</v>
      </c>
      <c r="Z103" s="101">
        <f t="shared" si="26"/>
        <v>0</v>
      </c>
      <c r="AA103" s="101">
        <f t="shared" si="26"/>
        <v>0</v>
      </c>
      <c r="AB103" s="101">
        <f t="shared" si="26"/>
        <v>0</v>
      </c>
      <c r="AC103" s="101">
        <f t="shared" si="26"/>
        <v>0</v>
      </c>
      <c r="AD103" s="101">
        <f t="shared" si="26"/>
        <v>0</v>
      </c>
      <c r="AE103" s="101">
        <f t="shared" si="26"/>
        <v>0</v>
      </c>
      <c r="AF103" s="101">
        <f t="shared" si="26"/>
        <v>0</v>
      </c>
      <c r="AG103" s="101">
        <f t="shared" si="26"/>
        <v>0</v>
      </c>
      <c r="AH103" s="101">
        <f t="shared" si="26"/>
        <v>0</v>
      </c>
      <c r="AI103" s="101">
        <f t="shared" si="26"/>
        <v>0</v>
      </c>
      <c r="AJ103" s="101">
        <f t="shared" si="26"/>
        <v>0</v>
      </c>
    </row>
    <row r="104" spans="2:36" s="27" customFormat="1" ht="15.75">
      <c r="B104" s="95" t="s">
        <v>115</v>
      </c>
      <c r="C104" s="99">
        <f>IF('CREST Inputs'!$G$18="Simple",'CREST Inputs'!$G$26*'CREST Inputs'!$W$73,IF('CREST Inputs'!$G$18="Intermediate",SUMPRODUCT('CREST Inputs'!$G$20:$G$24,'CREST Inputs'!$W$74:$W$78),0))</f>
        <v>553121.7727422825</v>
      </c>
      <c r="D104" s="298">
        <f t="shared" si="25"/>
        <v>0.1170225913007965</v>
      </c>
      <c r="E104" s="99">
        <f>($C$110-$C$112)*IF('CREST Inputs'!$P$70="No",1,(1-'CREST Inputs'!$P$71))*D104</f>
        <v>0</v>
      </c>
      <c r="F104" s="95"/>
      <c r="G104" s="101">
        <v>0.0333</v>
      </c>
      <c r="H104" s="101">
        <v>0.0667</v>
      </c>
      <c r="I104" s="101">
        <v>0.0667</v>
      </c>
      <c r="J104" s="101">
        <v>0.0667</v>
      </c>
      <c r="K104" s="101">
        <v>0.0667</v>
      </c>
      <c r="L104" s="101">
        <v>0.0667</v>
      </c>
      <c r="M104" s="101">
        <v>0.0667</v>
      </c>
      <c r="N104" s="101">
        <v>0.0667</v>
      </c>
      <c r="O104" s="101">
        <v>0.0667</v>
      </c>
      <c r="P104" s="101">
        <v>0.0667</v>
      </c>
      <c r="Q104" s="101">
        <v>0.0667</v>
      </c>
      <c r="R104" s="101">
        <v>0.0666</v>
      </c>
      <c r="S104" s="101">
        <v>0.0666</v>
      </c>
      <c r="T104" s="101">
        <v>0.0666</v>
      </c>
      <c r="U104" s="101">
        <v>0.0666</v>
      </c>
      <c r="V104" s="101">
        <v>0.0333</v>
      </c>
      <c r="W104" s="101">
        <f aca="true" t="shared" si="27" ref="W104:AJ104">IF(W$97&lt;=15,1/15,0)</f>
        <v>0</v>
      </c>
      <c r="X104" s="101">
        <f t="shared" si="27"/>
        <v>0</v>
      </c>
      <c r="Y104" s="101">
        <f t="shared" si="27"/>
        <v>0</v>
      </c>
      <c r="Z104" s="101">
        <f t="shared" si="27"/>
        <v>0</v>
      </c>
      <c r="AA104" s="101">
        <f t="shared" si="27"/>
        <v>0</v>
      </c>
      <c r="AB104" s="101">
        <f t="shared" si="27"/>
        <v>0</v>
      </c>
      <c r="AC104" s="101">
        <f t="shared" si="27"/>
        <v>0</v>
      </c>
      <c r="AD104" s="101">
        <f t="shared" si="27"/>
        <v>0</v>
      </c>
      <c r="AE104" s="101">
        <f t="shared" si="27"/>
        <v>0</v>
      </c>
      <c r="AF104" s="101">
        <f t="shared" si="27"/>
        <v>0</v>
      </c>
      <c r="AG104" s="101">
        <f t="shared" si="27"/>
        <v>0</v>
      </c>
      <c r="AH104" s="101">
        <f t="shared" si="27"/>
        <v>0</v>
      </c>
      <c r="AI104" s="101">
        <f t="shared" si="27"/>
        <v>0</v>
      </c>
      <c r="AJ104" s="101">
        <f t="shared" si="27"/>
        <v>0</v>
      </c>
    </row>
    <row r="105" spans="2:36" s="27" customFormat="1" ht="15.75">
      <c r="B105" s="95" t="s">
        <v>69</v>
      </c>
      <c r="C105" s="99">
        <f>IF('CREST Inputs'!$G$18="Simple",'CREST Inputs'!$G$26*'CREST Inputs'!$X$73,IF('CREST Inputs'!$G$18="Intermediate",SUMPRODUCT('CREST Inputs'!$G$20:$G$24,'CREST Inputs'!$X$74:$X$78),0))</f>
        <v>211583.05119927684</v>
      </c>
      <c r="D105" s="298">
        <f t="shared" si="25"/>
        <v>0.04476409743176927</v>
      </c>
      <c r="E105" s="99">
        <f>($C$110-$C$112)*IF('CREST Inputs'!$P$70="No",1,(1-'CREST Inputs'!$P$71))*D105</f>
        <v>0</v>
      </c>
      <c r="F105" s="95"/>
      <c r="G105" s="101">
        <v>0.025</v>
      </c>
      <c r="H105" s="101">
        <v>0.05</v>
      </c>
      <c r="I105" s="101">
        <v>0.05</v>
      </c>
      <c r="J105" s="101">
        <v>0.05</v>
      </c>
      <c r="K105" s="101">
        <v>0.05</v>
      </c>
      <c r="L105" s="101">
        <v>0.05</v>
      </c>
      <c r="M105" s="101">
        <v>0.05</v>
      </c>
      <c r="N105" s="101">
        <v>0.05</v>
      </c>
      <c r="O105" s="101">
        <v>0.05</v>
      </c>
      <c r="P105" s="101">
        <v>0.05</v>
      </c>
      <c r="Q105" s="101">
        <v>0.05</v>
      </c>
      <c r="R105" s="101">
        <v>0.05</v>
      </c>
      <c r="S105" s="101">
        <v>0.05</v>
      </c>
      <c r="T105" s="101">
        <v>0.05</v>
      </c>
      <c r="U105" s="101">
        <v>0.05</v>
      </c>
      <c r="V105" s="101">
        <v>0.05</v>
      </c>
      <c r="W105" s="101">
        <v>0.05</v>
      </c>
      <c r="X105" s="101">
        <v>0.05</v>
      </c>
      <c r="Y105" s="101">
        <v>0.05</v>
      </c>
      <c r="Z105" s="101">
        <v>0.05</v>
      </c>
      <c r="AA105" s="101">
        <v>0.025</v>
      </c>
      <c r="AB105" s="101">
        <f aca="true" t="shared" si="28" ref="AB105:AJ105">IF(AB$97&lt;=20,1/20,0)</f>
        <v>0</v>
      </c>
      <c r="AC105" s="101">
        <f t="shared" si="28"/>
        <v>0</v>
      </c>
      <c r="AD105" s="101">
        <f t="shared" si="28"/>
        <v>0</v>
      </c>
      <c r="AE105" s="101">
        <f t="shared" si="28"/>
        <v>0</v>
      </c>
      <c r="AF105" s="101">
        <f t="shared" si="28"/>
        <v>0</v>
      </c>
      <c r="AG105" s="101">
        <f t="shared" si="28"/>
        <v>0</v>
      </c>
      <c r="AH105" s="101">
        <f t="shared" si="28"/>
        <v>0</v>
      </c>
      <c r="AI105" s="101">
        <f t="shared" si="28"/>
        <v>0</v>
      </c>
      <c r="AJ105" s="101">
        <f t="shared" si="28"/>
        <v>0</v>
      </c>
    </row>
    <row r="106" spans="2:36" s="27" customFormat="1" ht="15.75">
      <c r="B106" s="95" t="s">
        <v>70</v>
      </c>
      <c r="C106" s="99">
        <f>IF('CREST Inputs'!$G$18="Simple",'CREST Inputs'!$G$26*'CREST Inputs'!$Y$73,IF('CREST Inputs'!$G$18="Intermediate",SUMPRODUCT('CREST Inputs'!$G$20:$G$24,'CREST Inputs'!$Y$74:$Y$78),0))</f>
        <v>0</v>
      </c>
      <c r="D106" s="298">
        <f t="shared" si="25"/>
        <v>0</v>
      </c>
      <c r="E106" s="99">
        <f>($C$110-$C$112)*IF('CREST Inputs'!$P$70="No",1,(1-'CREST Inputs'!$P$71))*D106</f>
        <v>0</v>
      </c>
      <c r="F106" s="95"/>
      <c r="G106" s="101">
        <v>0.0128</v>
      </c>
      <c r="H106" s="101">
        <v>0.0256</v>
      </c>
      <c r="I106" s="101">
        <v>0.0256</v>
      </c>
      <c r="J106" s="101">
        <v>0.0256</v>
      </c>
      <c r="K106" s="101">
        <v>0.0256</v>
      </c>
      <c r="L106" s="101">
        <v>0.0256</v>
      </c>
      <c r="M106" s="101">
        <v>0.0256</v>
      </c>
      <c r="N106" s="101">
        <v>0.0256</v>
      </c>
      <c r="O106" s="101">
        <v>0.0256</v>
      </c>
      <c r="P106" s="101">
        <v>0.0256</v>
      </c>
      <c r="Q106" s="101">
        <v>0.0256</v>
      </c>
      <c r="R106" s="101">
        <v>0.0256</v>
      </c>
      <c r="S106" s="101">
        <v>0.0256</v>
      </c>
      <c r="T106" s="101">
        <v>0.0256</v>
      </c>
      <c r="U106" s="101">
        <v>0.0256</v>
      </c>
      <c r="V106" s="101">
        <v>0.0256</v>
      </c>
      <c r="W106" s="101">
        <v>0.0256</v>
      </c>
      <c r="X106" s="101">
        <v>0.0256</v>
      </c>
      <c r="Y106" s="101">
        <v>0.0256</v>
      </c>
      <c r="Z106" s="101">
        <v>0.0256</v>
      </c>
      <c r="AA106" s="101">
        <v>0.0256</v>
      </c>
      <c r="AB106" s="101">
        <v>0.0256</v>
      </c>
      <c r="AC106" s="101">
        <v>0.0256</v>
      </c>
      <c r="AD106" s="101">
        <v>0.0256</v>
      </c>
      <c r="AE106" s="101">
        <v>0.0256</v>
      </c>
      <c r="AF106" s="101">
        <v>0.0256</v>
      </c>
      <c r="AG106" s="101">
        <v>0.0256</v>
      </c>
      <c r="AH106" s="101">
        <v>0.0256</v>
      </c>
      <c r="AI106" s="101">
        <v>0.0256</v>
      </c>
      <c r="AJ106" s="101">
        <v>0.0256</v>
      </c>
    </row>
    <row r="107" spans="2:36" s="27" customFormat="1" ht="15.75">
      <c r="B107" s="95" t="s">
        <v>269</v>
      </c>
      <c r="C107" s="95"/>
      <c r="D107" s="298"/>
      <c r="E107" s="99">
        <f>($C$110-$C$112)*IF('CREST Inputs'!$P$70="No",0,'CREST Inputs'!$P$71)</f>
        <v>4726623.864622264</v>
      </c>
      <c r="F107" s="95"/>
      <c r="G107" s="101">
        <v>1</v>
      </c>
      <c r="H107" s="101">
        <v>0</v>
      </c>
      <c r="I107" s="101">
        <v>0</v>
      </c>
      <c r="J107" s="101">
        <v>0</v>
      </c>
      <c r="K107" s="101">
        <v>0</v>
      </c>
      <c r="L107" s="101">
        <v>0</v>
      </c>
      <c r="M107" s="101">
        <v>0</v>
      </c>
      <c r="N107" s="101">
        <v>0</v>
      </c>
      <c r="O107" s="101">
        <v>0</v>
      </c>
      <c r="P107" s="101">
        <v>0</v>
      </c>
      <c r="Q107" s="101">
        <v>0</v>
      </c>
      <c r="R107" s="101">
        <v>0</v>
      </c>
      <c r="S107" s="101">
        <v>0</v>
      </c>
      <c r="T107" s="101">
        <v>0</v>
      </c>
      <c r="U107" s="101">
        <v>0</v>
      </c>
      <c r="V107" s="101">
        <v>0</v>
      </c>
      <c r="W107" s="101">
        <v>0</v>
      </c>
      <c r="X107" s="101">
        <v>0</v>
      </c>
      <c r="Y107" s="101">
        <v>0</v>
      </c>
      <c r="Z107" s="101">
        <v>0</v>
      </c>
      <c r="AA107" s="101">
        <v>0</v>
      </c>
      <c r="AB107" s="101">
        <v>0</v>
      </c>
      <c r="AC107" s="101">
        <v>0</v>
      </c>
      <c r="AD107" s="101">
        <v>0</v>
      </c>
      <c r="AE107" s="101">
        <v>0</v>
      </c>
      <c r="AF107" s="101">
        <v>0</v>
      </c>
      <c r="AG107" s="101">
        <v>0</v>
      </c>
      <c r="AH107" s="101">
        <v>0</v>
      </c>
      <c r="AI107" s="101">
        <v>0</v>
      </c>
      <c r="AJ107" s="101">
        <v>0</v>
      </c>
    </row>
    <row r="108" spans="2:36" s="27" customFormat="1" ht="15">
      <c r="B108" s="108" t="s">
        <v>25</v>
      </c>
      <c r="C108" s="310">
        <f>IF('CREST Inputs'!$G$18="Simple",'CREST Inputs'!$G$26*'CREST Inputs'!$Z$73,IF('CREST Inputs'!$G$18="Intermediate",SUMPRODUCT('CREST Inputs'!$G$20:$G$24,'CREST Inputs'!$Z$74:$Z$78),0))</f>
        <v>215676.15930010114</v>
      </c>
      <c r="D108" s="311">
        <f>C108/$C$110</f>
        <v>0.045630066084671884</v>
      </c>
      <c r="E108" s="310">
        <f>($C$110-$C$112)*IF('CREST Inputs'!$P$70="No",1,(1-'CREST Inputs'!$P$71))*D108</f>
        <v>0</v>
      </c>
      <c r="F108" s="95"/>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row>
    <row r="109" spans="2:36" s="27" customFormat="1" ht="15.75">
      <c r="B109" s="95"/>
      <c r="C109" s="299" t="s">
        <v>276</v>
      </c>
      <c r="D109" s="299"/>
      <c r="E109" s="299" t="s">
        <v>275</v>
      </c>
      <c r="F109" s="95"/>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row>
    <row r="110" spans="2:36" s="27" customFormat="1" ht="15.75">
      <c r="B110" s="94" t="s">
        <v>277</v>
      </c>
      <c r="C110" s="104">
        <f>SUM(C99:C108)</f>
        <v>4726623.864622264</v>
      </c>
      <c r="D110" s="298">
        <f>SUM(D99:D108)</f>
        <v>1</v>
      </c>
      <c r="E110" s="104">
        <f>SUM(E99:E108)</f>
        <v>4726623.864622264</v>
      </c>
      <c r="F110" s="95"/>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row>
    <row r="111" spans="2:36" s="27" customFormat="1" ht="15">
      <c r="B111" s="95"/>
      <c r="C111" s="297" t="str">
        <f>IF(C110='CREST Inputs'!$G$26,"OK","error")</f>
        <v>OK</v>
      </c>
      <c r="D111" s="297" t="str">
        <f>IF(D110=100%,"OK","error")</f>
        <v>OK</v>
      </c>
      <c r="E111" s="297" t="str">
        <f>IF(E110=(C110-C112),"OK","error")</f>
        <v>OK</v>
      </c>
      <c r="F111" s="95"/>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row>
    <row r="112" spans="2:36" s="27" customFormat="1" ht="15">
      <c r="B112" s="95" t="s">
        <v>279</v>
      </c>
      <c r="C112" s="99">
        <f>IF(OR('CREST Inputs'!$Q$19="Performance-Based",'CREST Inputs'!$Q$19="Neither"),0,50%*'CREST Inputs'!$Q$23)+IF('CREST Inputs'!$Q$30="Yes",0,'CREST Inputs'!$Q$29)+IF('CREST Inputs'!$Q$47="Yes",0,IF('CREST Inputs'!$Q$46=0,'CREST Inputs'!$Q$45*1000*'CREST Inputs'!$G$8,MIN('CREST Inputs'!$Q$46,'CREST Inputs'!$Q$45*1000*'CREST Inputs'!$G$8)))</f>
        <v>0</v>
      </c>
      <c r="D112" s="99"/>
      <c r="E112" s="99"/>
      <c r="F112" s="95"/>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row>
    <row r="113" spans="2:36" s="27" customFormat="1" ht="15">
      <c r="B113" s="95"/>
      <c r="C113" s="297"/>
      <c r="D113" s="297"/>
      <c r="E113" s="99"/>
      <c r="F113" s="95"/>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row>
    <row r="114" spans="2:36" s="27" customFormat="1" ht="15.75">
      <c r="B114" s="97" t="s">
        <v>136</v>
      </c>
      <c r="C114" s="97"/>
      <c r="D114" s="97"/>
      <c r="E114" s="95"/>
      <c r="F114" s="95"/>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row>
    <row r="115" spans="2:36" s="27" customFormat="1" ht="15">
      <c r="B115" s="95" t="s">
        <v>71</v>
      </c>
      <c r="C115" s="95"/>
      <c r="D115" s="95"/>
      <c r="E115" s="103" t="s">
        <v>122</v>
      </c>
      <c r="F115" s="104"/>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row>
    <row r="116" spans="2:36" s="27" customFormat="1" ht="15">
      <c r="B116" s="95" t="s">
        <v>66</v>
      </c>
      <c r="C116" s="95"/>
      <c r="D116" s="95"/>
      <c r="E116" s="105">
        <f>SUM(G116:AJ116)</f>
        <v>0</v>
      </c>
      <c r="F116" s="104"/>
      <c r="G116" s="106">
        <f>$E99*G99</f>
        <v>0</v>
      </c>
      <c r="H116" s="106">
        <f aca="true" t="shared" si="29" ref="H116:AJ116">$E99*H99</f>
        <v>0</v>
      </c>
      <c r="I116" s="106">
        <f t="shared" si="29"/>
        <v>0</v>
      </c>
      <c r="J116" s="106">
        <f t="shared" si="29"/>
        <v>0</v>
      </c>
      <c r="K116" s="106">
        <f t="shared" si="29"/>
        <v>0</v>
      </c>
      <c r="L116" s="106">
        <f t="shared" si="29"/>
        <v>0</v>
      </c>
      <c r="M116" s="106">
        <f t="shared" si="29"/>
        <v>0</v>
      </c>
      <c r="N116" s="106">
        <f t="shared" si="29"/>
        <v>0</v>
      </c>
      <c r="O116" s="106">
        <f t="shared" si="29"/>
        <v>0</v>
      </c>
      <c r="P116" s="106">
        <f t="shared" si="29"/>
        <v>0</v>
      </c>
      <c r="Q116" s="106">
        <f t="shared" si="29"/>
        <v>0</v>
      </c>
      <c r="R116" s="106">
        <f t="shared" si="29"/>
        <v>0</v>
      </c>
      <c r="S116" s="106">
        <f t="shared" si="29"/>
        <v>0</v>
      </c>
      <c r="T116" s="106">
        <f t="shared" si="29"/>
        <v>0</v>
      </c>
      <c r="U116" s="106">
        <f t="shared" si="29"/>
        <v>0</v>
      </c>
      <c r="V116" s="106">
        <f t="shared" si="29"/>
        <v>0</v>
      </c>
      <c r="W116" s="106">
        <f t="shared" si="29"/>
        <v>0</v>
      </c>
      <c r="X116" s="106">
        <f t="shared" si="29"/>
        <v>0</v>
      </c>
      <c r="Y116" s="106">
        <f t="shared" si="29"/>
        <v>0</v>
      </c>
      <c r="Z116" s="106">
        <f t="shared" si="29"/>
        <v>0</v>
      </c>
      <c r="AA116" s="106">
        <f t="shared" si="29"/>
        <v>0</v>
      </c>
      <c r="AB116" s="106">
        <f t="shared" si="29"/>
        <v>0</v>
      </c>
      <c r="AC116" s="106">
        <f t="shared" si="29"/>
        <v>0</v>
      </c>
      <c r="AD116" s="106">
        <f t="shared" si="29"/>
        <v>0</v>
      </c>
      <c r="AE116" s="106">
        <f t="shared" si="29"/>
        <v>0</v>
      </c>
      <c r="AF116" s="106">
        <f t="shared" si="29"/>
        <v>0</v>
      </c>
      <c r="AG116" s="106">
        <f t="shared" si="29"/>
        <v>0</v>
      </c>
      <c r="AH116" s="106">
        <f t="shared" si="29"/>
        <v>0</v>
      </c>
      <c r="AI116" s="106">
        <f t="shared" si="29"/>
        <v>0</v>
      </c>
      <c r="AJ116" s="106">
        <f t="shared" si="29"/>
        <v>0</v>
      </c>
    </row>
    <row r="117" spans="2:36" s="27" customFormat="1" ht="15">
      <c r="B117" s="95" t="s">
        <v>113</v>
      </c>
      <c r="C117" s="95"/>
      <c r="D117" s="95"/>
      <c r="E117" s="105">
        <f aca="true" t="shared" si="30" ref="E117:E124">SUM(G117:AJ117)</f>
        <v>0</v>
      </c>
      <c r="F117" s="104"/>
      <c r="G117" s="106">
        <f aca="true" t="shared" si="31" ref="G117:AJ117">$E100*G100</f>
        <v>0</v>
      </c>
      <c r="H117" s="106">
        <f t="shared" si="31"/>
        <v>0</v>
      </c>
      <c r="I117" s="106">
        <f t="shared" si="31"/>
        <v>0</v>
      </c>
      <c r="J117" s="106">
        <f t="shared" si="31"/>
        <v>0</v>
      </c>
      <c r="K117" s="106">
        <f t="shared" si="31"/>
        <v>0</v>
      </c>
      <c r="L117" s="106">
        <f t="shared" si="31"/>
        <v>0</v>
      </c>
      <c r="M117" s="106">
        <f t="shared" si="31"/>
        <v>0</v>
      </c>
      <c r="N117" s="106">
        <f t="shared" si="31"/>
        <v>0</v>
      </c>
      <c r="O117" s="106">
        <f t="shared" si="31"/>
        <v>0</v>
      </c>
      <c r="P117" s="106">
        <f t="shared" si="31"/>
        <v>0</v>
      </c>
      <c r="Q117" s="106">
        <f t="shared" si="31"/>
        <v>0</v>
      </c>
      <c r="R117" s="106">
        <f t="shared" si="31"/>
        <v>0</v>
      </c>
      <c r="S117" s="106">
        <f t="shared" si="31"/>
        <v>0</v>
      </c>
      <c r="T117" s="106">
        <f t="shared" si="31"/>
        <v>0</v>
      </c>
      <c r="U117" s="106">
        <f t="shared" si="31"/>
        <v>0</v>
      </c>
      <c r="V117" s="106">
        <f t="shared" si="31"/>
        <v>0</v>
      </c>
      <c r="W117" s="106">
        <f t="shared" si="31"/>
        <v>0</v>
      </c>
      <c r="X117" s="106">
        <f t="shared" si="31"/>
        <v>0</v>
      </c>
      <c r="Y117" s="106">
        <f t="shared" si="31"/>
        <v>0</v>
      </c>
      <c r="Z117" s="106">
        <f t="shared" si="31"/>
        <v>0</v>
      </c>
      <c r="AA117" s="106">
        <f t="shared" si="31"/>
        <v>0</v>
      </c>
      <c r="AB117" s="106">
        <f t="shared" si="31"/>
        <v>0</v>
      </c>
      <c r="AC117" s="106">
        <f t="shared" si="31"/>
        <v>0</v>
      </c>
      <c r="AD117" s="106">
        <f t="shared" si="31"/>
        <v>0</v>
      </c>
      <c r="AE117" s="106">
        <f t="shared" si="31"/>
        <v>0</v>
      </c>
      <c r="AF117" s="106">
        <f t="shared" si="31"/>
        <v>0</v>
      </c>
      <c r="AG117" s="106">
        <f t="shared" si="31"/>
        <v>0</v>
      </c>
      <c r="AH117" s="106">
        <f t="shared" si="31"/>
        <v>0</v>
      </c>
      <c r="AI117" s="106">
        <f t="shared" si="31"/>
        <v>0</v>
      </c>
      <c r="AJ117" s="106">
        <f t="shared" si="31"/>
        <v>0</v>
      </c>
    </row>
    <row r="118" spans="2:36" s="27" customFormat="1" ht="15">
      <c r="B118" s="95" t="s">
        <v>67</v>
      </c>
      <c r="C118" s="95"/>
      <c r="D118" s="95"/>
      <c r="E118" s="105">
        <f t="shared" si="30"/>
        <v>0</v>
      </c>
      <c r="F118" s="104"/>
      <c r="G118" s="106">
        <f aca="true" t="shared" si="32" ref="G118:AJ118">$E101*G101</f>
        <v>0</v>
      </c>
      <c r="H118" s="106">
        <f t="shared" si="32"/>
        <v>0</v>
      </c>
      <c r="I118" s="106">
        <f t="shared" si="32"/>
        <v>0</v>
      </c>
      <c r="J118" s="106">
        <f t="shared" si="32"/>
        <v>0</v>
      </c>
      <c r="K118" s="106">
        <f t="shared" si="32"/>
        <v>0</v>
      </c>
      <c r="L118" s="106">
        <f t="shared" si="32"/>
        <v>0</v>
      </c>
      <c r="M118" s="106">
        <f t="shared" si="32"/>
        <v>0</v>
      </c>
      <c r="N118" s="106">
        <f t="shared" si="32"/>
        <v>0</v>
      </c>
      <c r="O118" s="106">
        <f t="shared" si="32"/>
        <v>0</v>
      </c>
      <c r="P118" s="106">
        <f t="shared" si="32"/>
        <v>0</v>
      </c>
      <c r="Q118" s="106">
        <f t="shared" si="32"/>
        <v>0</v>
      </c>
      <c r="R118" s="106">
        <f t="shared" si="32"/>
        <v>0</v>
      </c>
      <c r="S118" s="106">
        <f t="shared" si="32"/>
        <v>0</v>
      </c>
      <c r="T118" s="106">
        <f t="shared" si="32"/>
        <v>0</v>
      </c>
      <c r="U118" s="106">
        <f t="shared" si="32"/>
        <v>0</v>
      </c>
      <c r="V118" s="106">
        <f t="shared" si="32"/>
        <v>0</v>
      </c>
      <c r="W118" s="106">
        <f t="shared" si="32"/>
        <v>0</v>
      </c>
      <c r="X118" s="106">
        <f t="shared" si="32"/>
        <v>0</v>
      </c>
      <c r="Y118" s="106">
        <f t="shared" si="32"/>
        <v>0</v>
      </c>
      <c r="Z118" s="106">
        <f t="shared" si="32"/>
        <v>0</v>
      </c>
      <c r="AA118" s="106">
        <f t="shared" si="32"/>
        <v>0</v>
      </c>
      <c r="AB118" s="106">
        <f t="shared" si="32"/>
        <v>0</v>
      </c>
      <c r="AC118" s="106">
        <f t="shared" si="32"/>
        <v>0</v>
      </c>
      <c r="AD118" s="106">
        <f t="shared" si="32"/>
        <v>0</v>
      </c>
      <c r="AE118" s="106">
        <f t="shared" si="32"/>
        <v>0</v>
      </c>
      <c r="AF118" s="106">
        <f t="shared" si="32"/>
        <v>0</v>
      </c>
      <c r="AG118" s="106">
        <f t="shared" si="32"/>
        <v>0</v>
      </c>
      <c r="AH118" s="106">
        <f t="shared" si="32"/>
        <v>0</v>
      </c>
      <c r="AI118" s="106">
        <f t="shared" si="32"/>
        <v>0</v>
      </c>
      <c r="AJ118" s="106">
        <f t="shared" si="32"/>
        <v>0</v>
      </c>
    </row>
    <row r="119" spans="2:36" s="27" customFormat="1" ht="15">
      <c r="B119" s="95" t="s">
        <v>68</v>
      </c>
      <c r="C119" s="95"/>
      <c r="D119" s="95"/>
      <c r="E119" s="105">
        <f t="shared" si="30"/>
        <v>0</v>
      </c>
      <c r="F119" s="104"/>
      <c r="G119" s="106">
        <f aca="true" t="shared" si="33" ref="G119:AJ119">$E102*G102</f>
        <v>0</v>
      </c>
      <c r="H119" s="106">
        <f t="shared" si="33"/>
        <v>0</v>
      </c>
      <c r="I119" s="106">
        <f t="shared" si="33"/>
        <v>0</v>
      </c>
      <c r="J119" s="106">
        <f t="shared" si="33"/>
        <v>0</v>
      </c>
      <c r="K119" s="106">
        <f t="shared" si="33"/>
        <v>0</v>
      </c>
      <c r="L119" s="106">
        <f t="shared" si="33"/>
        <v>0</v>
      </c>
      <c r="M119" s="106">
        <f t="shared" si="33"/>
        <v>0</v>
      </c>
      <c r="N119" s="106">
        <f t="shared" si="33"/>
        <v>0</v>
      </c>
      <c r="O119" s="106">
        <f t="shared" si="33"/>
        <v>0</v>
      </c>
      <c r="P119" s="106">
        <f t="shared" si="33"/>
        <v>0</v>
      </c>
      <c r="Q119" s="106">
        <f t="shared" si="33"/>
        <v>0</v>
      </c>
      <c r="R119" s="106">
        <f t="shared" si="33"/>
        <v>0</v>
      </c>
      <c r="S119" s="106">
        <f t="shared" si="33"/>
        <v>0</v>
      </c>
      <c r="T119" s="106">
        <f t="shared" si="33"/>
        <v>0</v>
      </c>
      <c r="U119" s="106">
        <f t="shared" si="33"/>
        <v>0</v>
      </c>
      <c r="V119" s="106">
        <f t="shared" si="33"/>
        <v>0</v>
      </c>
      <c r="W119" s="106">
        <f t="shared" si="33"/>
        <v>0</v>
      </c>
      <c r="X119" s="106">
        <f t="shared" si="33"/>
        <v>0</v>
      </c>
      <c r="Y119" s="106">
        <f t="shared" si="33"/>
        <v>0</v>
      </c>
      <c r="Z119" s="106">
        <f t="shared" si="33"/>
        <v>0</v>
      </c>
      <c r="AA119" s="106">
        <f t="shared" si="33"/>
        <v>0</v>
      </c>
      <c r="AB119" s="106">
        <f t="shared" si="33"/>
        <v>0</v>
      </c>
      <c r="AC119" s="106">
        <f t="shared" si="33"/>
        <v>0</v>
      </c>
      <c r="AD119" s="106">
        <f t="shared" si="33"/>
        <v>0</v>
      </c>
      <c r="AE119" s="106">
        <f t="shared" si="33"/>
        <v>0</v>
      </c>
      <c r="AF119" s="106">
        <f t="shared" si="33"/>
        <v>0</v>
      </c>
      <c r="AG119" s="106">
        <f t="shared" si="33"/>
        <v>0</v>
      </c>
      <c r="AH119" s="106">
        <f t="shared" si="33"/>
        <v>0</v>
      </c>
      <c r="AI119" s="106">
        <f t="shared" si="33"/>
        <v>0</v>
      </c>
      <c r="AJ119" s="106">
        <f t="shared" si="33"/>
        <v>0</v>
      </c>
    </row>
    <row r="120" spans="2:36" s="27" customFormat="1" ht="15">
      <c r="B120" s="95" t="s">
        <v>114</v>
      </c>
      <c r="C120" s="95"/>
      <c r="D120" s="95"/>
      <c r="E120" s="105">
        <f t="shared" si="30"/>
        <v>0</v>
      </c>
      <c r="F120" s="104"/>
      <c r="G120" s="106">
        <f aca="true" t="shared" si="34" ref="G120:AJ120">$E103*G103</f>
        <v>0</v>
      </c>
      <c r="H120" s="106">
        <f t="shared" si="34"/>
        <v>0</v>
      </c>
      <c r="I120" s="106">
        <f t="shared" si="34"/>
        <v>0</v>
      </c>
      <c r="J120" s="106">
        <f t="shared" si="34"/>
        <v>0</v>
      </c>
      <c r="K120" s="106">
        <f t="shared" si="34"/>
        <v>0</v>
      </c>
      <c r="L120" s="106">
        <f t="shared" si="34"/>
        <v>0</v>
      </c>
      <c r="M120" s="106">
        <f t="shared" si="34"/>
        <v>0</v>
      </c>
      <c r="N120" s="106">
        <f t="shared" si="34"/>
        <v>0</v>
      </c>
      <c r="O120" s="106">
        <f t="shared" si="34"/>
        <v>0</v>
      </c>
      <c r="P120" s="106">
        <f t="shared" si="34"/>
        <v>0</v>
      </c>
      <c r="Q120" s="106">
        <f t="shared" si="34"/>
        <v>0</v>
      </c>
      <c r="R120" s="106">
        <f t="shared" si="34"/>
        <v>0</v>
      </c>
      <c r="S120" s="106">
        <f t="shared" si="34"/>
        <v>0</v>
      </c>
      <c r="T120" s="106">
        <f t="shared" si="34"/>
        <v>0</v>
      </c>
      <c r="U120" s="106">
        <f t="shared" si="34"/>
        <v>0</v>
      </c>
      <c r="V120" s="106">
        <f t="shared" si="34"/>
        <v>0</v>
      </c>
      <c r="W120" s="106">
        <f t="shared" si="34"/>
        <v>0</v>
      </c>
      <c r="X120" s="106">
        <f t="shared" si="34"/>
        <v>0</v>
      </c>
      <c r="Y120" s="106">
        <f t="shared" si="34"/>
        <v>0</v>
      </c>
      <c r="Z120" s="106">
        <f t="shared" si="34"/>
        <v>0</v>
      </c>
      <c r="AA120" s="106">
        <f t="shared" si="34"/>
        <v>0</v>
      </c>
      <c r="AB120" s="106">
        <f t="shared" si="34"/>
        <v>0</v>
      </c>
      <c r="AC120" s="106">
        <f t="shared" si="34"/>
        <v>0</v>
      </c>
      <c r="AD120" s="106">
        <f t="shared" si="34"/>
        <v>0</v>
      </c>
      <c r="AE120" s="106">
        <f t="shared" si="34"/>
        <v>0</v>
      </c>
      <c r="AF120" s="106">
        <f t="shared" si="34"/>
        <v>0</v>
      </c>
      <c r="AG120" s="106">
        <f t="shared" si="34"/>
        <v>0</v>
      </c>
      <c r="AH120" s="106">
        <f t="shared" si="34"/>
        <v>0</v>
      </c>
      <c r="AI120" s="106">
        <f t="shared" si="34"/>
        <v>0</v>
      </c>
      <c r="AJ120" s="106">
        <f t="shared" si="34"/>
        <v>0</v>
      </c>
    </row>
    <row r="121" spans="2:36" s="27" customFormat="1" ht="15">
      <c r="B121" s="95" t="s">
        <v>115</v>
      </c>
      <c r="C121" s="95"/>
      <c r="D121" s="95"/>
      <c r="E121" s="105">
        <f t="shared" si="30"/>
        <v>0</v>
      </c>
      <c r="F121" s="104"/>
      <c r="G121" s="106">
        <f aca="true" t="shared" si="35" ref="G121:AJ121">$E104*G104</f>
        <v>0</v>
      </c>
      <c r="H121" s="106">
        <f t="shared" si="35"/>
        <v>0</v>
      </c>
      <c r="I121" s="106">
        <f t="shared" si="35"/>
        <v>0</v>
      </c>
      <c r="J121" s="106">
        <f t="shared" si="35"/>
        <v>0</v>
      </c>
      <c r="K121" s="106">
        <f t="shared" si="35"/>
        <v>0</v>
      </c>
      <c r="L121" s="106">
        <f t="shared" si="35"/>
        <v>0</v>
      </c>
      <c r="M121" s="106">
        <f t="shared" si="35"/>
        <v>0</v>
      </c>
      <c r="N121" s="106">
        <f t="shared" si="35"/>
        <v>0</v>
      </c>
      <c r="O121" s="106">
        <f t="shared" si="35"/>
        <v>0</v>
      </c>
      <c r="P121" s="106">
        <f t="shared" si="35"/>
        <v>0</v>
      </c>
      <c r="Q121" s="106">
        <f t="shared" si="35"/>
        <v>0</v>
      </c>
      <c r="R121" s="106">
        <f t="shared" si="35"/>
        <v>0</v>
      </c>
      <c r="S121" s="106">
        <f t="shared" si="35"/>
        <v>0</v>
      </c>
      <c r="T121" s="106">
        <f t="shared" si="35"/>
        <v>0</v>
      </c>
      <c r="U121" s="106">
        <f t="shared" si="35"/>
        <v>0</v>
      </c>
      <c r="V121" s="106">
        <f t="shared" si="35"/>
        <v>0</v>
      </c>
      <c r="W121" s="106">
        <f t="shared" si="35"/>
        <v>0</v>
      </c>
      <c r="X121" s="106">
        <f t="shared" si="35"/>
        <v>0</v>
      </c>
      <c r="Y121" s="106">
        <f t="shared" si="35"/>
        <v>0</v>
      </c>
      <c r="Z121" s="106">
        <f t="shared" si="35"/>
        <v>0</v>
      </c>
      <c r="AA121" s="106">
        <f t="shared" si="35"/>
        <v>0</v>
      </c>
      <c r="AB121" s="106">
        <f t="shared" si="35"/>
        <v>0</v>
      </c>
      <c r="AC121" s="106">
        <f t="shared" si="35"/>
        <v>0</v>
      </c>
      <c r="AD121" s="106">
        <f t="shared" si="35"/>
        <v>0</v>
      </c>
      <c r="AE121" s="106">
        <f t="shared" si="35"/>
        <v>0</v>
      </c>
      <c r="AF121" s="106">
        <f t="shared" si="35"/>
        <v>0</v>
      </c>
      <c r="AG121" s="106">
        <f t="shared" si="35"/>
        <v>0</v>
      </c>
      <c r="AH121" s="106">
        <f t="shared" si="35"/>
        <v>0</v>
      </c>
      <c r="AI121" s="106">
        <f t="shared" si="35"/>
        <v>0</v>
      </c>
      <c r="AJ121" s="106">
        <f t="shared" si="35"/>
        <v>0</v>
      </c>
    </row>
    <row r="122" spans="2:36" s="27" customFormat="1" ht="15">
      <c r="B122" s="95" t="s">
        <v>69</v>
      </c>
      <c r="C122" s="95"/>
      <c r="D122" s="95"/>
      <c r="E122" s="105">
        <f t="shared" si="30"/>
        <v>0</v>
      </c>
      <c r="F122" s="104"/>
      <c r="G122" s="106">
        <f aca="true" t="shared" si="36" ref="G122:AJ122">$E105*G105</f>
        <v>0</v>
      </c>
      <c r="H122" s="106">
        <f t="shared" si="36"/>
        <v>0</v>
      </c>
      <c r="I122" s="106">
        <f t="shared" si="36"/>
        <v>0</v>
      </c>
      <c r="J122" s="106">
        <f t="shared" si="36"/>
        <v>0</v>
      </c>
      <c r="K122" s="106">
        <f t="shared" si="36"/>
        <v>0</v>
      </c>
      <c r="L122" s="106">
        <f t="shared" si="36"/>
        <v>0</v>
      </c>
      <c r="M122" s="106">
        <f t="shared" si="36"/>
        <v>0</v>
      </c>
      <c r="N122" s="106">
        <f t="shared" si="36"/>
        <v>0</v>
      </c>
      <c r="O122" s="106">
        <f t="shared" si="36"/>
        <v>0</v>
      </c>
      <c r="P122" s="106">
        <f t="shared" si="36"/>
        <v>0</v>
      </c>
      <c r="Q122" s="106">
        <f t="shared" si="36"/>
        <v>0</v>
      </c>
      <c r="R122" s="106">
        <f t="shared" si="36"/>
        <v>0</v>
      </c>
      <c r="S122" s="106">
        <f t="shared" si="36"/>
        <v>0</v>
      </c>
      <c r="T122" s="106">
        <f t="shared" si="36"/>
        <v>0</v>
      </c>
      <c r="U122" s="106">
        <f t="shared" si="36"/>
        <v>0</v>
      </c>
      <c r="V122" s="106">
        <f t="shared" si="36"/>
        <v>0</v>
      </c>
      <c r="W122" s="106">
        <f t="shared" si="36"/>
        <v>0</v>
      </c>
      <c r="X122" s="106">
        <f t="shared" si="36"/>
        <v>0</v>
      </c>
      <c r="Y122" s="106">
        <f t="shared" si="36"/>
        <v>0</v>
      </c>
      <c r="Z122" s="106">
        <f t="shared" si="36"/>
        <v>0</v>
      </c>
      <c r="AA122" s="106">
        <f t="shared" si="36"/>
        <v>0</v>
      </c>
      <c r="AB122" s="106">
        <f t="shared" si="36"/>
        <v>0</v>
      </c>
      <c r="AC122" s="106">
        <f t="shared" si="36"/>
        <v>0</v>
      </c>
      <c r="AD122" s="106">
        <f t="shared" si="36"/>
        <v>0</v>
      </c>
      <c r="AE122" s="106">
        <f t="shared" si="36"/>
        <v>0</v>
      </c>
      <c r="AF122" s="106">
        <f t="shared" si="36"/>
        <v>0</v>
      </c>
      <c r="AG122" s="106">
        <f t="shared" si="36"/>
        <v>0</v>
      </c>
      <c r="AH122" s="106">
        <f t="shared" si="36"/>
        <v>0</v>
      </c>
      <c r="AI122" s="106">
        <f t="shared" si="36"/>
        <v>0</v>
      </c>
      <c r="AJ122" s="106">
        <f t="shared" si="36"/>
        <v>0</v>
      </c>
    </row>
    <row r="123" spans="2:36" s="27" customFormat="1" ht="15">
      <c r="B123" s="95" t="s">
        <v>70</v>
      </c>
      <c r="C123" s="95"/>
      <c r="D123" s="95"/>
      <c r="E123" s="105">
        <f t="shared" si="30"/>
        <v>0</v>
      </c>
      <c r="F123" s="105"/>
      <c r="G123" s="106">
        <f aca="true" t="shared" si="37" ref="G123:AJ124">$E106*G106</f>
        <v>0</v>
      </c>
      <c r="H123" s="106">
        <f t="shared" si="37"/>
        <v>0</v>
      </c>
      <c r="I123" s="106">
        <f t="shared" si="37"/>
        <v>0</v>
      </c>
      <c r="J123" s="106">
        <f t="shared" si="37"/>
        <v>0</v>
      </c>
      <c r="K123" s="106">
        <f t="shared" si="37"/>
        <v>0</v>
      </c>
      <c r="L123" s="106">
        <f t="shared" si="37"/>
        <v>0</v>
      </c>
      <c r="M123" s="106">
        <f t="shared" si="37"/>
        <v>0</v>
      </c>
      <c r="N123" s="106">
        <f t="shared" si="37"/>
        <v>0</v>
      </c>
      <c r="O123" s="106">
        <f t="shared" si="37"/>
        <v>0</v>
      </c>
      <c r="P123" s="106">
        <f t="shared" si="37"/>
        <v>0</v>
      </c>
      <c r="Q123" s="106">
        <f t="shared" si="37"/>
        <v>0</v>
      </c>
      <c r="R123" s="106">
        <f t="shared" si="37"/>
        <v>0</v>
      </c>
      <c r="S123" s="106">
        <f t="shared" si="37"/>
        <v>0</v>
      </c>
      <c r="T123" s="106">
        <f t="shared" si="37"/>
        <v>0</v>
      </c>
      <c r="U123" s="106">
        <f t="shared" si="37"/>
        <v>0</v>
      </c>
      <c r="V123" s="106">
        <f t="shared" si="37"/>
        <v>0</v>
      </c>
      <c r="W123" s="106">
        <f t="shared" si="37"/>
        <v>0</v>
      </c>
      <c r="X123" s="106">
        <f t="shared" si="37"/>
        <v>0</v>
      </c>
      <c r="Y123" s="106">
        <f t="shared" si="37"/>
        <v>0</v>
      </c>
      <c r="Z123" s="106">
        <f t="shared" si="37"/>
        <v>0</v>
      </c>
      <c r="AA123" s="106">
        <f t="shared" si="37"/>
        <v>0</v>
      </c>
      <c r="AB123" s="106">
        <f t="shared" si="37"/>
        <v>0</v>
      </c>
      <c r="AC123" s="106">
        <f t="shared" si="37"/>
        <v>0</v>
      </c>
      <c r="AD123" s="106">
        <f t="shared" si="37"/>
        <v>0</v>
      </c>
      <c r="AE123" s="106">
        <f t="shared" si="37"/>
        <v>0</v>
      </c>
      <c r="AF123" s="106">
        <f t="shared" si="37"/>
        <v>0</v>
      </c>
      <c r="AG123" s="106">
        <f t="shared" si="37"/>
        <v>0</v>
      </c>
      <c r="AH123" s="106">
        <f t="shared" si="37"/>
        <v>0</v>
      </c>
      <c r="AI123" s="106">
        <f t="shared" si="37"/>
        <v>0</v>
      </c>
      <c r="AJ123" s="106">
        <f t="shared" si="37"/>
        <v>0</v>
      </c>
    </row>
    <row r="124" spans="2:36" s="27" customFormat="1" ht="15">
      <c r="B124" s="95" t="s">
        <v>269</v>
      </c>
      <c r="C124" s="95"/>
      <c r="D124" s="95"/>
      <c r="E124" s="105">
        <f t="shared" si="30"/>
        <v>4726623.864622264</v>
      </c>
      <c r="F124" s="105"/>
      <c r="G124" s="106">
        <f t="shared" si="37"/>
        <v>4726623.864622264</v>
      </c>
      <c r="H124" s="106">
        <f t="shared" si="37"/>
        <v>0</v>
      </c>
      <c r="I124" s="106">
        <f t="shared" si="37"/>
        <v>0</v>
      </c>
      <c r="J124" s="106">
        <f t="shared" si="37"/>
        <v>0</v>
      </c>
      <c r="K124" s="106">
        <f t="shared" si="37"/>
        <v>0</v>
      </c>
      <c r="L124" s="106">
        <f t="shared" si="37"/>
        <v>0</v>
      </c>
      <c r="M124" s="106">
        <f t="shared" si="37"/>
        <v>0</v>
      </c>
      <c r="N124" s="106">
        <f t="shared" si="37"/>
        <v>0</v>
      </c>
      <c r="O124" s="106">
        <f t="shared" si="37"/>
        <v>0</v>
      </c>
      <c r="P124" s="106">
        <f t="shared" si="37"/>
        <v>0</v>
      </c>
      <c r="Q124" s="106">
        <f t="shared" si="37"/>
        <v>0</v>
      </c>
      <c r="R124" s="106">
        <f t="shared" si="37"/>
        <v>0</v>
      </c>
      <c r="S124" s="106">
        <f t="shared" si="37"/>
        <v>0</v>
      </c>
      <c r="T124" s="106">
        <f t="shared" si="37"/>
        <v>0</v>
      </c>
      <c r="U124" s="106">
        <f t="shared" si="37"/>
        <v>0</v>
      </c>
      <c r="V124" s="106">
        <f t="shared" si="37"/>
        <v>0</v>
      </c>
      <c r="W124" s="106">
        <f t="shared" si="37"/>
        <v>0</v>
      </c>
      <c r="X124" s="106">
        <f t="shared" si="37"/>
        <v>0</v>
      </c>
      <c r="Y124" s="106">
        <f t="shared" si="37"/>
        <v>0</v>
      </c>
      <c r="Z124" s="106">
        <f t="shared" si="37"/>
        <v>0</v>
      </c>
      <c r="AA124" s="106">
        <f t="shared" si="37"/>
        <v>0</v>
      </c>
      <c r="AB124" s="106">
        <f t="shared" si="37"/>
        <v>0</v>
      </c>
      <c r="AC124" s="106">
        <f t="shared" si="37"/>
        <v>0</v>
      </c>
      <c r="AD124" s="106">
        <f t="shared" si="37"/>
        <v>0</v>
      </c>
      <c r="AE124" s="106">
        <f t="shared" si="37"/>
        <v>0</v>
      </c>
      <c r="AF124" s="106">
        <f t="shared" si="37"/>
        <v>0</v>
      </c>
      <c r="AG124" s="106">
        <f t="shared" si="37"/>
        <v>0</v>
      </c>
      <c r="AH124" s="106">
        <f t="shared" si="37"/>
        <v>0</v>
      </c>
      <c r="AI124" s="106">
        <f t="shared" si="37"/>
        <v>0</v>
      </c>
      <c r="AJ124" s="106">
        <f t="shared" si="37"/>
        <v>0</v>
      </c>
    </row>
    <row r="125" spans="2:36" s="27" customFormat="1" ht="15">
      <c r="B125" s="108" t="s">
        <v>25</v>
      </c>
      <c r="C125" s="108"/>
      <c r="D125" s="108"/>
      <c r="E125" s="109">
        <f>E108</f>
        <v>0</v>
      </c>
      <c r="F125" s="105"/>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row>
    <row r="126" spans="2:36" s="27" customFormat="1" ht="15">
      <c r="B126" s="110" t="s">
        <v>72</v>
      </c>
      <c r="C126" s="110"/>
      <c r="D126" s="110"/>
      <c r="E126" s="105">
        <f>SUM(E116:E125)</f>
        <v>4726623.864622264</v>
      </c>
      <c r="F126" s="111" t="str">
        <f>IF(ROUND(E126,0)=ROUND(E110,0),"OK","error")</f>
        <v>OK</v>
      </c>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row>
    <row r="127" spans="2:36" s="27" customFormat="1" ht="15">
      <c r="B127" s="110"/>
      <c r="C127" s="110"/>
      <c r="D127" s="110"/>
      <c r="E127" s="105"/>
      <c r="F127" s="111"/>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row>
    <row r="128" spans="2:36" s="27" customFormat="1" ht="15.75">
      <c r="B128" s="97" t="s">
        <v>137</v>
      </c>
      <c r="C128" s="97"/>
      <c r="D128" s="97"/>
      <c r="E128" s="105"/>
      <c r="F128" s="111"/>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row>
    <row r="129" spans="2:36" s="27" customFormat="1" ht="15">
      <c r="B129" s="95" t="s">
        <v>138</v>
      </c>
      <c r="C129" s="95"/>
      <c r="D129" s="95"/>
      <c r="E129" s="105">
        <f>'CREST Inputs'!$Q$51*'CREST Inputs'!$G$8*1000</f>
        <v>346666.6666666667</v>
      </c>
      <c r="F129" s="111"/>
      <c r="G129" s="107">
        <f>IF(G$2='CREST Inputs'!$Q$50,'Cash Flow'!$E$129,0)</f>
        <v>0</v>
      </c>
      <c r="H129" s="107">
        <f>IF(H$2='CREST Inputs'!$Q$50,'Cash Flow'!$E$129,0)</f>
        <v>0</v>
      </c>
      <c r="I129" s="107">
        <f>IF(I$2='CREST Inputs'!$Q$50,'Cash Flow'!$E$129,0)</f>
        <v>0</v>
      </c>
      <c r="J129" s="107">
        <f>IF(J$2='CREST Inputs'!$Q$50,'Cash Flow'!$E$129,0)</f>
        <v>0</v>
      </c>
      <c r="K129" s="107">
        <f>IF(K$2='CREST Inputs'!$Q$50,'Cash Flow'!$E$129,0)</f>
        <v>0</v>
      </c>
      <c r="L129" s="107">
        <f>IF(L$2='CREST Inputs'!$Q$50,'Cash Flow'!$E$129,0)</f>
        <v>0</v>
      </c>
      <c r="M129" s="107">
        <f>IF(M$2='CREST Inputs'!$Q$50,'Cash Flow'!$E$129,0)</f>
        <v>0</v>
      </c>
      <c r="N129" s="107">
        <f>IF(N$2='CREST Inputs'!$Q$50,'Cash Flow'!$E$129,0)</f>
        <v>0</v>
      </c>
      <c r="O129" s="107">
        <f>IF(O$2='CREST Inputs'!$Q$50,'Cash Flow'!$E$129,0)</f>
        <v>0</v>
      </c>
      <c r="P129" s="107">
        <f>IF(P$2='CREST Inputs'!$Q$50,'Cash Flow'!$E$129,0)</f>
        <v>346666.6666666667</v>
      </c>
      <c r="Q129" s="107">
        <f>IF(Q$2='CREST Inputs'!$Q$50,'Cash Flow'!$E$129,0)</f>
        <v>0</v>
      </c>
      <c r="R129" s="107">
        <f>IF(R$2='CREST Inputs'!$Q$50,'Cash Flow'!$E$129,0)</f>
        <v>0</v>
      </c>
      <c r="S129" s="107">
        <f>IF(S$2='CREST Inputs'!$Q$50,'Cash Flow'!$E$129,0)</f>
        <v>0</v>
      </c>
      <c r="T129" s="107">
        <f>IF(T$2='CREST Inputs'!$Q$50,'Cash Flow'!$E$129,0)</f>
        <v>0</v>
      </c>
      <c r="U129" s="107">
        <f>IF(U$2='CREST Inputs'!$Q$50,'Cash Flow'!$E$129,0)</f>
        <v>0</v>
      </c>
      <c r="V129" s="107">
        <f>IF(V$2='CREST Inputs'!$Q$50,'Cash Flow'!$E$129,0)</f>
        <v>0</v>
      </c>
      <c r="W129" s="107">
        <f>IF(W$2='CREST Inputs'!$Q$50,'Cash Flow'!$E$129,0)</f>
        <v>0</v>
      </c>
      <c r="X129" s="107">
        <f>IF(X$2='CREST Inputs'!$Q$50,'Cash Flow'!$E$129,0)</f>
        <v>0</v>
      </c>
      <c r="Y129" s="107">
        <f>IF(Y$2='CREST Inputs'!$Q$50,'Cash Flow'!$E$129,0)</f>
        <v>0</v>
      </c>
      <c r="Z129" s="107">
        <f>IF(Z$2='CREST Inputs'!$Q$50,'Cash Flow'!$E$129,0)</f>
        <v>0</v>
      </c>
      <c r="AA129" s="107">
        <f>IF(AA$2='CREST Inputs'!$Q$50,'Cash Flow'!$E$129,0)</f>
        <v>0</v>
      </c>
      <c r="AB129" s="107">
        <f>IF(AB$2='CREST Inputs'!$Q$50,'Cash Flow'!$E$129,0)</f>
        <v>0</v>
      </c>
      <c r="AC129" s="107">
        <f>IF(AC$2='CREST Inputs'!$Q$50,'Cash Flow'!$E$129,0)</f>
        <v>0</v>
      </c>
      <c r="AD129" s="107">
        <f>IF(AD$2='CREST Inputs'!$Q$50,'Cash Flow'!$E$129,0)</f>
        <v>0</v>
      </c>
      <c r="AE129" s="107">
        <f>IF(AE$2='CREST Inputs'!$Q$50,'Cash Flow'!$E$129,0)</f>
        <v>0</v>
      </c>
      <c r="AF129" s="107">
        <f>IF(AF$2='CREST Inputs'!$Q$50,'Cash Flow'!$E$129,0)</f>
        <v>0</v>
      </c>
      <c r="AG129" s="107">
        <f>IF(AG$2='CREST Inputs'!$Q$50,'Cash Flow'!$E$129,0)</f>
        <v>0</v>
      </c>
      <c r="AH129" s="107">
        <f>IF(AH$2='CREST Inputs'!$Q$50,'Cash Flow'!$E$129,0)</f>
        <v>0</v>
      </c>
      <c r="AI129" s="107">
        <f>IF(AI$2='CREST Inputs'!$Q$50,'Cash Flow'!$E$129,0)</f>
        <v>0</v>
      </c>
      <c r="AJ129" s="107">
        <f>IF(AJ$2='CREST Inputs'!$Q$50,'Cash Flow'!$E$129,0)</f>
        <v>0</v>
      </c>
    </row>
    <row r="130" spans="2:36" s="27" customFormat="1" ht="15">
      <c r="B130" s="95" t="s">
        <v>140</v>
      </c>
      <c r="C130" s="95"/>
      <c r="D130" s="95"/>
      <c r="E130" s="105"/>
      <c r="F130" s="111"/>
      <c r="G130" s="112">
        <f>IF(G129&gt;0,1,IF(F130&gt;0,F130+1,0))</f>
        <v>0</v>
      </c>
      <c r="H130" s="112">
        <f aca="true" t="shared" si="38" ref="H130:AJ130">IF(H129&gt;0,1,IF(G130&gt;0,G130+1,0))</f>
        <v>0</v>
      </c>
      <c r="I130" s="112">
        <f t="shared" si="38"/>
        <v>0</v>
      </c>
      <c r="J130" s="112">
        <f t="shared" si="38"/>
        <v>0</v>
      </c>
      <c r="K130" s="112">
        <f t="shared" si="38"/>
        <v>0</v>
      </c>
      <c r="L130" s="112">
        <f t="shared" si="38"/>
        <v>0</v>
      </c>
      <c r="M130" s="112">
        <f t="shared" si="38"/>
        <v>0</v>
      </c>
      <c r="N130" s="112">
        <f t="shared" si="38"/>
        <v>0</v>
      </c>
      <c r="O130" s="112">
        <f t="shared" si="38"/>
        <v>0</v>
      </c>
      <c r="P130" s="112">
        <f t="shared" si="38"/>
        <v>1</v>
      </c>
      <c r="Q130" s="112">
        <f t="shared" si="38"/>
        <v>2</v>
      </c>
      <c r="R130" s="112">
        <f t="shared" si="38"/>
        <v>3</v>
      </c>
      <c r="S130" s="112">
        <f t="shared" si="38"/>
        <v>4</v>
      </c>
      <c r="T130" s="112">
        <f t="shared" si="38"/>
        <v>5</v>
      </c>
      <c r="U130" s="112">
        <f t="shared" si="38"/>
        <v>6</v>
      </c>
      <c r="V130" s="112">
        <f t="shared" si="38"/>
        <v>7</v>
      </c>
      <c r="W130" s="112">
        <f t="shared" si="38"/>
        <v>8</v>
      </c>
      <c r="X130" s="112">
        <f t="shared" si="38"/>
        <v>9</v>
      </c>
      <c r="Y130" s="112">
        <f t="shared" si="38"/>
        <v>10</v>
      </c>
      <c r="Z130" s="112">
        <f t="shared" si="38"/>
        <v>11</v>
      </c>
      <c r="AA130" s="112">
        <f t="shared" si="38"/>
        <v>12</v>
      </c>
      <c r="AB130" s="112">
        <f t="shared" si="38"/>
        <v>13</v>
      </c>
      <c r="AC130" s="112">
        <f t="shared" si="38"/>
        <v>14</v>
      </c>
      <c r="AD130" s="112">
        <f t="shared" si="38"/>
        <v>15</v>
      </c>
      <c r="AE130" s="112">
        <f t="shared" si="38"/>
        <v>16</v>
      </c>
      <c r="AF130" s="112">
        <f t="shared" si="38"/>
        <v>17</v>
      </c>
      <c r="AG130" s="112">
        <f t="shared" si="38"/>
        <v>18</v>
      </c>
      <c r="AH130" s="112">
        <f t="shared" si="38"/>
        <v>19</v>
      </c>
      <c r="AI130" s="112">
        <f t="shared" si="38"/>
        <v>20</v>
      </c>
      <c r="AJ130" s="112">
        <f t="shared" si="38"/>
        <v>21</v>
      </c>
    </row>
    <row r="131" spans="2:36" s="27" customFormat="1" ht="15">
      <c r="B131" s="95" t="s">
        <v>141</v>
      </c>
      <c r="C131" s="95"/>
      <c r="D131" s="95"/>
      <c r="E131" s="105"/>
      <c r="F131" s="111"/>
      <c r="G131" s="107">
        <f aca="true" t="shared" si="39" ref="G131:AJ131">IF(G130=0,0,$E$129*LOOKUP(G130,$G$97:$AJ$97,$G$99:$AJ$99))</f>
        <v>0</v>
      </c>
      <c r="H131" s="107">
        <f t="shared" si="39"/>
        <v>0</v>
      </c>
      <c r="I131" s="107">
        <f t="shared" si="39"/>
        <v>0</v>
      </c>
      <c r="J131" s="107">
        <f t="shared" si="39"/>
        <v>0</v>
      </c>
      <c r="K131" s="107">
        <f t="shared" si="39"/>
        <v>0</v>
      </c>
      <c r="L131" s="107">
        <f t="shared" si="39"/>
        <v>0</v>
      </c>
      <c r="M131" s="107">
        <f t="shared" si="39"/>
        <v>0</v>
      </c>
      <c r="N131" s="107">
        <f t="shared" si="39"/>
        <v>0</v>
      </c>
      <c r="O131" s="107">
        <f t="shared" si="39"/>
        <v>0</v>
      </c>
      <c r="P131" s="107">
        <f t="shared" si="39"/>
        <v>69333.33333333334</v>
      </c>
      <c r="Q131" s="107">
        <f t="shared" si="39"/>
        <v>110933.33333333334</v>
      </c>
      <c r="R131" s="107">
        <f t="shared" si="39"/>
        <v>66560</v>
      </c>
      <c r="S131" s="107">
        <f t="shared" si="39"/>
        <v>39936</v>
      </c>
      <c r="T131" s="107">
        <f t="shared" si="39"/>
        <v>39936</v>
      </c>
      <c r="U131" s="107">
        <f t="shared" si="39"/>
        <v>19968</v>
      </c>
      <c r="V131" s="107">
        <f t="shared" si="39"/>
        <v>0</v>
      </c>
      <c r="W131" s="107">
        <f t="shared" si="39"/>
        <v>0</v>
      </c>
      <c r="X131" s="107">
        <f t="shared" si="39"/>
        <v>0</v>
      </c>
      <c r="Y131" s="107">
        <f t="shared" si="39"/>
        <v>0</v>
      </c>
      <c r="Z131" s="107">
        <f t="shared" si="39"/>
        <v>0</v>
      </c>
      <c r="AA131" s="107">
        <f t="shared" si="39"/>
        <v>0</v>
      </c>
      <c r="AB131" s="107">
        <f t="shared" si="39"/>
        <v>0</v>
      </c>
      <c r="AC131" s="107">
        <f t="shared" si="39"/>
        <v>0</v>
      </c>
      <c r="AD131" s="107">
        <f t="shared" si="39"/>
        <v>0</v>
      </c>
      <c r="AE131" s="107">
        <f t="shared" si="39"/>
        <v>0</v>
      </c>
      <c r="AF131" s="107">
        <f t="shared" si="39"/>
        <v>0</v>
      </c>
      <c r="AG131" s="107">
        <f t="shared" si="39"/>
        <v>0</v>
      </c>
      <c r="AH131" s="107">
        <f t="shared" si="39"/>
        <v>0</v>
      </c>
      <c r="AI131" s="107">
        <f t="shared" si="39"/>
        <v>0</v>
      </c>
      <c r="AJ131" s="107">
        <f t="shared" si="39"/>
        <v>0</v>
      </c>
    </row>
    <row r="132" spans="2:36" s="27" customFormat="1" ht="15">
      <c r="B132" s="95" t="s">
        <v>139</v>
      </c>
      <c r="C132" s="95"/>
      <c r="D132" s="95"/>
      <c r="E132" s="105">
        <f>'CREST Inputs'!$Q$53*'CREST Inputs'!$G$8*1000</f>
        <v>0</v>
      </c>
      <c r="F132" s="111"/>
      <c r="G132" s="107">
        <f>IF(G$2='CREST Inputs'!$Q$52,'Cash Flow'!$E$132,0)</f>
        <v>0</v>
      </c>
      <c r="H132" s="107">
        <f>IF(H$2='CREST Inputs'!$Q$52,'Cash Flow'!$E$132,0)</f>
        <v>0</v>
      </c>
      <c r="I132" s="107">
        <f>IF(I$2='CREST Inputs'!$Q$52,'Cash Flow'!$E$132,0)</f>
        <v>0</v>
      </c>
      <c r="J132" s="107">
        <f>IF(J$2='CREST Inputs'!$Q$52,'Cash Flow'!$E$132,0)</f>
        <v>0</v>
      </c>
      <c r="K132" s="107">
        <f>IF(K$2='CREST Inputs'!$Q$52,'Cash Flow'!$E$132,0)</f>
        <v>0</v>
      </c>
      <c r="L132" s="107">
        <f>IF(L$2='CREST Inputs'!$Q$52,'Cash Flow'!$E$132,0)</f>
        <v>0</v>
      </c>
      <c r="M132" s="107">
        <f>IF(M$2='CREST Inputs'!$Q$52,'Cash Flow'!$E$132,0)</f>
        <v>0</v>
      </c>
      <c r="N132" s="107">
        <f>IF(N$2='CREST Inputs'!$Q$52,'Cash Flow'!$E$132,0)</f>
        <v>0</v>
      </c>
      <c r="O132" s="107">
        <f>IF(O$2='CREST Inputs'!$Q$52,'Cash Flow'!$E$132,0)</f>
        <v>0</v>
      </c>
      <c r="P132" s="107">
        <f>IF(P$2='CREST Inputs'!$Q$52,'Cash Flow'!$E$132,0)</f>
        <v>0</v>
      </c>
      <c r="Q132" s="107">
        <f>IF(Q$2='CREST Inputs'!$Q$52,'Cash Flow'!$E$132,0)</f>
        <v>0</v>
      </c>
      <c r="R132" s="107">
        <f>IF(R$2='CREST Inputs'!$Q$52,'Cash Flow'!$E$132,0)</f>
        <v>0</v>
      </c>
      <c r="S132" s="107">
        <f>IF(S$2='CREST Inputs'!$Q$52,'Cash Flow'!$E$132,0)</f>
        <v>0</v>
      </c>
      <c r="T132" s="107">
        <f>IF(T$2='CREST Inputs'!$Q$52,'Cash Flow'!$E$132,0)</f>
        <v>0</v>
      </c>
      <c r="U132" s="107">
        <f>IF(U$2='CREST Inputs'!$Q$52,'Cash Flow'!$E$132,0)</f>
        <v>0</v>
      </c>
      <c r="V132" s="107">
        <f>IF(V$2='CREST Inputs'!$Q$52,'Cash Flow'!$E$132,0)</f>
        <v>0</v>
      </c>
      <c r="W132" s="107">
        <f>IF(W$2='CREST Inputs'!$Q$52,'Cash Flow'!$E$132,0)</f>
        <v>0</v>
      </c>
      <c r="X132" s="107">
        <f>IF(X$2='CREST Inputs'!$Q$52,'Cash Flow'!$E$132,0)</f>
        <v>0</v>
      </c>
      <c r="Y132" s="107">
        <f>IF(Y$2='CREST Inputs'!$Q$52,'Cash Flow'!$E$132,0)</f>
        <v>0</v>
      </c>
      <c r="Z132" s="107">
        <f>IF(Z$2='CREST Inputs'!$Q$52,'Cash Flow'!$E$132,0)</f>
        <v>0</v>
      </c>
      <c r="AA132" s="107">
        <f>IF(AA$2='CREST Inputs'!$Q$52,'Cash Flow'!$E$132,0)</f>
        <v>0</v>
      </c>
      <c r="AB132" s="107">
        <f>IF(AB$2='CREST Inputs'!$Q$52,'Cash Flow'!$E$132,0)</f>
        <v>0</v>
      </c>
      <c r="AC132" s="107">
        <f>IF(AC$2='CREST Inputs'!$Q$52,'Cash Flow'!$E$132,0)</f>
        <v>0</v>
      </c>
      <c r="AD132" s="107">
        <f>IF(AD$2='CREST Inputs'!$Q$52,'Cash Flow'!$E$132,0)</f>
        <v>0</v>
      </c>
      <c r="AE132" s="107">
        <f>IF(AE$2='CREST Inputs'!$Q$52,'Cash Flow'!$E$132,0)</f>
        <v>0</v>
      </c>
      <c r="AF132" s="107">
        <f>IF(AF$2='CREST Inputs'!$Q$52,'Cash Flow'!$E$132,0)</f>
        <v>0</v>
      </c>
      <c r="AG132" s="107">
        <f>IF(AG$2='CREST Inputs'!$Q$52,'Cash Flow'!$E$132,0)</f>
        <v>0</v>
      </c>
      <c r="AH132" s="107">
        <f>IF(AH$2='CREST Inputs'!$Q$52,'Cash Flow'!$E$132,0)</f>
        <v>0</v>
      </c>
      <c r="AI132" s="107">
        <f>IF(AI$2='CREST Inputs'!$Q$52,'Cash Flow'!$E$132,0)</f>
        <v>0</v>
      </c>
      <c r="AJ132" s="107">
        <f>IF(AJ$2='CREST Inputs'!$Q$52,'Cash Flow'!$E$132,0)</f>
        <v>0</v>
      </c>
    </row>
    <row r="133" spans="2:36" s="27" customFormat="1" ht="15">
      <c r="B133" s="95" t="s">
        <v>140</v>
      </c>
      <c r="C133" s="95"/>
      <c r="D133" s="95"/>
      <c r="E133" s="105"/>
      <c r="F133" s="111"/>
      <c r="G133" s="112">
        <f aca="true" t="shared" si="40" ref="G133:AJ133">IF(G132&gt;0,1,IF(F133&gt;0,F133+1,0))</f>
        <v>0</v>
      </c>
      <c r="H133" s="112">
        <f t="shared" si="40"/>
        <v>0</v>
      </c>
      <c r="I133" s="112">
        <f t="shared" si="40"/>
        <v>0</v>
      </c>
      <c r="J133" s="112">
        <f t="shared" si="40"/>
        <v>0</v>
      </c>
      <c r="K133" s="112">
        <f t="shared" si="40"/>
        <v>0</v>
      </c>
      <c r="L133" s="112">
        <f t="shared" si="40"/>
        <v>0</v>
      </c>
      <c r="M133" s="112">
        <f t="shared" si="40"/>
        <v>0</v>
      </c>
      <c r="N133" s="112">
        <f t="shared" si="40"/>
        <v>0</v>
      </c>
      <c r="O133" s="112">
        <f t="shared" si="40"/>
        <v>0</v>
      </c>
      <c r="P133" s="112">
        <f t="shared" si="40"/>
        <v>0</v>
      </c>
      <c r="Q133" s="112">
        <f t="shared" si="40"/>
        <v>0</v>
      </c>
      <c r="R133" s="112">
        <f t="shared" si="40"/>
        <v>0</v>
      </c>
      <c r="S133" s="112">
        <f t="shared" si="40"/>
        <v>0</v>
      </c>
      <c r="T133" s="112">
        <f t="shared" si="40"/>
        <v>0</v>
      </c>
      <c r="U133" s="112">
        <f t="shared" si="40"/>
        <v>0</v>
      </c>
      <c r="V133" s="112">
        <f t="shared" si="40"/>
        <v>0</v>
      </c>
      <c r="W133" s="112">
        <f t="shared" si="40"/>
        <v>0</v>
      </c>
      <c r="X133" s="112">
        <f t="shared" si="40"/>
        <v>0</v>
      </c>
      <c r="Y133" s="112">
        <f t="shared" si="40"/>
        <v>0</v>
      </c>
      <c r="Z133" s="112">
        <f t="shared" si="40"/>
        <v>0</v>
      </c>
      <c r="AA133" s="112">
        <f t="shared" si="40"/>
        <v>0</v>
      </c>
      <c r="AB133" s="112">
        <f t="shared" si="40"/>
        <v>0</v>
      </c>
      <c r="AC133" s="112">
        <f t="shared" si="40"/>
        <v>0</v>
      </c>
      <c r="AD133" s="112">
        <f t="shared" si="40"/>
        <v>0</v>
      </c>
      <c r="AE133" s="112">
        <f t="shared" si="40"/>
        <v>0</v>
      </c>
      <c r="AF133" s="112">
        <f t="shared" si="40"/>
        <v>0</v>
      </c>
      <c r="AG133" s="112">
        <f t="shared" si="40"/>
        <v>0</v>
      </c>
      <c r="AH133" s="112">
        <f t="shared" si="40"/>
        <v>0</v>
      </c>
      <c r="AI133" s="112">
        <f t="shared" si="40"/>
        <v>0</v>
      </c>
      <c r="AJ133" s="112">
        <f t="shared" si="40"/>
        <v>0</v>
      </c>
    </row>
    <row r="134" spans="2:36" s="27" customFormat="1" ht="15">
      <c r="B134" s="95" t="s">
        <v>141</v>
      </c>
      <c r="C134" s="95"/>
      <c r="D134" s="95"/>
      <c r="E134" s="105"/>
      <c r="F134" s="111"/>
      <c r="G134" s="107">
        <f aca="true" t="shared" si="41" ref="G134:AJ134">IF(G133=0,0,$E$132*LOOKUP(G133,$G$97:$AJ$97,$G$99:$AJ$99))</f>
        <v>0</v>
      </c>
      <c r="H134" s="107">
        <f t="shared" si="41"/>
        <v>0</v>
      </c>
      <c r="I134" s="107">
        <f t="shared" si="41"/>
        <v>0</v>
      </c>
      <c r="J134" s="107">
        <f t="shared" si="41"/>
        <v>0</v>
      </c>
      <c r="K134" s="107">
        <f t="shared" si="41"/>
        <v>0</v>
      </c>
      <c r="L134" s="107">
        <f t="shared" si="41"/>
        <v>0</v>
      </c>
      <c r="M134" s="107">
        <f t="shared" si="41"/>
        <v>0</v>
      </c>
      <c r="N134" s="107">
        <f t="shared" si="41"/>
        <v>0</v>
      </c>
      <c r="O134" s="107">
        <f t="shared" si="41"/>
        <v>0</v>
      </c>
      <c r="P134" s="107">
        <f t="shared" si="41"/>
        <v>0</v>
      </c>
      <c r="Q134" s="107">
        <f t="shared" si="41"/>
        <v>0</v>
      </c>
      <c r="R134" s="107">
        <f t="shared" si="41"/>
        <v>0</v>
      </c>
      <c r="S134" s="107">
        <f t="shared" si="41"/>
        <v>0</v>
      </c>
      <c r="T134" s="107">
        <f t="shared" si="41"/>
        <v>0</v>
      </c>
      <c r="U134" s="107">
        <f t="shared" si="41"/>
        <v>0</v>
      </c>
      <c r="V134" s="107">
        <f t="shared" si="41"/>
        <v>0</v>
      </c>
      <c r="W134" s="107">
        <f t="shared" si="41"/>
        <v>0</v>
      </c>
      <c r="X134" s="107">
        <f t="shared" si="41"/>
        <v>0</v>
      </c>
      <c r="Y134" s="107">
        <f t="shared" si="41"/>
        <v>0</v>
      </c>
      <c r="Z134" s="107">
        <f t="shared" si="41"/>
        <v>0</v>
      </c>
      <c r="AA134" s="107">
        <f t="shared" si="41"/>
        <v>0</v>
      </c>
      <c r="AB134" s="107">
        <f t="shared" si="41"/>
        <v>0</v>
      </c>
      <c r="AC134" s="107">
        <f t="shared" si="41"/>
        <v>0</v>
      </c>
      <c r="AD134" s="107">
        <f t="shared" si="41"/>
        <v>0</v>
      </c>
      <c r="AE134" s="107">
        <f t="shared" si="41"/>
        <v>0</v>
      </c>
      <c r="AF134" s="107">
        <f t="shared" si="41"/>
        <v>0</v>
      </c>
      <c r="AG134" s="107">
        <f t="shared" si="41"/>
        <v>0</v>
      </c>
      <c r="AH134" s="107">
        <f t="shared" si="41"/>
        <v>0</v>
      </c>
      <c r="AI134" s="107">
        <f t="shared" si="41"/>
        <v>0</v>
      </c>
      <c r="AJ134" s="107">
        <f t="shared" si="41"/>
        <v>0</v>
      </c>
    </row>
    <row r="135" spans="2:36" s="27" customFormat="1" ht="15">
      <c r="B135" s="110"/>
      <c r="C135" s="110"/>
      <c r="D135" s="110"/>
      <c r="E135" s="105"/>
      <c r="F135" s="111"/>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row>
    <row r="136" spans="2:36" s="27" customFormat="1" ht="15">
      <c r="B136" s="95" t="s">
        <v>190</v>
      </c>
      <c r="C136" s="95"/>
      <c r="D136" s="95"/>
      <c r="E136" s="104"/>
      <c r="F136" s="143"/>
      <c r="G136" s="113">
        <f>IF(AND('CREST Inputs'!$G$73="Yes",G$2&lt;='CREST Inputs'!$G$15),SUM('Cash Flow'!G116:G124)+G131+G134,0)</f>
        <v>0</v>
      </c>
      <c r="H136" s="113">
        <f>IF(AND('CREST Inputs'!$G$73="Yes",H$2&lt;='CREST Inputs'!$G$15),SUM('Cash Flow'!H116:H124)+H131+H134,0)</f>
        <v>0</v>
      </c>
      <c r="I136" s="113">
        <f>IF(AND('CREST Inputs'!$G$73="Yes",I$2&lt;='CREST Inputs'!$G$15),SUM('Cash Flow'!I116:I124)+I131+I134,0)</f>
        <v>0</v>
      </c>
      <c r="J136" s="113">
        <f>IF(AND('CREST Inputs'!$G$73="Yes",J$2&lt;='CREST Inputs'!$G$15),SUM('Cash Flow'!J116:J124)+J131+J134,0)</f>
        <v>0</v>
      </c>
      <c r="K136" s="113">
        <f>IF(AND('CREST Inputs'!$G$73="Yes",K$2&lt;='CREST Inputs'!$G$15),SUM('Cash Flow'!K116:K124)+K131+K134,0)</f>
        <v>0</v>
      </c>
      <c r="L136" s="113">
        <f>IF(AND('CREST Inputs'!$G$73="Yes",L$2&lt;='CREST Inputs'!$G$15),SUM('Cash Flow'!L116:L124)+L131+L134,0)</f>
        <v>0</v>
      </c>
      <c r="M136" s="113">
        <f>IF(AND('CREST Inputs'!$G$73="Yes",M$2&lt;='CREST Inputs'!$G$15),SUM('Cash Flow'!M116:M124)+M131+M134,0)</f>
        <v>0</v>
      </c>
      <c r="N136" s="113">
        <f>IF(AND('CREST Inputs'!$G$73="Yes",N$2&lt;='CREST Inputs'!$G$15),SUM('Cash Flow'!N116:N124)+N131+N134,0)</f>
        <v>0</v>
      </c>
      <c r="O136" s="113">
        <f>IF(AND('CREST Inputs'!$G$73="Yes",O$2&lt;='CREST Inputs'!$G$15),SUM('Cash Flow'!O116:O124)+O131+O134,0)</f>
        <v>0</v>
      </c>
      <c r="P136" s="113">
        <f>IF(AND('CREST Inputs'!$G$73="Yes",P$2&lt;='CREST Inputs'!$G$15),SUM('Cash Flow'!P116:P124)+P131+P134,0)</f>
        <v>0</v>
      </c>
      <c r="Q136" s="113">
        <f>IF(AND('CREST Inputs'!$G$73="Yes",Q$2&lt;='CREST Inputs'!$G$15),SUM('Cash Flow'!Q116:Q124)+Q131+Q134,0)</f>
        <v>0</v>
      </c>
      <c r="R136" s="113">
        <f>IF(AND('CREST Inputs'!$G$73="Yes",R$2&lt;='CREST Inputs'!$G$15),SUM('Cash Flow'!R116:R124)+R131+R134,0)</f>
        <v>0</v>
      </c>
      <c r="S136" s="113">
        <f>IF(AND('CREST Inputs'!$G$73="Yes",S$2&lt;='CREST Inputs'!$G$15),SUM('Cash Flow'!S116:S124)+S131+S134,0)</f>
        <v>0</v>
      </c>
      <c r="T136" s="113">
        <f>IF(AND('CREST Inputs'!$G$73="Yes",T$2&lt;='CREST Inputs'!$G$15),SUM('Cash Flow'!T116:T124)+T131+T134,0)</f>
        <v>0</v>
      </c>
      <c r="U136" s="113">
        <f>IF(AND('CREST Inputs'!$G$73="Yes",U$2&lt;='CREST Inputs'!$G$15),SUM('Cash Flow'!U116:U124)+U131+U134,0)</f>
        <v>0</v>
      </c>
      <c r="V136" s="113">
        <f>IF(AND('CREST Inputs'!$G$73="Yes",V$2&lt;='CREST Inputs'!$G$15),SUM('Cash Flow'!V116:V124)+V131+V134,0)</f>
        <v>0</v>
      </c>
      <c r="W136" s="113">
        <f>IF(AND('CREST Inputs'!$G$73="Yes",W$2&lt;='CREST Inputs'!$G$15),SUM('Cash Flow'!W116:W124)+W131+W134,0)</f>
        <v>0</v>
      </c>
      <c r="X136" s="113">
        <f>IF(AND('CREST Inputs'!$G$73="Yes",X$2&lt;='CREST Inputs'!$G$15),SUM('Cash Flow'!X116:X124)+X131+X134,0)</f>
        <v>0</v>
      </c>
      <c r="Y136" s="113">
        <f>IF(AND('CREST Inputs'!$G$73="Yes",Y$2&lt;='CREST Inputs'!$G$15),SUM('Cash Flow'!Y116:Y124)+Y131+Y134,0)</f>
        <v>0</v>
      </c>
      <c r="Z136" s="113">
        <f>IF(AND('CREST Inputs'!$G$73="Yes",Z$2&lt;='CREST Inputs'!$G$15),SUM('Cash Flow'!Z116:Z124)+Z131+Z134,0)</f>
        <v>0</v>
      </c>
      <c r="AA136" s="113">
        <f>IF(AND('CREST Inputs'!$G$73="Yes",AA$2&lt;='CREST Inputs'!$G$15),SUM('Cash Flow'!AA116:AA124)+AA131+AA134,0)</f>
        <v>0</v>
      </c>
      <c r="AB136" s="113">
        <f>IF(AND('CREST Inputs'!$G$73="Yes",AB$2&lt;='CREST Inputs'!$G$15),SUM('Cash Flow'!AB116:AB124)+AB131+AB134,0)</f>
        <v>0</v>
      </c>
      <c r="AC136" s="113">
        <f>IF(AND('CREST Inputs'!$G$73="Yes",AC$2&lt;='CREST Inputs'!$G$15),SUM('Cash Flow'!AC116:AC124)+AC131+AC134,0)</f>
        <v>0</v>
      </c>
      <c r="AD136" s="113">
        <f>IF(AND('CREST Inputs'!$G$73="Yes",AD$2&lt;='CREST Inputs'!$G$15),SUM('Cash Flow'!AD116:AD124)+AD131+AD134,0)</f>
        <v>0</v>
      </c>
      <c r="AE136" s="113">
        <f>IF(AND('CREST Inputs'!$G$73="Yes",AE$2&lt;='CREST Inputs'!$G$15),SUM('Cash Flow'!AE116:AE124)+AE131+AE134,0)</f>
        <v>0</v>
      </c>
      <c r="AF136" s="113">
        <f>IF(AND('CREST Inputs'!$G$73="Yes",AF$2&lt;='CREST Inputs'!$G$15),SUM('Cash Flow'!AF116:AF124)+AF131+AF134,0)</f>
        <v>0</v>
      </c>
      <c r="AG136" s="113">
        <f>IF(AND('CREST Inputs'!$G$73="Yes",AG$2&lt;='CREST Inputs'!$G$15),SUM('Cash Flow'!AG116:AG124)+AG131+AG134,0)</f>
        <v>0</v>
      </c>
      <c r="AH136" s="113">
        <f>IF(AND('CREST Inputs'!$G$73="Yes",AH$2&lt;='CREST Inputs'!$G$15),SUM('Cash Flow'!AH116:AH124)+AH131+AH134,0)</f>
        <v>0</v>
      </c>
      <c r="AI136" s="113">
        <f>IF(AND('CREST Inputs'!$G$73="Yes",AI$2&lt;='CREST Inputs'!$G$15),SUM('Cash Flow'!AI116:AI124)+AI131+AI134,0)</f>
        <v>0</v>
      </c>
      <c r="AJ136" s="113">
        <f>IF(AND('CREST Inputs'!$G$73="Yes",AJ$2&lt;='CREST Inputs'!$G$15),SUM('Cash Flow'!AJ116:AJ124)+AJ131+AJ134,0)</f>
        <v>0</v>
      </c>
    </row>
    <row r="137" spans="2:36" s="27" customFormat="1" ht="15">
      <c r="B137" s="95"/>
      <c r="C137" s="95"/>
      <c r="D137" s="95"/>
      <c r="E137" s="104"/>
      <c r="F137" s="14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row>
    <row r="138" spans="2:36" s="27" customFormat="1" ht="15">
      <c r="B138" s="95" t="s">
        <v>160</v>
      </c>
      <c r="C138" s="95"/>
      <c r="D138" s="95"/>
      <c r="E138" s="104"/>
      <c r="F138" s="143"/>
      <c r="G138" s="115">
        <f>G136*'CREST Inputs'!$G$78</f>
        <v>0</v>
      </c>
      <c r="H138" s="115">
        <f>H136*'CREST Inputs'!$G$78</f>
        <v>0</v>
      </c>
      <c r="I138" s="115">
        <f>I136*'CREST Inputs'!$G$78</f>
        <v>0</v>
      </c>
      <c r="J138" s="115">
        <f>J136*'CREST Inputs'!$G$78</f>
        <v>0</v>
      </c>
      <c r="K138" s="115">
        <f>K136*'CREST Inputs'!$G$78</f>
        <v>0</v>
      </c>
      <c r="L138" s="115">
        <f>L136*'CREST Inputs'!$G$78</f>
        <v>0</v>
      </c>
      <c r="M138" s="115">
        <f>M136*'CREST Inputs'!$G$78</f>
        <v>0</v>
      </c>
      <c r="N138" s="115">
        <f>N136*'CREST Inputs'!$G$78</f>
        <v>0</v>
      </c>
      <c r="O138" s="115">
        <f>O136*'CREST Inputs'!$G$78</f>
        <v>0</v>
      </c>
      <c r="P138" s="115">
        <f>P136*'CREST Inputs'!$G$78</f>
        <v>0</v>
      </c>
      <c r="Q138" s="115">
        <f>Q136*'CREST Inputs'!$G$78</f>
        <v>0</v>
      </c>
      <c r="R138" s="115">
        <f>R136*'CREST Inputs'!$G$78</f>
        <v>0</v>
      </c>
      <c r="S138" s="115">
        <f>S136*'CREST Inputs'!$G$78</f>
        <v>0</v>
      </c>
      <c r="T138" s="115">
        <f>T136*'CREST Inputs'!$G$78</f>
        <v>0</v>
      </c>
      <c r="U138" s="115">
        <f>U136*'CREST Inputs'!$G$78</f>
        <v>0</v>
      </c>
      <c r="V138" s="115">
        <f>V136*'CREST Inputs'!$G$78</f>
        <v>0</v>
      </c>
      <c r="W138" s="115">
        <f>W136*'CREST Inputs'!$G$78</f>
        <v>0</v>
      </c>
      <c r="X138" s="115">
        <f>X136*'CREST Inputs'!$G$78</f>
        <v>0</v>
      </c>
      <c r="Y138" s="115">
        <f>Y136*'CREST Inputs'!$G$78</f>
        <v>0</v>
      </c>
      <c r="Z138" s="115">
        <f>Z136*'CREST Inputs'!$G$78</f>
        <v>0</v>
      </c>
      <c r="AA138" s="115">
        <f>AA136*'CREST Inputs'!$G$78</f>
        <v>0</v>
      </c>
      <c r="AB138" s="115">
        <f>AB136*'CREST Inputs'!$G$78</f>
        <v>0</v>
      </c>
      <c r="AC138" s="115">
        <f>AC136*'CREST Inputs'!$G$78</f>
        <v>0</v>
      </c>
      <c r="AD138" s="115">
        <f>AD136*'CREST Inputs'!$G$78</f>
        <v>0</v>
      </c>
      <c r="AE138" s="115">
        <f>AE136*'CREST Inputs'!$G$78</f>
        <v>0</v>
      </c>
      <c r="AF138" s="115">
        <f>AF136*'CREST Inputs'!$G$78</f>
        <v>0</v>
      </c>
      <c r="AG138" s="115">
        <f>AG136*'CREST Inputs'!$G$78</f>
        <v>0</v>
      </c>
      <c r="AH138" s="115">
        <f>AH136*'CREST Inputs'!$G$78</f>
        <v>0</v>
      </c>
      <c r="AI138" s="115">
        <f>AI136*'CREST Inputs'!$G$78</f>
        <v>0</v>
      </c>
      <c r="AJ138" s="115">
        <f>AJ136*'CREST Inputs'!$G$78</f>
        <v>0</v>
      </c>
    </row>
    <row r="139" spans="2:36" s="27" customFormat="1" ht="16.5" thickBot="1">
      <c r="B139" s="116"/>
      <c r="C139" s="116"/>
      <c r="D139" s="116"/>
      <c r="E139" s="117"/>
      <c r="F139" s="117"/>
      <c r="G139" s="118"/>
      <c r="H139" s="119"/>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row>
    <row r="140" spans="2:36" ht="15">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2:36" ht="15.75">
      <c r="B141" s="94" t="s">
        <v>184</v>
      </c>
      <c r="C141" s="94"/>
      <c r="D141" s="94"/>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2:36" ht="15.75">
      <c r="B142" s="95"/>
      <c r="C142" s="95"/>
      <c r="D142" s="95"/>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2:36" ht="15.75">
      <c r="B143" s="95" t="s">
        <v>183</v>
      </c>
      <c r="C143" s="95"/>
      <c r="D143" s="95"/>
      <c r="E143" s="139"/>
      <c r="F143" s="139"/>
      <c r="G143" s="115">
        <f>G58</f>
        <v>0</v>
      </c>
      <c r="H143" s="115">
        <f aca="true" t="shared" si="42" ref="H143:AJ143">H58</f>
        <v>0</v>
      </c>
      <c r="I143" s="115">
        <f t="shared" si="42"/>
        <v>0</v>
      </c>
      <c r="J143" s="115">
        <f t="shared" si="42"/>
        <v>0</v>
      </c>
      <c r="K143" s="115">
        <f t="shared" si="42"/>
        <v>0</v>
      </c>
      <c r="L143" s="115">
        <f t="shared" si="42"/>
        <v>0</v>
      </c>
      <c r="M143" s="115">
        <f t="shared" si="42"/>
        <v>0</v>
      </c>
      <c r="N143" s="115">
        <f t="shared" si="42"/>
        <v>0</v>
      </c>
      <c r="O143" s="115">
        <f t="shared" si="42"/>
        <v>0</v>
      </c>
      <c r="P143" s="115">
        <f t="shared" si="42"/>
        <v>0</v>
      </c>
      <c r="Q143" s="115">
        <f t="shared" si="42"/>
        <v>0</v>
      </c>
      <c r="R143" s="115">
        <f t="shared" si="42"/>
        <v>0</v>
      </c>
      <c r="S143" s="115">
        <f t="shared" si="42"/>
        <v>0</v>
      </c>
      <c r="T143" s="115">
        <f t="shared" si="42"/>
        <v>0</v>
      </c>
      <c r="U143" s="115">
        <f t="shared" si="42"/>
        <v>0</v>
      </c>
      <c r="V143" s="115">
        <f t="shared" si="42"/>
        <v>0</v>
      </c>
      <c r="W143" s="115">
        <f t="shared" si="42"/>
        <v>0</v>
      </c>
      <c r="X143" s="115">
        <f t="shared" si="42"/>
        <v>0</v>
      </c>
      <c r="Y143" s="115">
        <f t="shared" si="42"/>
        <v>0</v>
      </c>
      <c r="Z143" s="115">
        <f t="shared" si="42"/>
        <v>0</v>
      </c>
      <c r="AA143" s="115">
        <f t="shared" si="42"/>
        <v>0</v>
      </c>
      <c r="AB143" s="115">
        <f t="shared" si="42"/>
        <v>0</v>
      </c>
      <c r="AC143" s="115">
        <f t="shared" si="42"/>
        <v>0</v>
      </c>
      <c r="AD143" s="115">
        <f t="shared" si="42"/>
        <v>0</v>
      </c>
      <c r="AE143" s="115">
        <f t="shared" si="42"/>
        <v>0</v>
      </c>
      <c r="AF143" s="115">
        <f t="shared" si="42"/>
        <v>0</v>
      </c>
      <c r="AG143" s="115">
        <f t="shared" si="42"/>
        <v>0</v>
      </c>
      <c r="AH143" s="115">
        <f t="shared" si="42"/>
        <v>0</v>
      </c>
      <c r="AI143" s="115">
        <f t="shared" si="42"/>
        <v>0</v>
      </c>
      <c r="AJ143" s="115">
        <f t="shared" si="42"/>
        <v>0</v>
      </c>
    </row>
    <row r="144" spans="2:36" ht="15.75">
      <c r="B144" s="95"/>
      <c r="C144" s="95"/>
      <c r="D144" s="95"/>
      <c r="E144" s="139"/>
      <c r="F144" s="139"/>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2:36" ht="15.75">
      <c r="B145" s="157" t="s">
        <v>233</v>
      </c>
      <c r="C145" s="157"/>
      <c r="D145" s="157"/>
      <c r="E145" s="139"/>
      <c r="F145" s="139"/>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2:36" ht="15.75">
      <c r="B146" s="95" t="s">
        <v>186</v>
      </c>
      <c r="C146" s="95"/>
      <c r="D146" s="95"/>
      <c r="E146" s="139"/>
      <c r="F146" s="139"/>
      <c r="G146" s="115">
        <v>0</v>
      </c>
      <c r="H146" s="115">
        <f>G149</f>
        <v>0</v>
      </c>
      <c r="I146" s="115">
        <f aca="true" t="shared" si="43" ref="I146:AJ146">H149</f>
        <v>0</v>
      </c>
      <c r="J146" s="115">
        <f t="shared" si="43"/>
        <v>0</v>
      </c>
      <c r="K146" s="115">
        <f t="shared" si="43"/>
        <v>0</v>
      </c>
      <c r="L146" s="115">
        <f t="shared" si="43"/>
        <v>0</v>
      </c>
      <c r="M146" s="115">
        <f t="shared" si="43"/>
        <v>0</v>
      </c>
      <c r="N146" s="115">
        <f t="shared" si="43"/>
        <v>0</v>
      </c>
      <c r="O146" s="115">
        <f t="shared" si="43"/>
        <v>0</v>
      </c>
      <c r="P146" s="115">
        <f t="shared" si="43"/>
        <v>0</v>
      </c>
      <c r="Q146" s="115">
        <f t="shared" si="43"/>
        <v>0</v>
      </c>
      <c r="R146" s="115">
        <f t="shared" si="43"/>
        <v>0</v>
      </c>
      <c r="S146" s="115">
        <f t="shared" si="43"/>
        <v>0</v>
      </c>
      <c r="T146" s="115">
        <f t="shared" si="43"/>
        <v>0</v>
      </c>
      <c r="U146" s="115">
        <f t="shared" si="43"/>
        <v>0</v>
      </c>
      <c r="V146" s="115">
        <f t="shared" si="43"/>
        <v>0</v>
      </c>
      <c r="W146" s="115">
        <f t="shared" si="43"/>
        <v>0</v>
      </c>
      <c r="X146" s="115">
        <f t="shared" si="43"/>
        <v>0</v>
      </c>
      <c r="Y146" s="115">
        <f t="shared" si="43"/>
        <v>0</v>
      </c>
      <c r="Z146" s="115">
        <f t="shared" si="43"/>
        <v>0</v>
      </c>
      <c r="AA146" s="115">
        <f t="shared" si="43"/>
        <v>0</v>
      </c>
      <c r="AB146" s="115">
        <f t="shared" si="43"/>
        <v>0</v>
      </c>
      <c r="AC146" s="115">
        <f t="shared" si="43"/>
        <v>0</v>
      </c>
      <c r="AD146" s="115">
        <f t="shared" si="43"/>
        <v>0</v>
      </c>
      <c r="AE146" s="115">
        <f t="shared" si="43"/>
        <v>0</v>
      </c>
      <c r="AF146" s="115">
        <f t="shared" si="43"/>
        <v>0</v>
      </c>
      <c r="AG146" s="115">
        <f t="shared" si="43"/>
        <v>0</v>
      </c>
      <c r="AH146" s="115">
        <f t="shared" si="43"/>
        <v>0</v>
      </c>
      <c r="AI146" s="115">
        <f t="shared" si="43"/>
        <v>0</v>
      </c>
      <c r="AJ146" s="115">
        <f t="shared" si="43"/>
        <v>0</v>
      </c>
    </row>
    <row r="147" spans="2:36" ht="15.75">
      <c r="B147" s="95" t="s">
        <v>187</v>
      </c>
      <c r="C147" s="95"/>
      <c r="D147" s="95"/>
      <c r="E147" s="139"/>
      <c r="F147" s="139"/>
      <c r="G147" s="115">
        <f>IF(G$143&gt;0,0,-G$143)</f>
        <v>0</v>
      </c>
      <c r="H147" s="115">
        <f aca="true" t="shared" si="44" ref="H147:AJ147">IF(H$143&gt;0,0,-H$143)</f>
        <v>0</v>
      </c>
      <c r="I147" s="115">
        <f t="shared" si="44"/>
        <v>0</v>
      </c>
      <c r="J147" s="115">
        <f t="shared" si="44"/>
        <v>0</v>
      </c>
      <c r="K147" s="115">
        <f t="shared" si="44"/>
        <v>0</v>
      </c>
      <c r="L147" s="115">
        <f t="shared" si="44"/>
        <v>0</v>
      </c>
      <c r="M147" s="115">
        <f t="shared" si="44"/>
        <v>0</v>
      </c>
      <c r="N147" s="115">
        <f t="shared" si="44"/>
        <v>0</v>
      </c>
      <c r="O147" s="115">
        <f t="shared" si="44"/>
        <v>0</v>
      </c>
      <c r="P147" s="115">
        <f t="shared" si="44"/>
        <v>0</v>
      </c>
      <c r="Q147" s="115">
        <f t="shared" si="44"/>
        <v>0</v>
      </c>
      <c r="R147" s="115">
        <f t="shared" si="44"/>
        <v>0</v>
      </c>
      <c r="S147" s="115">
        <f t="shared" si="44"/>
        <v>0</v>
      </c>
      <c r="T147" s="115">
        <f t="shared" si="44"/>
        <v>0</v>
      </c>
      <c r="U147" s="115">
        <f t="shared" si="44"/>
        <v>0</v>
      </c>
      <c r="V147" s="115">
        <f t="shared" si="44"/>
        <v>0</v>
      </c>
      <c r="W147" s="115">
        <f t="shared" si="44"/>
        <v>0</v>
      </c>
      <c r="X147" s="115">
        <f t="shared" si="44"/>
        <v>0</v>
      </c>
      <c r="Y147" s="115">
        <f t="shared" si="44"/>
        <v>0</v>
      </c>
      <c r="Z147" s="115">
        <f t="shared" si="44"/>
        <v>0</v>
      </c>
      <c r="AA147" s="115">
        <f t="shared" si="44"/>
        <v>0</v>
      </c>
      <c r="AB147" s="115">
        <f t="shared" si="44"/>
        <v>0</v>
      </c>
      <c r="AC147" s="115">
        <f t="shared" si="44"/>
        <v>0</v>
      </c>
      <c r="AD147" s="115">
        <f t="shared" si="44"/>
        <v>0</v>
      </c>
      <c r="AE147" s="115">
        <f t="shared" si="44"/>
        <v>0</v>
      </c>
      <c r="AF147" s="115">
        <f t="shared" si="44"/>
        <v>0</v>
      </c>
      <c r="AG147" s="115">
        <f t="shared" si="44"/>
        <v>0</v>
      </c>
      <c r="AH147" s="115">
        <f t="shared" si="44"/>
        <v>0</v>
      </c>
      <c r="AI147" s="115">
        <f t="shared" si="44"/>
        <v>0</v>
      </c>
      <c r="AJ147" s="115">
        <f t="shared" si="44"/>
        <v>0</v>
      </c>
    </row>
    <row r="148" spans="2:36" ht="15.75">
      <c r="B148" s="95" t="s">
        <v>185</v>
      </c>
      <c r="C148" s="95"/>
      <c r="D148" s="95"/>
      <c r="E148" s="139"/>
      <c r="F148" s="139"/>
      <c r="G148" s="115">
        <f aca="true" t="shared" si="45" ref="G148:L148">IF(G$143&lt;=0,0,-MIN(G$143,F$149))</f>
        <v>0</v>
      </c>
      <c r="H148" s="115">
        <f t="shared" si="45"/>
        <v>0</v>
      </c>
      <c r="I148" s="115">
        <f t="shared" si="45"/>
        <v>0</v>
      </c>
      <c r="J148" s="115">
        <f t="shared" si="45"/>
        <v>0</v>
      </c>
      <c r="K148" s="115">
        <f t="shared" si="45"/>
        <v>0</v>
      </c>
      <c r="L148" s="115">
        <f t="shared" si="45"/>
        <v>0</v>
      </c>
      <c r="M148" s="115">
        <f>IF(M$143&lt;=0,0,-MIN(M$143,L$149))</f>
        <v>0</v>
      </c>
      <c r="N148" s="115">
        <f aca="true" t="shared" si="46" ref="N148:AJ148">IF(N$143&lt;=0,0,-MIN(N$143,M$149))</f>
        <v>0</v>
      </c>
      <c r="O148" s="115">
        <f t="shared" si="46"/>
        <v>0</v>
      </c>
      <c r="P148" s="115">
        <f t="shared" si="46"/>
        <v>0</v>
      </c>
      <c r="Q148" s="115">
        <f t="shared" si="46"/>
        <v>0</v>
      </c>
      <c r="R148" s="115">
        <f t="shared" si="46"/>
        <v>0</v>
      </c>
      <c r="S148" s="115">
        <f t="shared" si="46"/>
        <v>0</v>
      </c>
      <c r="T148" s="115">
        <f t="shared" si="46"/>
        <v>0</v>
      </c>
      <c r="U148" s="115">
        <f t="shared" si="46"/>
        <v>0</v>
      </c>
      <c r="V148" s="115">
        <f t="shared" si="46"/>
        <v>0</v>
      </c>
      <c r="W148" s="115">
        <f t="shared" si="46"/>
        <v>0</v>
      </c>
      <c r="X148" s="115">
        <f t="shared" si="46"/>
        <v>0</v>
      </c>
      <c r="Y148" s="115">
        <f t="shared" si="46"/>
        <v>0</v>
      </c>
      <c r="Z148" s="115">
        <f t="shared" si="46"/>
        <v>0</v>
      </c>
      <c r="AA148" s="115">
        <f t="shared" si="46"/>
        <v>0</v>
      </c>
      <c r="AB148" s="115">
        <f t="shared" si="46"/>
        <v>0</v>
      </c>
      <c r="AC148" s="115">
        <f t="shared" si="46"/>
        <v>0</v>
      </c>
      <c r="AD148" s="115">
        <f t="shared" si="46"/>
        <v>0</v>
      </c>
      <c r="AE148" s="115">
        <f t="shared" si="46"/>
        <v>0</v>
      </c>
      <c r="AF148" s="115">
        <f t="shared" si="46"/>
        <v>0</v>
      </c>
      <c r="AG148" s="115">
        <f t="shared" si="46"/>
        <v>0</v>
      </c>
      <c r="AH148" s="115">
        <f t="shared" si="46"/>
        <v>0</v>
      </c>
      <c r="AI148" s="115">
        <f t="shared" si="46"/>
        <v>0</v>
      </c>
      <c r="AJ148" s="115">
        <f t="shared" si="46"/>
        <v>0</v>
      </c>
    </row>
    <row r="149" spans="2:36" ht="15.75">
      <c r="B149" s="95" t="s">
        <v>188</v>
      </c>
      <c r="C149" s="95"/>
      <c r="D149" s="95"/>
      <c r="E149" s="139"/>
      <c r="F149" s="139"/>
      <c r="G149" s="115">
        <f>SUM(G146:G148)</f>
        <v>0</v>
      </c>
      <c r="H149" s="115">
        <f aca="true" t="shared" si="47" ref="H149:AJ149">SUM(H146:H148)</f>
        <v>0</v>
      </c>
      <c r="I149" s="115">
        <f t="shared" si="47"/>
        <v>0</v>
      </c>
      <c r="J149" s="115">
        <f t="shared" si="47"/>
        <v>0</v>
      </c>
      <c r="K149" s="115">
        <f t="shared" si="47"/>
        <v>0</v>
      </c>
      <c r="L149" s="115">
        <f t="shared" si="47"/>
        <v>0</v>
      </c>
      <c r="M149" s="115">
        <f t="shared" si="47"/>
        <v>0</v>
      </c>
      <c r="N149" s="115">
        <f t="shared" si="47"/>
        <v>0</v>
      </c>
      <c r="O149" s="115">
        <f t="shared" si="47"/>
        <v>0</v>
      </c>
      <c r="P149" s="115">
        <f t="shared" si="47"/>
        <v>0</v>
      </c>
      <c r="Q149" s="115">
        <f t="shared" si="47"/>
        <v>0</v>
      </c>
      <c r="R149" s="115">
        <f t="shared" si="47"/>
        <v>0</v>
      </c>
      <c r="S149" s="115">
        <f t="shared" si="47"/>
        <v>0</v>
      </c>
      <c r="T149" s="115">
        <f t="shared" si="47"/>
        <v>0</v>
      </c>
      <c r="U149" s="115">
        <f t="shared" si="47"/>
        <v>0</v>
      </c>
      <c r="V149" s="115">
        <f t="shared" si="47"/>
        <v>0</v>
      </c>
      <c r="W149" s="115">
        <f t="shared" si="47"/>
        <v>0</v>
      </c>
      <c r="X149" s="115">
        <f t="shared" si="47"/>
        <v>0</v>
      </c>
      <c r="Y149" s="115">
        <f t="shared" si="47"/>
        <v>0</v>
      </c>
      <c r="Z149" s="115">
        <f t="shared" si="47"/>
        <v>0</v>
      </c>
      <c r="AA149" s="115">
        <f t="shared" si="47"/>
        <v>0</v>
      </c>
      <c r="AB149" s="115">
        <f t="shared" si="47"/>
        <v>0</v>
      </c>
      <c r="AC149" s="115">
        <f t="shared" si="47"/>
        <v>0</v>
      </c>
      <c r="AD149" s="115">
        <f t="shared" si="47"/>
        <v>0</v>
      </c>
      <c r="AE149" s="115">
        <f t="shared" si="47"/>
        <v>0</v>
      </c>
      <c r="AF149" s="115">
        <f t="shared" si="47"/>
        <v>0</v>
      </c>
      <c r="AG149" s="115">
        <f t="shared" si="47"/>
        <v>0</v>
      </c>
      <c r="AH149" s="115">
        <f t="shared" si="47"/>
        <v>0</v>
      </c>
      <c r="AI149" s="115">
        <f t="shared" si="47"/>
        <v>0</v>
      </c>
      <c r="AJ149" s="115">
        <f t="shared" si="47"/>
        <v>0</v>
      </c>
    </row>
    <row r="150" spans="2:36" ht="15.75">
      <c r="B150" s="95"/>
      <c r="C150" s="95"/>
      <c r="D150" s="95"/>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row>
    <row r="151" spans="2:36" ht="15.75">
      <c r="B151" s="95" t="s">
        <v>189</v>
      </c>
      <c r="C151" s="95"/>
      <c r="D151" s="95"/>
      <c r="E151" s="139"/>
      <c r="F151" s="139"/>
      <c r="G151" s="115">
        <f>G143+G147+G148</f>
        <v>0</v>
      </c>
      <c r="H151" s="115">
        <f aca="true" t="shared" si="48" ref="H151:AJ151">H143+H147+H148</f>
        <v>0</v>
      </c>
      <c r="I151" s="115">
        <f t="shared" si="48"/>
        <v>0</v>
      </c>
      <c r="J151" s="115">
        <f t="shared" si="48"/>
        <v>0</v>
      </c>
      <c r="K151" s="115">
        <f t="shared" si="48"/>
        <v>0</v>
      </c>
      <c r="L151" s="115">
        <f t="shared" si="48"/>
        <v>0</v>
      </c>
      <c r="M151" s="115">
        <f t="shared" si="48"/>
        <v>0</v>
      </c>
      <c r="N151" s="115">
        <f t="shared" si="48"/>
        <v>0</v>
      </c>
      <c r="O151" s="115">
        <f t="shared" si="48"/>
        <v>0</v>
      </c>
      <c r="P151" s="115">
        <f t="shared" si="48"/>
        <v>0</v>
      </c>
      <c r="Q151" s="115">
        <f t="shared" si="48"/>
        <v>0</v>
      </c>
      <c r="R151" s="115">
        <f t="shared" si="48"/>
        <v>0</v>
      </c>
      <c r="S151" s="115">
        <f t="shared" si="48"/>
        <v>0</v>
      </c>
      <c r="T151" s="115">
        <f t="shared" si="48"/>
        <v>0</v>
      </c>
      <c r="U151" s="115">
        <f t="shared" si="48"/>
        <v>0</v>
      </c>
      <c r="V151" s="115">
        <f t="shared" si="48"/>
        <v>0</v>
      </c>
      <c r="W151" s="115">
        <f t="shared" si="48"/>
        <v>0</v>
      </c>
      <c r="X151" s="115">
        <f t="shared" si="48"/>
        <v>0</v>
      </c>
      <c r="Y151" s="115">
        <f t="shared" si="48"/>
        <v>0</v>
      </c>
      <c r="Z151" s="115">
        <f t="shared" si="48"/>
        <v>0</v>
      </c>
      <c r="AA151" s="115">
        <f t="shared" si="48"/>
        <v>0</v>
      </c>
      <c r="AB151" s="115">
        <f t="shared" si="48"/>
        <v>0</v>
      </c>
      <c r="AC151" s="115">
        <f t="shared" si="48"/>
        <v>0</v>
      </c>
      <c r="AD151" s="115">
        <f t="shared" si="48"/>
        <v>0</v>
      </c>
      <c r="AE151" s="115">
        <f t="shared" si="48"/>
        <v>0</v>
      </c>
      <c r="AF151" s="115">
        <f t="shared" si="48"/>
        <v>0</v>
      </c>
      <c r="AG151" s="115">
        <f t="shared" si="48"/>
        <v>0</v>
      </c>
      <c r="AH151" s="115">
        <f t="shared" si="48"/>
        <v>0</v>
      </c>
      <c r="AI151" s="115">
        <f t="shared" si="48"/>
        <v>0</v>
      </c>
      <c r="AJ151" s="115">
        <f t="shared" si="48"/>
        <v>0</v>
      </c>
    </row>
    <row r="152" spans="2:36" ht="15.75">
      <c r="B152" s="95"/>
      <c r="C152" s="95"/>
      <c r="D152" s="95"/>
      <c r="E152" s="139"/>
      <c r="F152" s="139"/>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2:36" ht="15.75">
      <c r="B153" s="157" t="s">
        <v>234</v>
      </c>
      <c r="C153" s="157"/>
      <c r="D153" s="157"/>
      <c r="E153" s="139"/>
      <c r="F153" s="139"/>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2:36" ht="15.75">
      <c r="B154" s="95" t="s">
        <v>186</v>
      </c>
      <c r="C154" s="95"/>
      <c r="D154" s="95"/>
      <c r="E154" s="139"/>
      <c r="F154" s="139"/>
      <c r="G154" s="115">
        <v>0</v>
      </c>
      <c r="H154" s="115">
        <f>G157</f>
        <v>0</v>
      </c>
      <c r="I154" s="115">
        <f aca="true" t="shared" si="49" ref="I154:AJ154">H157</f>
        <v>0</v>
      </c>
      <c r="J154" s="115">
        <f t="shared" si="49"/>
        <v>0</v>
      </c>
      <c r="K154" s="115">
        <f t="shared" si="49"/>
        <v>0</v>
      </c>
      <c r="L154" s="115">
        <f t="shared" si="49"/>
        <v>0</v>
      </c>
      <c r="M154" s="115">
        <f t="shared" si="49"/>
        <v>0</v>
      </c>
      <c r="N154" s="115">
        <f t="shared" si="49"/>
        <v>0</v>
      </c>
      <c r="O154" s="115">
        <f t="shared" si="49"/>
        <v>0</v>
      </c>
      <c r="P154" s="115">
        <f t="shared" si="49"/>
        <v>0</v>
      </c>
      <c r="Q154" s="115">
        <f t="shared" si="49"/>
        <v>0</v>
      </c>
      <c r="R154" s="115">
        <f t="shared" si="49"/>
        <v>0</v>
      </c>
      <c r="S154" s="115">
        <f t="shared" si="49"/>
        <v>0</v>
      </c>
      <c r="T154" s="115">
        <f t="shared" si="49"/>
        <v>0</v>
      </c>
      <c r="U154" s="115">
        <f t="shared" si="49"/>
        <v>0</v>
      </c>
      <c r="V154" s="115">
        <f t="shared" si="49"/>
        <v>0</v>
      </c>
      <c r="W154" s="115">
        <f t="shared" si="49"/>
        <v>0</v>
      </c>
      <c r="X154" s="115">
        <f t="shared" si="49"/>
        <v>0</v>
      </c>
      <c r="Y154" s="115">
        <f t="shared" si="49"/>
        <v>0</v>
      </c>
      <c r="Z154" s="115">
        <f t="shared" si="49"/>
        <v>0</v>
      </c>
      <c r="AA154" s="115">
        <f t="shared" si="49"/>
        <v>0</v>
      </c>
      <c r="AB154" s="115">
        <f t="shared" si="49"/>
        <v>0</v>
      </c>
      <c r="AC154" s="115">
        <f t="shared" si="49"/>
        <v>0</v>
      </c>
      <c r="AD154" s="115">
        <f t="shared" si="49"/>
        <v>0</v>
      </c>
      <c r="AE154" s="115">
        <f t="shared" si="49"/>
        <v>0</v>
      </c>
      <c r="AF154" s="115">
        <f t="shared" si="49"/>
        <v>0</v>
      </c>
      <c r="AG154" s="115">
        <f t="shared" si="49"/>
        <v>0</v>
      </c>
      <c r="AH154" s="115">
        <f t="shared" si="49"/>
        <v>0</v>
      </c>
      <c r="AI154" s="115">
        <f t="shared" si="49"/>
        <v>0</v>
      </c>
      <c r="AJ154" s="115">
        <f t="shared" si="49"/>
        <v>0</v>
      </c>
    </row>
    <row r="155" spans="2:36" ht="15.75">
      <c r="B155" s="95" t="s">
        <v>187</v>
      </c>
      <c r="C155" s="95"/>
      <c r="D155" s="95"/>
      <c r="E155" s="139"/>
      <c r="F155" s="139"/>
      <c r="G155" s="115">
        <f>IF(G$143&gt;0,0,-G$143)</f>
        <v>0</v>
      </c>
      <c r="H155" s="115">
        <f aca="true" t="shared" si="50" ref="H155:AJ155">IF(H$143&gt;0,0,-H$143)</f>
        <v>0</v>
      </c>
      <c r="I155" s="115">
        <f t="shared" si="50"/>
        <v>0</v>
      </c>
      <c r="J155" s="115">
        <f t="shared" si="50"/>
        <v>0</v>
      </c>
      <c r="K155" s="115">
        <f t="shared" si="50"/>
        <v>0</v>
      </c>
      <c r="L155" s="115">
        <f t="shared" si="50"/>
        <v>0</v>
      </c>
      <c r="M155" s="115">
        <f t="shared" si="50"/>
        <v>0</v>
      </c>
      <c r="N155" s="115">
        <f t="shared" si="50"/>
        <v>0</v>
      </c>
      <c r="O155" s="115">
        <f t="shared" si="50"/>
        <v>0</v>
      </c>
      <c r="P155" s="115">
        <f t="shared" si="50"/>
        <v>0</v>
      </c>
      <c r="Q155" s="115">
        <f t="shared" si="50"/>
        <v>0</v>
      </c>
      <c r="R155" s="115">
        <f t="shared" si="50"/>
        <v>0</v>
      </c>
      <c r="S155" s="115">
        <f t="shared" si="50"/>
        <v>0</v>
      </c>
      <c r="T155" s="115">
        <f t="shared" si="50"/>
        <v>0</v>
      </c>
      <c r="U155" s="115">
        <f t="shared" si="50"/>
        <v>0</v>
      </c>
      <c r="V155" s="115">
        <f t="shared" si="50"/>
        <v>0</v>
      </c>
      <c r="W155" s="115">
        <f t="shared" si="50"/>
        <v>0</v>
      </c>
      <c r="X155" s="115">
        <f t="shared" si="50"/>
        <v>0</v>
      </c>
      <c r="Y155" s="115">
        <f t="shared" si="50"/>
        <v>0</v>
      </c>
      <c r="Z155" s="115">
        <f t="shared" si="50"/>
        <v>0</v>
      </c>
      <c r="AA155" s="115">
        <f t="shared" si="50"/>
        <v>0</v>
      </c>
      <c r="AB155" s="115">
        <f t="shared" si="50"/>
        <v>0</v>
      </c>
      <c r="AC155" s="115">
        <f t="shared" si="50"/>
        <v>0</v>
      </c>
      <c r="AD155" s="115">
        <f t="shared" si="50"/>
        <v>0</v>
      </c>
      <c r="AE155" s="115">
        <f t="shared" si="50"/>
        <v>0</v>
      </c>
      <c r="AF155" s="115">
        <f t="shared" si="50"/>
        <v>0</v>
      </c>
      <c r="AG155" s="115">
        <f t="shared" si="50"/>
        <v>0</v>
      </c>
      <c r="AH155" s="115">
        <f t="shared" si="50"/>
        <v>0</v>
      </c>
      <c r="AI155" s="115">
        <f t="shared" si="50"/>
        <v>0</v>
      </c>
      <c r="AJ155" s="115">
        <f t="shared" si="50"/>
        <v>0</v>
      </c>
    </row>
    <row r="156" spans="2:36" ht="15.75">
      <c r="B156" s="95" t="s">
        <v>185</v>
      </c>
      <c r="C156" s="95"/>
      <c r="D156" s="95"/>
      <c r="E156" s="139"/>
      <c r="F156" s="139"/>
      <c r="G156" s="115">
        <f aca="true" t="shared" si="51" ref="G156:AJ156">IF(G$143&lt;=0,0,-MIN(G$143,F$149))</f>
        <v>0</v>
      </c>
      <c r="H156" s="115">
        <f t="shared" si="51"/>
        <v>0</v>
      </c>
      <c r="I156" s="115">
        <f t="shared" si="51"/>
        <v>0</v>
      </c>
      <c r="J156" s="115">
        <f t="shared" si="51"/>
        <v>0</v>
      </c>
      <c r="K156" s="115">
        <f t="shared" si="51"/>
        <v>0</v>
      </c>
      <c r="L156" s="115">
        <f t="shared" si="51"/>
        <v>0</v>
      </c>
      <c r="M156" s="115">
        <f t="shared" si="51"/>
        <v>0</v>
      </c>
      <c r="N156" s="115">
        <f t="shared" si="51"/>
        <v>0</v>
      </c>
      <c r="O156" s="115">
        <f t="shared" si="51"/>
        <v>0</v>
      </c>
      <c r="P156" s="115">
        <f t="shared" si="51"/>
        <v>0</v>
      </c>
      <c r="Q156" s="115">
        <f t="shared" si="51"/>
        <v>0</v>
      </c>
      <c r="R156" s="115">
        <f t="shared" si="51"/>
        <v>0</v>
      </c>
      <c r="S156" s="115">
        <f t="shared" si="51"/>
        <v>0</v>
      </c>
      <c r="T156" s="115">
        <f t="shared" si="51"/>
        <v>0</v>
      </c>
      <c r="U156" s="115">
        <f t="shared" si="51"/>
        <v>0</v>
      </c>
      <c r="V156" s="115">
        <f t="shared" si="51"/>
        <v>0</v>
      </c>
      <c r="W156" s="115">
        <f t="shared" si="51"/>
        <v>0</v>
      </c>
      <c r="X156" s="115">
        <f t="shared" si="51"/>
        <v>0</v>
      </c>
      <c r="Y156" s="115">
        <f t="shared" si="51"/>
        <v>0</v>
      </c>
      <c r="Z156" s="115">
        <f t="shared" si="51"/>
        <v>0</v>
      </c>
      <c r="AA156" s="115">
        <f t="shared" si="51"/>
        <v>0</v>
      </c>
      <c r="AB156" s="115">
        <f t="shared" si="51"/>
        <v>0</v>
      </c>
      <c r="AC156" s="115">
        <f t="shared" si="51"/>
        <v>0</v>
      </c>
      <c r="AD156" s="115">
        <f t="shared" si="51"/>
        <v>0</v>
      </c>
      <c r="AE156" s="115">
        <f t="shared" si="51"/>
        <v>0</v>
      </c>
      <c r="AF156" s="115">
        <f t="shared" si="51"/>
        <v>0</v>
      </c>
      <c r="AG156" s="115">
        <f t="shared" si="51"/>
        <v>0</v>
      </c>
      <c r="AH156" s="115">
        <f t="shared" si="51"/>
        <v>0</v>
      </c>
      <c r="AI156" s="115">
        <f t="shared" si="51"/>
        <v>0</v>
      </c>
      <c r="AJ156" s="115">
        <f t="shared" si="51"/>
        <v>0</v>
      </c>
    </row>
    <row r="157" spans="2:36" ht="15.75">
      <c r="B157" s="95" t="s">
        <v>188</v>
      </c>
      <c r="C157" s="95"/>
      <c r="D157" s="95"/>
      <c r="E157" s="139"/>
      <c r="F157" s="139"/>
      <c r="G157" s="115">
        <f>SUM(G154:G156)</f>
        <v>0</v>
      </c>
      <c r="H157" s="115">
        <f aca="true" t="shared" si="52" ref="H157:AJ157">SUM(H154:H156)</f>
        <v>0</v>
      </c>
      <c r="I157" s="115">
        <f t="shared" si="52"/>
        <v>0</v>
      </c>
      <c r="J157" s="115">
        <f t="shared" si="52"/>
        <v>0</v>
      </c>
      <c r="K157" s="115">
        <f t="shared" si="52"/>
        <v>0</v>
      </c>
      <c r="L157" s="115">
        <f t="shared" si="52"/>
        <v>0</v>
      </c>
      <c r="M157" s="115">
        <f t="shared" si="52"/>
        <v>0</v>
      </c>
      <c r="N157" s="115">
        <f t="shared" si="52"/>
        <v>0</v>
      </c>
      <c r="O157" s="115">
        <f t="shared" si="52"/>
        <v>0</v>
      </c>
      <c r="P157" s="115">
        <f t="shared" si="52"/>
        <v>0</v>
      </c>
      <c r="Q157" s="115">
        <f t="shared" si="52"/>
        <v>0</v>
      </c>
      <c r="R157" s="115">
        <f t="shared" si="52"/>
        <v>0</v>
      </c>
      <c r="S157" s="115">
        <f t="shared" si="52"/>
        <v>0</v>
      </c>
      <c r="T157" s="115">
        <f t="shared" si="52"/>
        <v>0</v>
      </c>
      <c r="U157" s="115">
        <f t="shared" si="52"/>
        <v>0</v>
      </c>
      <c r="V157" s="115">
        <f t="shared" si="52"/>
        <v>0</v>
      </c>
      <c r="W157" s="115">
        <f t="shared" si="52"/>
        <v>0</v>
      </c>
      <c r="X157" s="115">
        <f t="shared" si="52"/>
        <v>0</v>
      </c>
      <c r="Y157" s="115">
        <f t="shared" si="52"/>
        <v>0</v>
      </c>
      <c r="Z157" s="115">
        <f t="shared" si="52"/>
        <v>0</v>
      </c>
      <c r="AA157" s="115">
        <f t="shared" si="52"/>
        <v>0</v>
      </c>
      <c r="AB157" s="115">
        <f t="shared" si="52"/>
        <v>0</v>
      </c>
      <c r="AC157" s="115">
        <f t="shared" si="52"/>
        <v>0</v>
      </c>
      <c r="AD157" s="115">
        <f t="shared" si="52"/>
        <v>0</v>
      </c>
      <c r="AE157" s="115">
        <f t="shared" si="52"/>
        <v>0</v>
      </c>
      <c r="AF157" s="115">
        <f t="shared" si="52"/>
        <v>0</v>
      </c>
      <c r="AG157" s="115">
        <f t="shared" si="52"/>
        <v>0</v>
      </c>
      <c r="AH157" s="115">
        <f t="shared" si="52"/>
        <v>0</v>
      </c>
      <c r="AI157" s="115">
        <f t="shared" si="52"/>
        <v>0</v>
      </c>
      <c r="AJ157" s="115">
        <f t="shared" si="52"/>
        <v>0</v>
      </c>
    </row>
    <row r="158" spans="2:36" ht="15.75">
      <c r="B158" s="95"/>
      <c r="C158" s="95"/>
      <c r="D158" s="95"/>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row>
    <row r="159" spans="2:36" ht="15.75">
      <c r="B159" s="95" t="s">
        <v>189</v>
      </c>
      <c r="C159" s="95"/>
      <c r="D159" s="95"/>
      <c r="E159" s="139"/>
      <c r="F159" s="139"/>
      <c r="G159" s="115">
        <f>G143+G155+G156</f>
        <v>0</v>
      </c>
      <c r="H159" s="115">
        <f aca="true" t="shared" si="53" ref="H159:AJ159">H143+H155+H156</f>
        <v>0</v>
      </c>
      <c r="I159" s="115">
        <f t="shared" si="53"/>
        <v>0</v>
      </c>
      <c r="J159" s="115">
        <f t="shared" si="53"/>
        <v>0</v>
      </c>
      <c r="K159" s="115">
        <f t="shared" si="53"/>
        <v>0</v>
      </c>
      <c r="L159" s="115">
        <f t="shared" si="53"/>
        <v>0</v>
      </c>
      <c r="M159" s="115">
        <f t="shared" si="53"/>
        <v>0</v>
      </c>
      <c r="N159" s="115">
        <f t="shared" si="53"/>
        <v>0</v>
      </c>
      <c r="O159" s="115">
        <f t="shared" si="53"/>
        <v>0</v>
      </c>
      <c r="P159" s="115">
        <f t="shared" si="53"/>
        <v>0</v>
      </c>
      <c r="Q159" s="115">
        <f t="shared" si="53"/>
        <v>0</v>
      </c>
      <c r="R159" s="115">
        <f t="shared" si="53"/>
        <v>0</v>
      </c>
      <c r="S159" s="115">
        <f t="shared" si="53"/>
        <v>0</v>
      </c>
      <c r="T159" s="115">
        <f t="shared" si="53"/>
        <v>0</v>
      </c>
      <c r="U159" s="115">
        <f t="shared" si="53"/>
        <v>0</v>
      </c>
      <c r="V159" s="115">
        <f t="shared" si="53"/>
        <v>0</v>
      </c>
      <c r="W159" s="115">
        <f t="shared" si="53"/>
        <v>0</v>
      </c>
      <c r="X159" s="115">
        <f t="shared" si="53"/>
        <v>0</v>
      </c>
      <c r="Y159" s="115">
        <f t="shared" si="53"/>
        <v>0</v>
      </c>
      <c r="Z159" s="115">
        <f t="shared" si="53"/>
        <v>0</v>
      </c>
      <c r="AA159" s="115">
        <f t="shared" si="53"/>
        <v>0</v>
      </c>
      <c r="AB159" s="115">
        <f t="shared" si="53"/>
        <v>0</v>
      </c>
      <c r="AC159" s="115">
        <f t="shared" si="53"/>
        <v>0</v>
      </c>
      <c r="AD159" s="115">
        <f t="shared" si="53"/>
        <v>0</v>
      </c>
      <c r="AE159" s="115">
        <f t="shared" si="53"/>
        <v>0</v>
      </c>
      <c r="AF159" s="115">
        <f t="shared" si="53"/>
        <v>0</v>
      </c>
      <c r="AG159" s="115">
        <f t="shared" si="53"/>
        <v>0</v>
      </c>
      <c r="AH159" s="115">
        <f t="shared" si="53"/>
        <v>0</v>
      </c>
      <c r="AI159" s="115">
        <f t="shared" si="53"/>
        <v>0</v>
      </c>
      <c r="AJ159" s="115">
        <f t="shared" si="53"/>
        <v>0</v>
      </c>
    </row>
    <row r="160" spans="2:36" ht="15.75" thickBot="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row>
    <row r="161" spans="2:36" s="27" customFormat="1" ht="15.75">
      <c r="B161" s="95"/>
      <c r="C161" s="95"/>
      <c r="D161" s="95"/>
      <c r="E161" s="95"/>
      <c r="F161" s="110"/>
      <c r="G161" s="120"/>
      <c r="H161" s="121"/>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spans="2:36" s="27" customFormat="1" ht="15.75">
      <c r="B162" s="94" t="s">
        <v>191</v>
      </c>
      <c r="C162" s="94"/>
      <c r="D162" s="94"/>
      <c r="E162" s="95"/>
      <c r="F162" s="110"/>
      <c r="G162" s="120"/>
      <c r="H162" s="121"/>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row>
    <row r="163" spans="2:36" s="27" customFormat="1" ht="15">
      <c r="B163" s="95" t="s">
        <v>192</v>
      </c>
      <c r="C163" s="95"/>
      <c r="D163" s="95"/>
      <c r="E163" s="95"/>
      <c r="F163" s="110"/>
      <c r="G163" s="156">
        <f>IF(OR('CREST Inputs'!$G$73="No",'CREST Inputs'!$Q$19="Performance-Based",'CREST Inputs'!$Q$19="Neither"),0,IF(AND('CREST Inputs'!$Q$20="ITC",G$2=1),'CREST Inputs'!$Q$23,IF(G$2&gt;1,0,IF('CREST Inputs'!$Q$20="Cash Grant",0,"ERROR"))))</f>
        <v>0</v>
      </c>
      <c r="H163" s="156">
        <f>IF(OR('CREST Inputs'!$G$73="No",'CREST Inputs'!$Q$19="Performance-Based",'CREST Inputs'!$Q$19="Neither"),0,IF(AND('CREST Inputs'!$Q$20="ITC",H$2=1),'CREST Inputs'!$Q$23,IF(H$2&gt;1,0,IF('CREST Inputs'!$Q$20="Cash Grant",0,"ERROR"))))</f>
        <v>0</v>
      </c>
      <c r="I163" s="156">
        <f>IF(OR('CREST Inputs'!$G$73="No",'CREST Inputs'!$Q$19="Performance-Based",'CREST Inputs'!$Q$19="Neither"),0,IF(AND('CREST Inputs'!$Q$20="ITC",I$2=1),'CREST Inputs'!$Q$23,IF(I$2&gt;1,0,IF('CREST Inputs'!$Q$20="Cash Grant",0,"ERROR"))))</f>
        <v>0</v>
      </c>
      <c r="J163" s="156">
        <f>IF(OR('CREST Inputs'!$G$73="No",'CREST Inputs'!$Q$19="Performance-Based",'CREST Inputs'!$Q$19="Neither"),0,IF(AND('CREST Inputs'!$Q$20="ITC",J$2=1),'CREST Inputs'!$Q$23,IF(J$2&gt;1,0,IF('CREST Inputs'!$Q$20="Cash Grant",0,"ERROR"))))</f>
        <v>0</v>
      </c>
      <c r="K163" s="156">
        <f>IF(OR('CREST Inputs'!$G$73="No",'CREST Inputs'!$Q$19="Performance-Based",'CREST Inputs'!$Q$19="Neither"),0,IF(AND('CREST Inputs'!$Q$20="ITC",K$2=1),'CREST Inputs'!$Q$23,IF(K$2&gt;1,0,IF('CREST Inputs'!$Q$20="Cash Grant",0,"ERROR"))))</f>
        <v>0</v>
      </c>
      <c r="L163" s="156">
        <f>IF(OR('CREST Inputs'!$G$73="No",'CREST Inputs'!$Q$19="Performance-Based",'CREST Inputs'!$Q$19="Neither"),0,IF(AND('CREST Inputs'!$Q$20="ITC",L$2=1),'CREST Inputs'!$Q$23,IF(L$2&gt;1,0,IF('CREST Inputs'!$Q$20="Cash Grant",0,"ERROR"))))</f>
        <v>0</v>
      </c>
      <c r="M163" s="156">
        <f>IF(OR('CREST Inputs'!$G$73="No",'CREST Inputs'!$Q$19="Performance-Based",'CREST Inputs'!$Q$19="Neither"),0,IF(AND('CREST Inputs'!$Q$20="ITC",M$2=1),'CREST Inputs'!$Q$23,IF(M$2&gt;1,0,IF('CREST Inputs'!$Q$20="Cash Grant",0,"ERROR"))))</f>
        <v>0</v>
      </c>
      <c r="N163" s="156">
        <f>IF(OR('CREST Inputs'!$G$73="No",'CREST Inputs'!$Q$19="Performance-Based",'CREST Inputs'!$Q$19="Neither"),0,IF(AND('CREST Inputs'!$Q$20="ITC",N$2=1),'CREST Inputs'!$Q$23,IF(N$2&gt;1,0,IF('CREST Inputs'!$Q$20="Cash Grant",0,"ERROR"))))</f>
        <v>0</v>
      </c>
      <c r="O163" s="156">
        <f>IF(OR('CREST Inputs'!$G$73="No",'CREST Inputs'!$Q$19="Performance-Based",'CREST Inputs'!$Q$19="Neither"),0,IF(AND('CREST Inputs'!$Q$20="ITC",O$2=1),'CREST Inputs'!$Q$23,IF(O$2&gt;1,0,IF('CREST Inputs'!$Q$20="Cash Grant",0,"ERROR"))))</f>
        <v>0</v>
      </c>
      <c r="P163" s="156">
        <f>IF(OR('CREST Inputs'!$G$73="No",'CREST Inputs'!$Q$19="Performance-Based",'CREST Inputs'!$Q$19="Neither"),0,IF(AND('CREST Inputs'!$Q$20="ITC",P$2=1),'CREST Inputs'!$Q$23,IF(P$2&gt;1,0,IF('CREST Inputs'!$Q$20="Cash Grant",0,"ERROR"))))</f>
        <v>0</v>
      </c>
      <c r="Q163" s="156">
        <f>IF(OR('CREST Inputs'!$G$73="No",'CREST Inputs'!$Q$19="Performance-Based",'CREST Inputs'!$Q$19="Neither"),0,IF(AND('CREST Inputs'!$Q$20="ITC",Q$2=1),'CREST Inputs'!$Q$23,IF(Q$2&gt;1,0,IF('CREST Inputs'!$Q$20="Cash Grant",0,"ERROR"))))</f>
        <v>0</v>
      </c>
      <c r="R163" s="156">
        <f>IF(OR('CREST Inputs'!$G$73="No",'CREST Inputs'!$Q$19="Performance-Based",'CREST Inputs'!$Q$19="Neither"),0,IF(AND('CREST Inputs'!$Q$20="ITC",R$2=1),'CREST Inputs'!$Q$23,IF(R$2&gt;1,0,IF('CREST Inputs'!$Q$20="Cash Grant",0,"ERROR"))))</f>
        <v>0</v>
      </c>
      <c r="S163" s="156">
        <f>IF(OR('CREST Inputs'!$G$73="No",'CREST Inputs'!$Q$19="Performance-Based",'CREST Inputs'!$Q$19="Neither"),0,IF(AND('CREST Inputs'!$Q$20="ITC",S$2=1),'CREST Inputs'!$Q$23,IF(S$2&gt;1,0,IF('CREST Inputs'!$Q$20="Cash Grant",0,"ERROR"))))</f>
        <v>0</v>
      </c>
      <c r="T163" s="156">
        <f>IF(OR('CREST Inputs'!$G$73="No",'CREST Inputs'!$Q$19="Performance-Based",'CREST Inputs'!$Q$19="Neither"),0,IF(AND('CREST Inputs'!$Q$20="ITC",T$2=1),'CREST Inputs'!$Q$23,IF(T$2&gt;1,0,IF('CREST Inputs'!$Q$20="Cash Grant",0,"ERROR"))))</f>
        <v>0</v>
      </c>
      <c r="U163" s="156">
        <f>IF(OR('CREST Inputs'!$G$73="No",'CREST Inputs'!$Q$19="Performance-Based",'CREST Inputs'!$Q$19="Neither"),0,IF(AND('CREST Inputs'!$Q$20="ITC",U$2=1),'CREST Inputs'!$Q$23,IF(U$2&gt;1,0,IF('CREST Inputs'!$Q$20="Cash Grant",0,"ERROR"))))</f>
        <v>0</v>
      </c>
      <c r="V163" s="156">
        <f>IF(OR('CREST Inputs'!$G$73="No",'CREST Inputs'!$Q$19="Performance-Based",'CREST Inputs'!$Q$19="Neither"),0,IF(AND('CREST Inputs'!$Q$20="ITC",V$2=1),'CREST Inputs'!$Q$23,IF(V$2&gt;1,0,IF('CREST Inputs'!$Q$20="Cash Grant",0,"ERROR"))))</f>
        <v>0</v>
      </c>
      <c r="W163" s="156">
        <f>IF(OR('CREST Inputs'!$G$73="No",'CREST Inputs'!$Q$19="Performance-Based",'CREST Inputs'!$Q$19="Neither"),0,IF(AND('CREST Inputs'!$Q$20="ITC",W$2=1),'CREST Inputs'!$Q$23,IF(W$2&gt;1,0,IF('CREST Inputs'!$Q$20="Cash Grant",0,"ERROR"))))</f>
        <v>0</v>
      </c>
      <c r="X163" s="156">
        <f>IF(OR('CREST Inputs'!$G$73="No",'CREST Inputs'!$Q$19="Performance-Based",'CREST Inputs'!$Q$19="Neither"),0,IF(AND('CREST Inputs'!$Q$20="ITC",X$2=1),'CREST Inputs'!$Q$23,IF(X$2&gt;1,0,IF('CREST Inputs'!$Q$20="Cash Grant",0,"ERROR"))))</f>
        <v>0</v>
      </c>
      <c r="Y163" s="156">
        <f>IF(OR('CREST Inputs'!$G$73="No",'CREST Inputs'!$Q$19="Performance-Based",'CREST Inputs'!$Q$19="Neither"),0,IF(AND('CREST Inputs'!$Q$20="ITC",Y$2=1),'CREST Inputs'!$Q$23,IF(Y$2&gt;1,0,IF('CREST Inputs'!$Q$20="Cash Grant",0,"ERROR"))))</f>
        <v>0</v>
      </c>
      <c r="Z163" s="156">
        <f>IF(OR('CREST Inputs'!$G$73="No",'CREST Inputs'!$Q$19="Performance-Based",'CREST Inputs'!$Q$19="Neither"),0,IF(AND('CREST Inputs'!$Q$20="ITC",Z$2=1),'CREST Inputs'!$Q$23,IF(Z$2&gt;1,0,IF('CREST Inputs'!$Q$20="Cash Grant",0,"ERROR"))))</f>
        <v>0</v>
      </c>
      <c r="AA163" s="156">
        <f>IF(OR('CREST Inputs'!$G$73="No",'CREST Inputs'!$Q$19="Performance-Based",'CREST Inputs'!$Q$19="Neither"),0,IF(AND('CREST Inputs'!$Q$20="ITC",AA$2=1),'CREST Inputs'!$Q$23,IF(AA$2&gt;1,0,IF('CREST Inputs'!$Q$20="Cash Grant",0,"ERROR"))))</f>
        <v>0</v>
      </c>
      <c r="AB163" s="156">
        <f>IF(OR('CREST Inputs'!$G$73="No",'CREST Inputs'!$Q$19="Performance-Based",'CREST Inputs'!$Q$19="Neither"),0,IF(AND('CREST Inputs'!$Q$20="ITC",AB$2=1),'CREST Inputs'!$Q$23,IF(AB$2&gt;1,0,IF('CREST Inputs'!$Q$20="Cash Grant",0,"ERROR"))))</f>
        <v>0</v>
      </c>
      <c r="AC163" s="156">
        <f>IF(OR('CREST Inputs'!$G$73="No",'CREST Inputs'!$Q$19="Performance-Based",'CREST Inputs'!$Q$19="Neither"),0,IF(AND('CREST Inputs'!$Q$20="ITC",AC$2=1),'CREST Inputs'!$Q$23,IF(AC$2&gt;1,0,IF('CREST Inputs'!$Q$20="Cash Grant",0,"ERROR"))))</f>
        <v>0</v>
      </c>
      <c r="AD163" s="156">
        <f>IF(OR('CREST Inputs'!$G$73="No",'CREST Inputs'!$Q$19="Performance-Based",'CREST Inputs'!$Q$19="Neither"),0,IF(AND('CREST Inputs'!$Q$20="ITC",AD$2=1),'CREST Inputs'!$Q$23,IF(AD$2&gt;1,0,IF('CREST Inputs'!$Q$20="Cash Grant",0,"ERROR"))))</f>
        <v>0</v>
      </c>
      <c r="AE163" s="156">
        <f>IF(OR('CREST Inputs'!$G$73="No",'CREST Inputs'!$Q$19="Performance-Based",'CREST Inputs'!$Q$19="Neither"),0,IF(AND('CREST Inputs'!$Q$20="ITC",AE$2=1),'CREST Inputs'!$Q$23,IF(AE$2&gt;1,0,IF('CREST Inputs'!$Q$20="Cash Grant",0,"ERROR"))))</f>
        <v>0</v>
      </c>
      <c r="AF163" s="156">
        <f>IF(OR('CREST Inputs'!$G$73="No",'CREST Inputs'!$Q$19="Performance-Based",'CREST Inputs'!$Q$19="Neither"),0,IF(AND('CREST Inputs'!$Q$20="ITC",AF$2=1),'CREST Inputs'!$Q$23,IF(AF$2&gt;1,0,IF('CREST Inputs'!$Q$20="Cash Grant",0,"ERROR"))))</f>
        <v>0</v>
      </c>
      <c r="AG163" s="156">
        <f>IF(OR('CREST Inputs'!$G$73="No",'CREST Inputs'!$Q$19="Performance-Based",'CREST Inputs'!$Q$19="Neither"),0,IF(AND('CREST Inputs'!$Q$20="ITC",AG$2=1),'CREST Inputs'!$Q$23,IF(AG$2&gt;1,0,IF('CREST Inputs'!$Q$20="Cash Grant",0,"ERROR"))))</f>
        <v>0</v>
      </c>
      <c r="AH163" s="156">
        <f>IF(OR('CREST Inputs'!$G$73="No",'CREST Inputs'!$Q$19="Performance-Based",'CREST Inputs'!$Q$19="Neither"),0,IF(AND('CREST Inputs'!$Q$20="ITC",AH$2=1),'CREST Inputs'!$Q$23,IF(AH$2&gt;1,0,IF('CREST Inputs'!$Q$20="Cash Grant",0,"ERROR"))))</f>
        <v>0</v>
      </c>
      <c r="AI163" s="156">
        <f>IF(OR('CREST Inputs'!$G$73="No",'CREST Inputs'!$Q$19="Performance-Based",'CREST Inputs'!$Q$19="Neither"),0,IF(AND('CREST Inputs'!$Q$20="ITC",AI$2=1),'CREST Inputs'!$Q$23,IF(AI$2&gt;1,0,IF('CREST Inputs'!$Q$20="Cash Grant",0,"ERROR"))))</f>
        <v>0</v>
      </c>
      <c r="AJ163" s="156">
        <f>IF(OR('CREST Inputs'!$G$73="No",'CREST Inputs'!$Q$19="Performance-Based",'CREST Inputs'!$Q$19="Neither"),0,IF(AND('CREST Inputs'!$Q$20="ITC",AJ$2=1),'CREST Inputs'!$Q$23,IF(AJ$2&gt;1,0,IF('CREST Inputs'!$Q$20="Cash Grant",0,"ERROR"))))</f>
        <v>0</v>
      </c>
    </row>
    <row r="164" spans="2:36" s="27" customFormat="1" ht="15">
      <c r="B164" s="95" t="s">
        <v>164</v>
      </c>
      <c r="C164" s="95"/>
      <c r="D164" s="95"/>
      <c r="E164" s="95"/>
      <c r="F164" s="110"/>
      <c r="G164" s="115">
        <f>IF(OR('CREST Inputs'!$G$73="No",'CREST Inputs'!$Q$19="Cost-Based",'CREST Inputs'!$Q$19="Neither"),0,IF('CREST Inputs'!$Q$24="Tax Credit",IF(G$2&gt;'CREST Inputs'!$Q$27,0,'CREST Inputs'!$Q$25/100*G$9*'CREST Inputs'!$Q$26*G$5*(1-MIN('CREST Inputs'!$Q$29/'CREST Inputs'!$G$26,50%))),0))</f>
        <v>0</v>
      </c>
      <c r="H164" s="115">
        <f>IF(OR('CREST Inputs'!$G$73="No",'CREST Inputs'!$Q$19="Cost-Based",'CREST Inputs'!$Q$19="Neither"),0,IF('CREST Inputs'!$Q$24="Tax Credit",IF(H$2&gt;'CREST Inputs'!$Q$27,0,'CREST Inputs'!$Q$25/100*H$9*'CREST Inputs'!$Q$26*H$5*(1-MIN('CREST Inputs'!$Q$29/'CREST Inputs'!$G$26,50%))),0))</f>
        <v>0</v>
      </c>
      <c r="I164" s="115">
        <f>IF(OR('CREST Inputs'!$G$73="No",'CREST Inputs'!$Q$19="Cost-Based",'CREST Inputs'!$Q$19="Neither"),0,IF('CREST Inputs'!$Q$24="Tax Credit",IF(I$2&gt;'CREST Inputs'!$Q$27,0,'CREST Inputs'!$Q$25/100*I$9*'CREST Inputs'!$Q$26*I$5*(1-MIN('CREST Inputs'!$Q$29/'CREST Inputs'!$G$26,50%))),0))</f>
        <v>0</v>
      </c>
      <c r="J164" s="115">
        <f>IF(OR('CREST Inputs'!$G$73="No",'CREST Inputs'!$Q$19="Cost-Based",'CREST Inputs'!$Q$19="Neither"),0,IF('CREST Inputs'!$Q$24="Tax Credit",IF(J$2&gt;'CREST Inputs'!$Q$27,0,'CREST Inputs'!$Q$25/100*J$9*'CREST Inputs'!$Q$26*J$5*(1-MIN('CREST Inputs'!$Q$29/'CREST Inputs'!$G$26,50%))),0))</f>
        <v>0</v>
      </c>
      <c r="K164" s="115">
        <f>IF(OR('CREST Inputs'!$G$73="No",'CREST Inputs'!$Q$19="Cost-Based",'CREST Inputs'!$Q$19="Neither"),0,IF('CREST Inputs'!$Q$24="Tax Credit",IF(K$2&gt;'CREST Inputs'!$Q$27,0,'CREST Inputs'!$Q$25/100*K$9*'CREST Inputs'!$Q$26*K$5*(1-MIN('CREST Inputs'!$Q$29/'CREST Inputs'!$G$26,50%))),0))</f>
        <v>0</v>
      </c>
      <c r="L164" s="115">
        <f>IF(OR('CREST Inputs'!$G$73="No",'CREST Inputs'!$Q$19="Cost-Based",'CREST Inputs'!$Q$19="Neither"),0,IF('CREST Inputs'!$Q$24="Tax Credit",IF(L$2&gt;'CREST Inputs'!$Q$27,0,'CREST Inputs'!$Q$25/100*L$9*'CREST Inputs'!$Q$26*L$5*(1-MIN('CREST Inputs'!$Q$29/'CREST Inputs'!$G$26,50%))),0))</f>
        <v>0</v>
      </c>
      <c r="M164" s="115">
        <f>IF(OR('CREST Inputs'!$G$73="No",'CREST Inputs'!$Q$19="Cost-Based",'CREST Inputs'!$Q$19="Neither"),0,IF('CREST Inputs'!$Q$24="Tax Credit",IF(M$2&gt;'CREST Inputs'!$Q$27,0,'CREST Inputs'!$Q$25/100*M$9*'CREST Inputs'!$Q$26*M$5*(1-MIN('CREST Inputs'!$Q$29/'CREST Inputs'!$G$26,50%))),0))</f>
        <v>0</v>
      </c>
      <c r="N164" s="115">
        <f>IF(OR('CREST Inputs'!$G$73="No",'CREST Inputs'!$Q$19="Cost-Based",'CREST Inputs'!$Q$19="Neither"),0,IF('CREST Inputs'!$Q$24="Tax Credit",IF(N$2&gt;'CREST Inputs'!$Q$27,0,'CREST Inputs'!$Q$25/100*N$9*'CREST Inputs'!$Q$26*N$5*(1-MIN('CREST Inputs'!$Q$29/'CREST Inputs'!$G$26,50%))),0))</f>
        <v>0</v>
      </c>
      <c r="O164" s="115">
        <f>IF(OR('CREST Inputs'!$G$73="No",'CREST Inputs'!$Q$19="Cost-Based",'CREST Inputs'!$Q$19="Neither"),0,IF('CREST Inputs'!$Q$24="Tax Credit",IF(O$2&gt;'CREST Inputs'!$Q$27,0,'CREST Inputs'!$Q$25/100*O$9*'CREST Inputs'!$Q$26*O$5*(1-MIN('CREST Inputs'!$Q$29/'CREST Inputs'!$G$26,50%))),0))</f>
        <v>0</v>
      </c>
      <c r="P164" s="115">
        <f>IF(OR('CREST Inputs'!$G$73="No",'CREST Inputs'!$Q$19="Cost-Based",'CREST Inputs'!$Q$19="Neither"),0,IF('CREST Inputs'!$Q$24="Tax Credit",IF(P$2&gt;'CREST Inputs'!$Q$27,0,'CREST Inputs'!$Q$25/100*P$9*'CREST Inputs'!$Q$26*P$5*(1-MIN('CREST Inputs'!$Q$29/'CREST Inputs'!$G$26,50%))),0))</f>
        <v>0</v>
      </c>
      <c r="Q164" s="115">
        <f>IF(OR('CREST Inputs'!$G$73="No",'CREST Inputs'!$Q$19="Cost-Based",'CREST Inputs'!$Q$19="Neither"),0,IF('CREST Inputs'!$Q$24="Tax Credit",IF(Q$2&gt;'CREST Inputs'!$Q$27,0,'CREST Inputs'!$Q$25/100*Q$9*'CREST Inputs'!$Q$26*Q$5*(1-MIN('CREST Inputs'!$Q$29/'CREST Inputs'!$G$26,50%))),0))</f>
        <v>0</v>
      </c>
      <c r="R164" s="115">
        <f>IF(OR('CREST Inputs'!$G$73="No",'CREST Inputs'!$Q$19="Cost-Based",'CREST Inputs'!$Q$19="Neither"),0,IF('CREST Inputs'!$Q$24="Tax Credit",IF(R$2&gt;'CREST Inputs'!$Q$27,0,'CREST Inputs'!$Q$25/100*R$9*'CREST Inputs'!$Q$26*R$5*(1-MIN('CREST Inputs'!$Q$29/'CREST Inputs'!$G$26,50%))),0))</f>
        <v>0</v>
      </c>
      <c r="S164" s="115">
        <f>IF(OR('CREST Inputs'!$G$73="No",'CREST Inputs'!$Q$19="Cost-Based",'CREST Inputs'!$Q$19="Neither"),0,IF('CREST Inputs'!$Q$24="Tax Credit",IF(S$2&gt;'CREST Inputs'!$Q$27,0,'CREST Inputs'!$Q$25/100*S$9*'CREST Inputs'!$Q$26*S$5*(1-MIN('CREST Inputs'!$Q$29/'CREST Inputs'!$G$26,50%))),0))</f>
        <v>0</v>
      </c>
      <c r="T164" s="115">
        <f>IF(OR('CREST Inputs'!$G$73="No",'CREST Inputs'!$Q$19="Cost-Based",'CREST Inputs'!$Q$19="Neither"),0,IF('CREST Inputs'!$Q$24="Tax Credit",IF(T$2&gt;'CREST Inputs'!$Q$27,0,'CREST Inputs'!$Q$25/100*T$9*'CREST Inputs'!$Q$26*T$5*(1-MIN('CREST Inputs'!$Q$29/'CREST Inputs'!$G$26,50%))),0))</f>
        <v>0</v>
      </c>
      <c r="U164" s="115">
        <f>IF(OR('CREST Inputs'!$G$73="No",'CREST Inputs'!$Q$19="Cost-Based",'CREST Inputs'!$Q$19="Neither"),0,IF('CREST Inputs'!$Q$24="Tax Credit",IF(U$2&gt;'CREST Inputs'!$Q$27,0,'CREST Inputs'!$Q$25/100*U$9*'CREST Inputs'!$Q$26*U$5*(1-MIN('CREST Inputs'!$Q$29/'CREST Inputs'!$G$26,50%))),0))</f>
        <v>0</v>
      </c>
      <c r="V164" s="115">
        <f>IF(OR('CREST Inputs'!$G$73="No",'CREST Inputs'!$Q$19="Cost-Based",'CREST Inputs'!$Q$19="Neither"),0,IF('CREST Inputs'!$Q$24="Tax Credit",IF(V$2&gt;'CREST Inputs'!$Q$27,0,'CREST Inputs'!$Q$25/100*V$9*'CREST Inputs'!$Q$26*V$5*(1-MIN('CREST Inputs'!$Q$29/'CREST Inputs'!$G$26,50%))),0))</f>
        <v>0</v>
      </c>
      <c r="W164" s="115">
        <f>IF(OR('CREST Inputs'!$G$73="No",'CREST Inputs'!$Q$19="Cost-Based",'CREST Inputs'!$Q$19="Neither"),0,IF('CREST Inputs'!$Q$24="Tax Credit",IF(W$2&gt;'CREST Inputs'!$Q$27,0,'CREST Inputs'!$Q$25/100*W$9*'CREST Inputs'!$Q$26*W$5*(1-MIN('CREST Inputs'!$Q$29/'CREST Inputs'!$G$26,50%))),0))</f>
        <v>0</v>
      </c>
      <c r="X164" s="115">
        <f>IF(OR('CREST Inputs'!$G$73="No",'CREST Inputs'!$Q$19="Cost-Based",'CREST Inputs'!$Q$19="Neither"),0,IF('CREST Inputs'!$Q$24="Tax Credit",IF(X$2&gt;'CREST Inputs'!$Q$27,0,'CREST Inputs'!$Q$25/100*X$9*'CREST Inputs'!$Q$26*X$5*(1-MIN('CREST Inputs'!$Q$29/'CREST Inputs'!$G$26,50%))),0))</f>
        <v>0</v>
      </c>
      <c r="Y164" s="115">
        <f>IF(OR('CREST Inputs'!$G$73="No",'CREST Inputs'!$Q$19="Cost-Based",'CREST Inputs'!$Q$19="Neither"),0,IF('CREST Inputs'!$Q$24="Tax Credit",IF(Y$2&gt;'CREST Inputs'!$Q$27,0,'CREST Inputs'!$Q$25/100*Y$9*'CREST Inputs'!$Q$26*Y$5*(1-MIN('CREST Inputs'!$Q$29/'CREST Inputs'!$G$26,50%))),0))</f>
        <v>0</v>
      </c>
      <c r="Z164" s="115">
        <f>IF(OR('CREST Inputs'!$G$73="No",'CREST Inputs'!$Q$19="Cost-Based",'CREST Inputs'!$Q$19="Neither"),0,IF('CREST Inputs'!$Q$24="Tax Credit",IF(Z$2&gt;'CREST Inputs'!$Q$27,0,'CREST Inputs'!$Q$25/100*Z$9*'CREST Inputs'!$Q$26*Z$5*(1-MIN('CREST Inputs'!$Q$29/'CREST Inputs'!$G$26,50%))),0))</f>
        <v>0</v>
      </c>
      <c r="AA164" s="115">
        <f>IF(OR('CREST Inputs'!$G$73="No",'CREST Inputs'!$Q$19="Cost-Based",'CREST Inputs'!$Q$19="Neither"),0,IF('CREST Inputs'!$Q$24="Tax Credit",IF(AA$2&gt;'CREST Inputs'!$Q$27,0,'CREST Inputs'!$Q$25/100*AA$9*'CREST Inputs'!$Q$26*AA$5*(1-MIN('CREST Inputs'!$Q$29/'CREST Inputs'!$G$26,50%))),0))</f>
        <v>0</v>
      </c>
      <c r="AB164" s="115">
        <f>IF(OR('CREST Inputs'!$G$73="No",'CREST Inputs'!$Q$19="Cost-Based",'CREST Inputs'!$Q$19="Neither"),0,IF('CREST Inputs'!$Q$24="Tax Credit",IF(AB$2&gt;'CREST Inputs'!$Q$27,0,'CREST Inputs'!$Q$25/100*AB$9*'CREST Inputs'!$Q$26*AB$5*(1-MIN('CREST Inputs'!$Q$29/'CREST Inputs'!$G$26,50%))),0))</f>
        <v>0</v>
      </c>
      <c r="AC164" s="115">
        <f>IF(OR('CREST Inputs'!$G$73="No",'CREST Inputs'!$Q$19="Cost-Based",'CREST Inputs'!$Q$19="Neither"),0,IF('CREST Inputs'!$Q$24="Tax Credit",IF(AC$2&gt;'CREST Inputs'!$Q$27,0,'CREST Inputs'!$Q$25/100*AC$9*'CREST Inputs'!$Q$26*AC$5*(1-MIN('CREST Inputs'!$Q$29/'CREST Inputs'!$G$26,50%))),0))</f>
        <v>0</v>
      </c>
      <c r="AD164" s="115">
        <f>IF(OR('CREST Inputs'!$G$73="No",'CREST Inputs'!$Q$19="Cost-Based",'CREST Inputs'!$Q$19="Neither"),0,IF('CREST Inputs'!$Q$24="Tax Credit",IF(AD$2&gt;'CREST Inputs'!$Q$27,0,'CREST Inputs'!$Q$25/100*AD$9*'CREST Inputs'!$Q$26*AD$5*(1-MIN('CREST Inputs'!$Q$29/'CREST Inputs'!$G$26,50%))),0))</f>
        <v>0</v>
      </c>
      <c r="AE164" s="115">
        <f>IF(OR('CREST Inputs'!$G$73="No",'CREST Inputs'!$Q$19="Cost-Based",'CREST Inputs'!$Q$19="Neither"),0,IF('CREST Inputs'!$Q$24="Tax Credit",IF(AE$2&gt;'CREST Inputs'!$Q$27,0,'CREST Inputs'!$Q$25/100*AE$9*'CREST Inputs'!$Q$26*AE$5*(1-MIN('CREST Inputs'!$Q$29/'CREST Inputs'!$G$26,50%))),0))</f>
        <v>0</v>
      </c>
      <c r="AF164" s="115">
        <f>IF(OR('CREST Inputs'!$G$73="No",'CREST Inputs'!$Q$19="Cost-Based",'CREST Inputs'!$Q$19="Neither"),0,IF('CREST Inputs'!$Q$24="Tax Credit",IF(AF$2&gt;'CREST Inputs'!$Q$27,0,'CREST Inputs'!$Q$25/100*AF$9*'CREST Inputs'!$Q$26*AF$5*(1-MIN('CREST Inputs'!$Q$29/'CREST Inputs'!$G$26,50%))),0))</f>
        <v>0</v>
      </c>
      <c r="AG164" s="115">
        <f>IF(OR('CREST Inputs'!$G$73="No",'CREST Inputs'!$Q$19="Cost-Based",'CREST Inputs'!$Q$19="Neither"),0,IF('CREST Inputs'!$Q$24="Tax Credit",IF(AG$2&gt;'CREST Inputs'!$Q$27,0,'CREST Inputs'!$Q$25/100*AG$9*'CREST Inputs'!$Q$26*AG$5*(1-MIN('CREST Inputs'!$Q$29/'CREST Inputs'!$G$26,50%))),0))</f>
        <v>0</v>
      </c>
      <c r="AH164" s="115">
        <f>IF(OR('CREST Inputs'!$G$73="No",'CREST Inputs'!$Q$19="Cost-Based",'CREST Inputs'!$Q$19="Neither"),0,IF('CREST Inputs'!$Q$24="Tax Credit",IF(AH$2&gt;'CREST Inputs'!$Q$27,0,'CREST Inputs'!$Q$25/100*AH$9*'CREST Inputs'!$Q$26*AH$5*(1-MIN('CREST Inputs'!$Q$29/'CREST Inputs'!$G$26,50%))),0))</f>
        <v>0</v>
      </c>
      <c r="AI164" s="115">
        <f>IF(OR('CREST Inputs'!$G$73="No",'CREST Inputs'!$Q$19="Cost-Based",'CREST Inputs'!$Q$19="Neither"),0,IF('CREST Inputs'!$Q$24="Tax Credit",IF(AI$2&gt;'CREST Inputs'!$Q$27,0,'CREST Inputs'!$Q$25/100*AI$9*'CREST Inputs'!$Q$26*AI$5*(1-MIN('CREST Inputs'!$Q$29/'CREST Inputs'!$G$26,50%))),0))</f>
        <v>0</v>
      </c>
      <c r="AJ164" s="115">
        <f>IF(OR('CREST Inputs'!$G$73="No",'CREST Inputs'!$Q$19="Cost-Based",'CREST Inputs'!$Q$19="Neither"),0,IF('CREST Inputs'!$Q$24="Tax Credit",IF(AJ$2&gt;'CREST Inputs'!$Q$27,0,'CREST Inputs'!$Q$25/100*AJ$9*'CREST Inputs'!$Q$26*AJ$5*(1-MIN('CREST Inputs'!$Q$29/'CREST Inputs'!$G$26,50%))),0))</f>
        <v>0</v>
      </c>
    </row>
    <row r="165" spans="2:36" s="27" customFormat="1" ht="15">
      <c r="B165" s="95"/>
      <c r="C165" s="95"/>
      <c r="D165" s="95"/>
      <c r="E165" s="95"/>
      <c r="F165" s="110"/>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2:36" s="27" customFormat="1" ht="15">
      <c r="B166" s="95" t="s">
        <v>194</v>
      </c>
      <c r="C166" s="95"/>
      <c r="D166" s="95"/>
      <c r="E166" s="95"/>
      <c r="F166" s="110"/>
      <c r="G166" s="115">
        <f>SUM(G163:G164)</f>
        <v>0</v>
      </c>
      <c r="H166" s="115">
        <f aca="true" t="shared" si="54" ref="H166:AJ166">SUM(H163:H164)</f>
        <v>0</v>
      </c>
      <c r="I166" s="115">
        <f t="shared" si="54"/>
        <v>0</v>
      </c>
      <c r="J166" s="115">
        <f t="shared" si="54"/>
        <v>0</v>
      </c>
      <c r="K166" s="115">
        <f t="shared" si="54"/>
        <v>0</v>
      </c>
      <c r="L166" s="115">
        <f t="shared" si="54"/>
        <v>0</v>
      </c>
      <c r="M166" s="115">
        <f t="shared" si="54"/>
        <v>0</v>
      </c>
      <c r="N166" s="115">
        <f t="shared" si="54"/>
        <v>0</v>
      </c>
      <c r="O166" s="115">
        <f t="shared" si="54"/>
        <v>0</v>
      </c>
      <c r="P166" s="115">
        <f t="shared" si="54"/>
        <v>0</v>
      </c>
      <c r="Q166" s="115">
        <f t="shared" si="54"/>
        <v>0</v>
      </c>
      <c r="R166" s="115">
        <f t="shared" si="54"/>
        <v>0</v>
      </c>
      <c r="S166" s="115">
        <f t="shared" si="54"/>
        <v>0</v>
      </c>
      <c r="T166" s="115">
        <f t="shared" si="54"/>
        <v>0</v>
      </c>
      <c r="U166" s="115">
        <f t="shared" si="54"/>
        <v>0</v>
      </c>
      <c r="V166" s="115">
        <f t="shared" si="54"/>
        <v>0</v>
      </c>
      <c r="W166" s="115">
        <f t="shared" si="54"/>
        <v>0</v>
      </c>
      <c r="X166" s="115">
        <f t="shared" si="54"/>
        <v>0</v>
      </c>
      <c r="Y166" s="115">
        <f t="shared" si="54"/>
        <v>0</v>
      </c>
      <c r="Z166" s="115">
        <f t="shared" si="54"/>
        <v>0</v>
      </c>
      <c r="AA166" s="115">
        <f t="shared" si="54"/>
        <v>0</v>
      </c>
      <c r="AB166" s="115">
        <f t="shared" si="54"/>
        <v>0</v>
      </c>
      <c r="AC166" s="115">
        <f t="shared" si="54"/>
        <v>0</v>
      </c>
      <c r="AD166" s="115">
        <f t="shared" si="54"/>
        <v>0</v>
      </c>
      <c r="AE166" s="115">
        <f t="shared" si="54"/>
        <v>0</v>
      </c>
      <c r="AF166" s="115">
        <f t="shared" si="54"/>
        <v>0</v>
      </c>
      <c r="AG166" s="115">
        <f t="shared" si="54"/>
        <v>0</v>
      </c>
      <c r="AH166" s="115">
        <f t="shared" si="54"/>
        <v>0</v>
      </c>
      <c r="AI166" s="115">
        <f t="shared" si="54"/>
        <v>0</v>
      </c>
      <c r="AJ166" s="115">
        <f t="shared" si="54"/>
        <v>0</v>
      </c>
    </row>
    <row r="167" spans="2:36" s="27" customFormat="1" ht="15">
      <c r="B167" s="95"/>
      <c r="C167" s="95"/>
      <c r="D167" s="95"/>
      <c r="E167" s="95"/>
      <c r="F167" s="110"/>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2:36" s="27" customFormat="1" ht="15">
      <c r="B168" s="157" t="s">
        <v>195</v>
      </c>
      <c r="C168" s="157"/>
      <c r="D168" s="157"/>
      <c r="E168" s="95"/>
      <c r="F168" s="110"/>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2:36" s="27" customFormat="1" ht="15">
      <c r="B169" s="95" t="str">
        <f>B63</f>
        <v>Federal Income Taxes Saved / (Paid), before ITC/PTC</v>
      </c>
      <c r="C169" s="95"/>
      <c r="D169" s="95"/>
      <c r="E169" s="95"/>
      <c r="F169" s="110"/>
      <c r="G169" s="115" t="str">
        <f>IF('CREST Inputs'!$G$75="as generated","N/A",'Cash Flow'!G63)</f>
        <v>N/A</v>
      </c>
      <c r="H169" s="115" t="str">
        <f>IF('CREST Inputs'!$G$75="as generated","N/A",'Cash Flow'!H63)</f>
        <v>N/A</v>
      </c>
      <c r="I169" s="115" t="str">
        <f>IF('CREST Inputs'!$G$75="as generated","N/A",'Cash Flow'!I63)</f>
        <v>N/A</v>
      </c>
      <c r="J169" s="115" t="str">
        <f>IF('CREST Inputs'!$G$75="as generated","N/A",'Cash Flow'!J63)</f>
        <v>N/A</v>
      </c>
      <c r="K169" s="115" t="str">
        <f>IF('CREST Inputs'!$G$75="as generated","N/A",'Cash Flow'!K63)</f>
        <v>N/A</v>
      </c>
      <c r="L169" s="115" t="str">
        <f>IF('CREST Inputs'!$G$75="as generated","N/A",'Cash Flow'!L63)</f>
        <v>N/A</v>
      </c>
      <c r="M169" s="115" t="str">
        <f>IF('CREST Inputs'!$G$75="as generated","N/A",'Cash Flow'!M63)</f>
        <v>N/A</v>
      </c>
      <c r="N169" s="115" t="str">
        <f>IF('CREST Inputs'!$G$75="as generated","N/A",'Cash Flow'!N63)</f>
        <v>N/A</v>
      </c>
      <c r="O169" s="115" t="str">
        <f>IF('CREST Inputs'!$G$75="as generated","N/A",'Cash Flow'!O63)</f>
        <v>N/A</v>
      </c>
      <c r="P169" s="115" t="str">
        <f>IF('CREST Inputs'!$G$75="as generated","N/A",'Cash Flow'!P63)</f>
        <v>N/A</v>
      </c>
      <c r="Q169" s="115" t="str">
        <f>IF('CREST Inputs'!$G$75="as generated","N/A",'Cash Flow'!Q63)</f>
        <v>N/A</v>
      </c>
      <c r="R169" s="115" t="str">
        <f>IF('CREST Inputs'!$G$75="as generated","N/A",'Cash Flow'!R63)</f>
        <v>N/A</v>
      </c>
      <c r="S169" s="115" t="str">
        <f>IF('CREST Inputs'!$G$75="as generated","N/A",'Cash Flow'!S63)</f>
        <v>N/A</v>
      </c>
      <c r="T169" s="115" t="str">
        <f>IF('CREST Inputs'!$G$75="as generated","N/A",'Cash Flow'!T63)</f>
        <v>N/A</v>
      </c>
      <c r="U169" s="115" t="str">
        <f>IF('CREST Inputs'!$G$75="as generated","N/A",'Cash Flow'!U63)</f>
        <v>N/A</v>
      </c>
      <c r="V169" s="115" t="str">
        <f>IF('CREST Inputs'!$G$75="as generated","N/A",'Cash Flow'!V63)</f>
        <v>N/A</v>
      </c>
      <c r="W169" s="115" t="str">
        <f>IF('CREST Inputs'!$G$75="as generated","N/A",'Cash Flow'!W63)</f>
        <v>N/A</v>
      </c>
      <c r="X169" s="115" t="str">
        <f>IF('CREST Inputs'!$G$75="as generated","N/A",'Cash Flow'!X63)</f>
        <v>N/A</v>
      </c>
      <c r="Y169" s="115" t="str">
        <f>IF('CREST Inputs'!$G$75="as generated","N/A",'Cash Flow'!Y63)</f>
        <v>N/A</v>
      </c>
      <c r="Z169" s="115" t="str">
        <f>IF('CREST Inputs'!$G$75="as generated","N/A",'Cash Flow'!Z63)</f>
        <v>N/A</v>
      </c>
      <c r="AA169" s="115" t="str">
        <f>IF('CREST Inputs'!$G$75="as generated","N/A",'Cash Flow'!AA63)</f>
        <v>N/A</v>
      </c>
      <c r="AB169" s="115" t="str">
        <f>IF('CREST Inputs'!$G$75="as generated","N/A",'Cash Flow'!AB63)</f>
        <v>N/A</v>
      </c>
      <c r="AC169" s="115" t="str">
        <f>IF('CREST Inputs'!$G$75="as generated","N/A",'Cash Flow'!AC63)</f>
        <v>N/A</v>
      </c>
      <c r="AD169" s="115" t="str">
        <f>IF('CREST Inputs'!$G$75="as generated","N/A",'Cash Flow'!AD63)</f>
        <v>N/A</v>
      </c>
      <c r="AE169" s="115" t="str">
        <f>IF('CREST Inputs'!$G$75="as generated","N/A",'Cash Flow'!AE63)</f>
        <v>N/A</v>
      </c>
      <c r="AF169" s="115" t="str">
        <f>IF('CREST Inputs'!$G$75="as generated","N/A",'Cash Flow'!AF63)</f>
        <v>N/A</v>
      </c>
      <c r="AG169" s="115" t="str">
        <f>IF('CREST Inputs'!$G$75="as generated","N/A",'Cash Flow'!AG63)</f>
        <v>N/A</v>
      </c>
      <c r="AH169" s="115" t="str">
        <f>IF('CREST Inputs'!$G$75="as generated","N/A",'Cash Flow'!AH63)</f>
        <v>N/A</v>
      </c>
      <c r="AI169" s="115" t="str">
        <f>IF('CREST Inputs'!$G$75="as generated","N/A",'Cash Flow'!AI63)</f>
        <v>N/A</v>
      </c>
      <c r="AJ169" s="115" t="str">
        <f>IF('CREST Inputs'!$G$75="as generated","N/A",'Cash Flow'!AJ63)</f>
        <v>N/A</v>
      </c>
    </row>
    <row r="170" spans="2:36" s="27" customFormat="1" ht="15">
      <c r="B170" s="95"/>
      <c r="C170" s="95"/>
      <c r="D170" s="95"/>
      <c r="E170" s="95"/>
      <c r="F170" s="110"/>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2:36" s="27" customFormat="1" ht="15">
      <c r="B171" s="95" t="s">
        <v>226</v>
      </c>
      <c r="C171" s="95"/>
      <c r="D171" s="95"/>
      <c r="E171" s="95"/>
      <c r="F171" s="110"/>
      <c r="G171" s="115">
        <v>0</v>
      </c>
      <c r="H171" s="115">
        <f>IF('CREST Inputs'!$G$75="as generated",0,G174)</f>
        <v>0</v>
      </c>
      <c r="I171" s="115">
        <f>IF('CREST Inputs'!$G$75="as generated",0,H174)</f>
        <v>0</v>
      </c>
      <c r="J171" s="115">
        <f>IF('CREST Inputs'!$G$75="as generated",0,I174)</f>
        <v>0</v>
      </c>
      <c r="K171" s="115">
        <f>IF('CREST Inputs'!$G$75="as generated",0,J174)</f>
        <v>0</v>
      </c>
      <c r="L171" s="115">
        <f>IF('CREST Inputs'!$G$75="as generated",0,K174)</f>
        <v>0</v>
      </c>
      <c r="M171" s="115">
        <f>IF('CREST Inputs'!$G$75="as generated",0,L174)</f>
        <v>0</v>
      </c>
      <c r="N171" s="115">
        <f>IF('CREST Inputs'!$G$75="as generated",0,M174)</f>
        <v>0</v>
      </c>
      <c r="O171" s="115">
        <f>IF('CREST Inputs'!$G$75="as generated",0,N174)</f>
        <v>0</v>
      </c>
      <c r="P171" s="115">
        <f>IF('CREST Inputs'!$G$75="as generated",0,O174)</f>
        <v>0</v>
      </c>
      <c r="Q171" s="115">
        <f>IF('CREST Inputs'!$G$75="as generated",0,P174)</f>
        <v>0</v>
      </c>
      <c r="R171" s="115">
        <f>IF('CREST Inputs'!$G$75="as generated",0,Q174)</f>
        <v>0</v>
      </c>
      <c r="S171" s="115">
        <f>IF('CREST Inputs'!$G$75="as generated",0,R174)</f>
        <v>0</v>
      </c>
      <c r="T171" s="115">
        <f>IF('CREST Inputs'!$G$75="as generated",0,S174)</f>
        <v>0</v>
      </c>
      <c r="U171" s="115">
        <f>IF('CREST Inputs'!$G$75="as generated",0,T174)</f>
        <v>0</v>
      </c>
      <c r="V171" s="115">
        <f>IF('CREST Inputs'!$G$75="as generated",0,U174)</f>
        <v>0</v>
      </c>
      <c r="W171" s="115">
        <f>IF('CREST Inputs'!$G$75="as generated",0,V174)</f>
        <v>0</v>
      </c>
      <c r="X171" s="115">
        <f>IF('CREST Inputs'!$G$75="as generated",0,W174)</f>
        <v>0</v>
      </c>
      <c r="Y171" s="115">
        <f>IF('CREST Inputs'!$G$75="as generated",0,X174)</f>
        <v>0</v>
      </c>
      <c r="Z171" s="115">
        <f>IF('CREST Inputs'!$G$75="as generated",0,Y174)</f>
        <v>0</v>
      </c>
      <c r="AA171" s="115">
        <f>IF('CREST Inputs'!$G$75="as generated",0,Z174)</f>
        <v>0</v>
      </c>
      <c r="AB171" s="115">
        <f>IF('CREST Inputs'!$G$75="as generated",0,AA174)</f>
        <v>0</v>
      </c>
      <c r="AC171" s="115">
        <f>IF('CREST Inputs'!$G$75="as generated",0,AB174)</f>
        <v>0</v>
      </c>
      <c r="AD171" s="115">
        <f>IF('CREST Inputs'!$G$75="as generated",0,AC174)</f>
        <v>0</v>
      </c>
      <c r="AE171" s="115">
        <f>IF('CREST Inputs'!$G$75="as generated",0,AD174)</f>
        <v>0</v>
      </c>
      <c r="AF171" s="115">
        <f>IF('CREST Inputs'!$G$75="as generated",0,AE174)</f>
        <v>0</v>
      </c>
      <c r="AG171" s="115">
        <f>IF('CREST Inputs'!$G$75="as generated",0,AF174)</f>
        <v>0</v>
      </c>
      <c r="AH171" s="115">
        <f>IF('CREST Inputs'!$G$75="as generated",0,AG174)</f>
        <v>0</v>
      </c>
      <c r="AI171" s="115">
        <f>IF('CREST Inputs'!$G$75="as generated",0,AH174)</f>
        <v>0</v>
      </c>
      <c r="AJ171" s="115">
        <f>IF('CREST Inputs'!$G$75="as generated",0,AI174)</f>
        <v>0</v>
      </c>
    </row>
    <row r="172" spans="2:36" s="27" customFormat="1" ht="15">
      <c r="B172" s="95" t="s">
        <v>227</v>
      </c>
      <c r="C172" s="95"/>
      <c r="D172" s="95"/>
      <c r="E172" s="95"/>
      <c r="F172" s="110"/>
      <c r="G172" s="115">
        <f>IF('CREST Inputs'!$G$75="as generated",0,IF(G169&lt;=0,G166,0))</f>
        <v>0</v>
      </c>
      <c r="H172" s="115">
        <f>IF('CREST Inputs'!$G$75="as generated",0,IF(H169&lt;=0,H166,0))</f>
        <v>0</v>
      </c>
      <c r="I172" s="115">
        <f>IF('CREST Inputs'!$G$75="as generated",0,IF(I169&lt;=0,I166,0))</f>
        <v>0</v>
      </c>
      <c r="J172" s="115">
        <f>IF('CREST Inputs'!$G$75="as generated",0,IF(J169&lt;=0,J166,0))</f>
        <v>0</v>
      </c>
      <c r="K172" s="115">
        <f>IF('CREST Inputs'!$G$75="as generated",0,IF(K169&lt;=0,K166,0))</f>
        <v>0</v>
      </c>
      <c r="L172" s="115">
        <f>IF('CREST Inputs'!$G$75="as generated",0,IF(L169&lt;=0,L166,0))</f>
        <v>0</v>
      </c>
      <c r="M172" s="115">
        <f>IF('CREST Inputs'!$G$75="as generated",0,IF(M169&lt;=0,M166,0))</f>
        <v>0</v>
      </c>
      <c r="N172" s="115">
        <f>IF('CREST Inputs'!$G$75="as generated",0,IF(N169&lt;=0,N166,0))</f>
        <v>0</v>
      </c>
      <c r="O172" s="115">
        <f>IF('CREST Inputs'!$G$75="as generated",0,IF(O169&lt;=0,O166,0))</f>
        <v>0</v>
      </c>
      <c r="P172" s="115">
        <f>IF('CREST Inputs'!$G$75="as generated",0,IF(P169&lt;=0,P166,0))</f>
        <v>0</v>
      </c>
      <c r="Q172" s="115">
        <f>IF('CREST Inputs'!$G$75="as generated",0,IF(Q169&lt;=0,Q166,0))</f>
        <v>0</v>
      </c>
      <c r="R172" s="115">
        <f>IF('CREST Inputs'!$G$75="as generated",0,IF(R169&lt;=0,R166,0))</f>
        <v>0</v>
      </c>
      <c r="S172" s="115">
        <f>IF('CREST Inputs'!$G$75="as generated",0,IF(S169&lt;=0,S166,0))</f>
        <v>0</v>
      </c>
      <c r="T172" s="115">
        <f>IF('CREST Inputs'!$G$75="as generated",0,IF(T169&lt;=0,T166,0))</f>
        <v>0</v>
      </c>
      <c r="U172" s="115">
        <f>IF('CREST Inputs'!$G$75="as generated",0,IF(U169&lt;=0,U166,0))</f>
        <v>0</v>
      </c>
      <c r="V172" s="115">
        <f>IF('CREST Inputs'!$G$75="as generated",0,IF(V169&lt;=0,V166,0))</f>
        <v>0</v>
      </c>
      <c r="W172" s="115">
        <f>IF('CREST Inputs'!$G$75="as generated",0,IF(W169&lt;=0,W166,0))</f>
        <v>0</v>
      </c>
      <c r="X172" s="115">
        <f>IF('CREST Inputs'!$G$75="as generated",0,IF(X169&lt;=0,X166,0))</f>
        <v>0</v>
      </c>
      <c r="Y172" s="115">
        <f>IF('CREST Inputs'!$G$75="as generated",0,IF(Y169&lt;=0,Y166,0))</f>
        <v>0</v>
      </c>
      <c r="Z172" s="115">
        <f>IF('CREST Inputs'!$G$75="as generated",0,IF(Z169&lt;=0,Z166,0))</f>
        <v>0</v>
      </c>
      <c r="AA172" s="115">
        <f>IF('CREST Inputs'!$G$75="as generated",0,IF(AA169&lt;=0,AA166,0))</f>
        <v>0</v>
      </c>
      <c r="AB172" s="115">
        <f>IF('CREST Inputs'!$G$75="as generated",0,IF(AB169&lt;=0,AB166,0))</f>
        <v>0</v>
      </c>
      <c r="AC172" s="115">
        <f>IF('CREST Inputs'!$G$75="as generated",0,IF(AC169&lt;=0,AC166,0))</f>
        <v>0</v>
      </c>
      <c r="AD172" s="115">
        <f>IF('CREST Inputs'!$G$75="as generated",0,IF(AD169&lt;=0,AD166,0))</f>
        <v>0</v>
      </c>
      <c r="AE172" s="115">
        <f>IF('CREST Inputs'!$G$75="as generated",0,IF(AE169&lt;=0,AE166,0))</f>
        <v>0</v>
      </c>
      <c r="AF172" s="115">
        <f>IF('CREST Inputs'!$G$75="as generated",0,IF(AF169&lt;=0,AF166,0))</f>
        <v>0</v>
      </c>
      <c r="AG172" s="115">
        <f>IF('CREST Inputs'!$G$75="as generated",0,IF(AG169&lt;=0,AG166,0))</f>
        <v>0</v>
      </c>
      <c r="AH172" s="115">
        <f>IF('CREST Inputs'!$G$75="as generated",0,IF(AH169&lt;=0,AH166,0))</f>
        <v>0</v>
      </c>
      <c r="AI172" s="115">
        <f>IF('CREST Inputs'!$G$75="as generated",0,IF(AI169&lt;=0,AI166,0))</f>
        <v>0</v>
      </c>
      <c r="AJ172" s="115">
        <f>IF('CREST Inputs'!$G$75="as generated",0,IF(AJ169&lt;=0,AJ166,0))</f>
        <v>0</v>
      </c>
    </row>
    <row r="173" spans="2:36" s="27" customFormat="1" ht="15">
      <c r="B173" s="95" t="s">
        <v>228</v>
      </c>
      <c r="C173" s="95"/>
      <c r="D173" s="95"/>
      <c r="E173" s="95"/>
      <c r="F173" s="110"/>
      <c r="G173" s="115">
        <f>IF('CREST Inputs'!$G$75="as generated",0,IF(G$169&lt;0,MAX(G$169,-G$172),0))</f>
        <v>0</v>
      </c>
      <c r="H173" s="115">
        <f>IF('CREST Inputs'!$G$75="as generated",0,IF(H$169&lt;0,MAX(H$169,-G$174),0))</f>
        <v>0</v>
      </c>
      <c r="I173" s="115">
        <f>IF('CREST Inputs'!$G$75="as generated",0,IF(I$169&lt;0,MAX(I$169,-H$174),0))</f>
        <v>0</v>
      </c>
      <c r="J173" s="115">
        <f>IF('CREST Inputs'!$G$75="as generated",0,IF(J$169&lt;0,MAX(J$169,-I$174),0))</f>
        <v>0</v>
      </c>
      <c r="K173" s="115">
        <f>IF('CREST Inputs'!$G$75="as generated",0,IF(K$169&lt;0,MAX(K$169,-J$174),0))</f>
        <v>0</v>
      </c>
      <c r="L173" s="115">
        <f>IF('CREST Inputs'!$G$75="as generated",0,IF(L$169&lt;0,MAX(L$169,-K$174),0))</f>
        <v>0</v>
      </c>
      <c r="M173" s="115">
        <f>IF('CREST Inputs'!$G$75="as generated",0,IF(M$169&lt;0,MAX(M$169,-L$174),0))</f>
        <v>0</v>
      </c>
      <c r="N173" s="115">
        <f>IF('CREST Inputs'!$G$75="as generated",0,IF(N$169&lt;0,MAX(N$169,-M$174),0))</f>
        <v>0</v>
      </c>
      <c r="O173" s="115">
        <f>IF('CREST Inputs'!$G$75="as generated",0,IF(O$169&lt;0,MAX(O$169,-N$174),0))</f>
        <v>0</v>
      </c>
      <c r="P173" s="115">
        <f>IF('CREST Inputs'!$G$75="as generated",0,IF(P$169&lt;0,MAX(P$169,-O$174),0))</f>
        <v>0</v>
      </c>
      <c r="Q173" s="115">
        <f>IF('CREST Inputs'!$G$75="as generated",0,IF(Q$169&lt;0,MAX(Q$169,-P$174),0))</f>
        <v>0</v>
      </c>
      <c r="R173" s="115">
        <f>IF('CREST Inputs'!$G$75="as generated",0,IF(R$169&lt;0,MAX(R$169,-Q$174),0))</f>
        <v>0</v>
      </c>
      <c r="S173" s="115">
        <f>IF('CREST Inputs'!$G$75="as generated",0,IF(S$169&lt;0,MAX(S$169,-R$174),0))</f>
        <v>0</v>
      </c>
      <c r="T173" s="115">
        <f>IF('CREST Inputs'!$G$75="as generated",0,IF(T$169&lt;0,MAX(T$169,-S$174),0))</f>
        <v>0</v>
      </c>
      <c r="U173" s="115">
        <f>IF('CREST Inputs'!$G$75="as generated",0,IF(U$169&lt;0,MAX(U$169,-T$174),0))</f>
        <v>0</v>
      </c>
      <c r="V173" s="115">
        <f>IF('CREST Inputs'!$G$75="as generated",0,IF(V$169&lt;0,MAX(V$169,-U$174),0))</f>
        <v>0</v>
      </c>
      <c r="W173" s="115">
        <f>IF('CREST Inputs'!$G$75="as generated",0,IF(W$169&lt;0,MAX(W$169,-V$174),0))</f>
        <v>0</v>
      </c>
      <c r="X173" s="115">
        <f>IF('CREST Inputs'!$G$75="as generated",0,IF(X$169&lt;0,MAX(X$169,-W$174),0))</f>
        <v>0</v>
      </c>
      <c r="Y173" s="115">
        <f>IF('CREST Inputs'!$G$75="as generated",0,IF(Y$169&lt;0,MAX(Y$169,-X$174),0))</f>
        <v>0</v>
      </c>
      <c r="Z173" s="115">
        <f>IF('CREST Inputs'!$G$75="as generated",0,IF(Z$169&lt;0,MAX(Z$169,-Y$174),0))</f>
        <v>0</v>
      </c>
      <c r="AA173" s="115">
        <f>IF('CREST Inputs'!$G$75="as generated",0,IF(AA$169&lt;0,MAX(AA$169,-Z$174),0))</f>
        <v>0</v>
      </c>
      <c r="AB173" s="115">
        <f>IF('CREST Inputs'!$G$75="as generated",0,IF(AB$169&lt;0,MAX(AB$169,-AA$174),0))</f>
        <v>0</v>
      </c>
      <c r="AC173" s="115">
        <f>IF('CREST Inputs'!$G$75="as generated",0,IF(AC$169&lt;0,MAX(AC$169,-AB$174),0))</f>
        <v>0</v>
      </c>
      <c r="AD173" s="115">
        <f>IF('CREST Inputs'!$G$75="as generated",0,IF(AD$169&lt;0,MAX(AD$169,-AC$174),0))</f>
        <v>0</v>
      </c>
      <c r="AE173" s="115">
        <f>IF('CREST Inputs'!$G$75="as generated",0,IF(AE$169&lt;0,MAX(AE$169,-AD$174),0))</f>
        <v>0</v>
      </c>
      <c r="AF173" s="115">
        <f>IF('CREST Inputs'!$G$75="as generated",0,IF(AF$169&lt;0,MAX(AF$169,-AE$174),0))</f>
        <v>0</v>
      </c>
      <c r="AG173" s="115">
        <f>IF('CREST Inputs'!$G$75="as generated",0,IF(AG$169&lt;0,MAX(AG$169,-AF$174),0))</f>
        <v>0</v>
      </c>
      <c r="AH173" s="115">
        <f>IF('CREST Inputs'!$G$75="as generated",0,IF(AH$169&lt;0,MAX(AH$169,-AG$174),0))</f>
        <v>0</v>
      </c>
      <c r="AI173" s="115">
        <f>IF('CREST Inputs'!$G$75="as generated",0,IF(AI$169&lt;0,MAX(AI$169,-AH$174),0))</f>
        <v>0</v>
      </c>
      <c r="AJ173" s="115">
        <f>IF('CREST Inputs'!$G$75="as generated",0,IF(AJ$169&lt;0,MAX(AJ$169,-AI$174),0))</f>
        <v>0</v>
      </c>
    </row>
    <row r="174" spans="2:36" s="27" customFormat="1" ht="15">
      <c r="B174" s="95" t="s">
        <v>229</v>
      </c>
      <c r="C174" s="95"/>
      <c r="D174" s="95"/>
      <c r="E174" s="95"/>
      <c r="F174" s="115">
        <v>0</v>
      </c>
      <c r="G174" s="115">
        <f>SUM(G171:G173)</f>
        <v>0</v>
      </c>
      <c r="H174" s="115">
        <f aca="true" t="shared" si="55" ref="H174:AJ174">SUM(H171:H173)</f>
        <v>0</v>
      </c>
      <c r="I174" s="115">
        <f t="shared" si="55"/>
        <v>0</v>
      </c>
      <c r="J174" s="115">
        <f t="shared" si="55"/>
        <v>0</v>
      </c>
      <c r="K174" s="115">
        <f t="shared" si="55"/>
        <v>0</v>
      </c>
      <c r="L174" s="115">
        <f t="shared" si="55"/>
        <v>0</v>
      </c>
      <c r="M174" s="115">
        <f t="shared" si="55"/>
        <v>0</v>
      </c>
      <c r="N174" s="115">
        <f t="shared" si="55"/>
        <v>0</v>
      </c>
      <c r="O174" s="115">
        <f t="shared" si="55"/>
        <v>0</v>
      </c>
      <c r="P174" s="115">
        <f t="shared" si="55"/>
        <v>0</v>
      </c>
      <c r="Q174" s="115">
        <f t="shared" si="55"/>
        <v>0</v>
      </c>
      <c r="R174" s="115">
        <f t="shared" si="55"/>
        <v>0</v>
      </c>
      <c r="S174" s="115">
        <f t="shared" si="55"/>
        <v>0</v>
      </c>
      <c r="T174" s="115">
        <f t="shared" si="55"/>
        <v>0</v>
      </c>
      <c r="U174" s="115">
        <f t="shared" si="55"/>
        <v>0</v>
      </c>
      <c r="V174" s="115">
        <f t="shared" si="55"/>
        <v>0</v>
      </c>
      <c r="W174" s="115">
        <f t="shared" si="55"/>
        <v>0</v>
      </c>
      <c r="X174" s="115">
        <f t="shared" si="55"/>
        <v>0</v>
      </c>
      <c r="Y174" s="115">
        <f t="shared" si="55"/>
        <v>0</v>
      </c>
      <c r="Z174" s="115">
        <f t="shared" si="55"/>
        <v>0</v>
      </c>
      <c r="AA174" s="115">
        <f t="shared" si="55"/>
        <v>0</v>
      </c>
      <c r="AB174" s="115">
        <f t="shared" si="55"/>
        <v>0</v>
      </c>
      <c r="AC174" s="115">
        <f t="shared" si="55"/>
        <v>0</v>
      </c>
      <c r="AD174" s="115">
        <f t="shared" si="55"/>
        <v>0</v>
      </c>
      <c r="AE174" s="115">
        <f t="shared" si="55"/>
        <v>0</v>
      </c>
      <c r="AF174" s="115">
        <f t="shared" si="55"/>
        <v>0</v>
      </c>
      <c r="AG174" s="115">
        <f t="shared" si="55"/>
        <v>0</v>
      </c>
      <c r="AH174" s="115">
        <f t="shared" si="55"/>
        <v>0</v>
      </c>
      <c r="AI174" s="115">
        <f t="shared" si="55"/>
        <v>0</v>
      </c>
      <c r="AJ174" s="115">
        <f t="shared" si="55"/>
        <v>0</v>
      </c>
    </row>
    <row r="175" spans="2:36" s="27" customFormat="1" ht="15">
      <c r="B175" s="95"/>
      <c r="C175" s="95"/>
      <c r="D175" s="95"/>
      <c r="E175" s="95"/>
      <c r="F175" s="110"/>
      <c r="G175" s="110"/>
      <c r="H175" s="121"/>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row>
    <row r="176" spans="2:36" s="27" customFormat="1" ht="15.75">
      <c r="B176" s="94" t="s">
        <v>196</v>
      </c>
      <c r="C176" s="94"/>
      <c r="D176" s="94"/>
      <c r="E176" s="95"/>
      <c r="F176" s="110"/>
      <c r="G176" s="120"/>
      <c r="H176" s="121"/>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row>
    <row r="177" spans="2:36" s="27" customFormat="1" ht="15">
      <c r="B177" s="95" t="s">
        <v>193</v>
      </c>
      <c r="C177" s="95"/>
      <c r="D177" s="95"/>
      <c r="E177" s="95"/>
      <c r="F177" s="110"/>
      <c r="G177" s="156">
        <f>IF(OR('CREST Inputs'!$G$73="No",'CREST Inputs'!$Q$33="Performance-Based",'CREST Inputs'!$Q$33="Neither"),0,IF(G$2&lt;='CREST Inputs'!$Q$36,($C$99*('CREST Inputs'!$Q$34*(1-'CREST Inputs'!$G$74))*'CREST Inputs'!$Q$35)/'CREST Inputs'!$Q$36,0))</f>
        <v>0</v>
      </c>
      <c r="H177" s="156">
        <f>IF(OR('CREST Inputs'!$G$73="No",'CREST Inputs'!$Q$33="Performance-Based",'CREST Inputs'!$Q$33="Neither"),0,IF(H$2&lt;='CREST Inputs'!$Q$36,($C$99*('CREST Inputs'!$Q$34*(1-'CREST Inputs'!$G$74))*'CREST Inputs'!$Q$35)/'CREST Inputs'!$Q$36,0))</f>
        <v>0</v>
      </c>
      <c r="I177" s="156">
        <f>IF(OR('CREST Inputs'!$G$73="No",'CREST Inputs'!$Q$33="Performance-Based",'CREST Inputs'!$Q$33="Neither"),0,IF(I$2&lt;='CREST Inputs'!$Q$36,($C$99*('CREST Inputs'!$Q$34*(1-'CREST Inputs'!$G$74))*'CREST Inputs'!$Q$35)/'CREST Inputs'!$Q$36,0))</f>
        <v>0</v>
      </c>
      <c r="J177" s="156">
        <f>IF(OR('CREST Inputs'!$G$73="No",'CREST Inputs'!$Q$33="Performance-Based",'CREST Inputs'!$Q$33="Neither"),0,IF(J$2&lt;='CREST Inputs'!$Q$36,($C$99*('CREST Inputs'!$Q$34*(1-'CREST Inputs'!$G$74))*'CREST Inputs'!$Q$35)/'CREST Inputs'!$Q$36,0))</f>
        <v>0</v>
      </c>
      <c r="K177" s="156">
        <f>IF(OR('CREST Inputs'!$G$73="No",'CREST Inputs'!$Q$33="Performance-Based",'CREST Inputs'!$Q$33="Neither"),0,IF(K$2&lt;='CREST Inputs'!$Q$36,($C$99*('CREST Inputs'!$Q$34*(1-'CREST Inputs'!$G$74))*'CREST Inputs'!$Q$35)/'CREST Inputs'!$Q$36,0))</f>
        <v>0</v>
      </c>
      <c r="L177" s="156">
        <f>IF(OR('CREST Inputs'!$G$73="No",'CREST Inputs'!$Q$33="Performance-Based",'CREST Inputs'!$Q$33="Neither"),0,IF(L$2&lt;='CREST Inputs'!$Q$36,($C$99*('CREST Inputs'!$Q$34*(1-'CREST Inputs'!$G$74))*'CREST Inputs'!$Q$35)/'CREST Inputs'!$Q$36,0))</f>
        <v>0</v>
      </c>
      <c r="M177" s="156">
        <f>IF(OR('CREST Inputs'!$G$73="No",'CREST Inputs'!$Q$33="Performance-Based",'CREST Inputs'!$Q$33="Neither"),0,IF(M$2&lt;='CREST Inputs'!$Q$36,($C$99*('CREST Inputs'!$Q$34*(1-'CREST Inputs'!$G$74))*'CREST Inputs'!$Q$35)/'CREST Inputs'!$Q$36,0))</f>
        <v>0</v>
      </c>
      <c r="N177" s="156">
        <f>IF(OR('CREST Inputs'!$G$73="No",'CREST Inputs'!$Q$33="Performance-Based",'CREST Inputs'!$Q$33="Neither"),0,IF(N$2&lt;='CREST Inputs'!$Q$36,($C$99*('CREST Inputs'!$Q$34*(1-'CREST Inputs'!$G$74))*'CREST Inputs'!$Q$35)/'CREST Inputs'!$Q$36,0))</f>
        <v>0</v>
      </c>
      <c r="O177" s="156">
        <f>IF(OR('CREST Inputs'!$G$73="No",'CREST Inputs'!$Q$33="Performance-Based",'CREST Inputs'!$Q$33="Neither"),0,IF(O$2&lt;='CREST Inputs'!$Q$36,($C$99*('CREST Inputs'!$Q$34*(1-'CREST Inputs'!$G$74))*'CREST Inputs'!$Q$35)/'CREST Inputs'!$Q$36,0))</f>
        <v>0</v>
      </c>
      <c r="P177" s="156">
        <f>IF(OR('CREST Inputs'!$G$73="No",'CREST Inputs'!$Q$33="Performance-Based",'CREST Inputs'!$Q$33="Neither"),0,IF(P$2&lt;='CREST Inputs'!$Q$36,($C$99*('CREST Inputs'!$Q$34*(1-'CREST Inputs'!$G$74))*'CREST Inputs'!$Q$35)/'CREST Inputs'!$Q$36,0))</f>
        <v>0</v>
      </c>
      <c r="Q177" s="156">
        <f>IF(OR('CREST Inputs'!$G$73="No",'CREST Inputs'!$Q$33="Performance-Based",'CREST Inputs'!$Q$33="Neither"),0,IF(Q$2&lt;='CREST Inputs'!$Q$36,($C$99*('CREST Inputs'!$Q$34*(1-'CREST Inputs'!$G$74))*'CREST Inputs'!$Q$35)/'CREST Inputs'!$Q$36,0))</f>
        <v>0</v>
      </c>
      <c r="R177" s="156">
        <f>IF(OR('CREST Inputs'!$G$73="No",'CREST Inputs'!$Q$33="Performance-Based",'CREST Inputs'!$Q$33="Neither"),0,IF(R$2&lt;='CREST Inputs'!$Q$36,($C$99*('CREST Inputs'!$Q$34*(1-'CREST Inputs'!$G$74))*'CREST Inputs'!$Q$35)/'CREST Inputs'!$Q$36,0))</f>
        <v>0</v>
      </c>
      <c r="S177" s="156">
        <f>IF(OR('CREST Inputs'!$G$73="No",'CREST Inputs'!$Q$33="Performance-Based",'CREST Inputs'!$Q$33="Neither"),0,IF(S$2&lt;='CREST Inputs'!$Q$36,($C$99*('CREST Inputs'!$Q$34*(1-'CREST Inputs'!$G$74))*'CREST Inputs'!$Q$35)/'CREST Inputs'!$Q$36,0))</f>
        <v>0</v>
      </c>
      <c r="T177" s="156">
        <f>IF(OR('CREST Inputs'!$G$73="No",'CREST Inputs'!$Q$33="Performance-Based",'CREST Inputs'!$Q$33="Neither"),0,IF(T$2&lt;='CREST Inputs'!$Q$36,($C$99*('CREST Inputs'!$Q$34*(1-'CREST Inputs'!$G$74))*'CREST Inputs'!$Q$35)/'CREST Inputs'!$Q$36,0))</f>
        <v>0</v>
      </c>
      <c r="U177" s="156">
        <f>IF(OR('CREST Inputs'!$G$73="No",'CREST Inputs'!$Q$33="Performance-Based",'CREST Inputs'!$Q$33="Neither"),0,IF(U$2&lt;='CREST Inputs'!$Q$36,($C$99*('CREST Inputs'!$Q$34*(1-'CREST Inputs'!$G$74))*'CREST Inputs'!$Q$35)/'CREST Inputs'!$Q$36,0))</f>
        <v>0</v>
      </c>
      <c r="V177" s="156">
        <f>IF(OR('CREST Inputs'!$G$73="No",'CREST Inputs'!$Q$33="Performance-Based",'CREST Inputs'!$Q$33="Neither"),0,IF(V$2&lt;='CREST Inputs'!$Q$36,($C$99*('CREST Inputs'!$Q$34*(1-'CREST Inputs'!$G$74))*'CREST Inputs'!$Q$35)/'CREST Inputs'!$Q$36,0))</f>
        <v>0</v>
      </c>
      <c r="W177" s="156">
        <f>IF(OR('CREST Inputs'!$G$73="No",'CREST Inputs'!$Q$33="Performance-Based",'CREST Inputs'!$Q$33="Neither"),0,IF(W$2&lt;='CREST Inputs'!$Q$36,($C$99*('CREST Inputs'!$Q$34*(1-'CREST Inputs'!$G$74))*'CREST Inputs'!$Q$35)/'CREST Inputs'!$Q$36,0))</f>
        <v>0</v>
      </c>
      <c r="X177" s="156">
        <f>IF(OR('CREST Inputs'!$G$73="No",'CREST Inputs'!$Q$33="Performance-Based",'CREST Inputs'!$Q$33="Neither"),0,IF(X$2&lt;='CREST Inputs'!$Q$36,($C$99*('CREST Inputs'!$Q$34*(1-'CREST Inputs'!$G$74))*'CREST Inputs'!$Q$35)/'CREST Inputs'!$Q$36,0))</f>
        <v>0</v>
      </c>
      <c r="Y177" s="156">
        <f>IF(OR('CREST Inputs'!$G$73="No",'CREST Inputs'!$Q$33="Performance-Based",'CREST Inputs'!$Q$33="Neither"),0,IF(Y$2&lt;='CREST Inputs'!$Q$36,($C$99*('CREST Inputs'!$Q$34*(1-'CREST Inputs'!$G$74))*'CREST Inputs'!$Q$35)/'CREST Inputs'!$Q$36,0))</f>
        <v>0</v>
      </c>
      <c r="Z177" s="156">
        <f>IF(OR('CREST Inputs'!$G$73="No",'CREST Inputs'!$Q$33="Performance-Based",'CREST Inputs'!$Q$33="Neither"),0,IF(Z$2&lt;='CREST Inputs'!$Q$36,($C$99*('CREST Inputs'!$Q$34*(1-'CREST Inputs'!$G$74))*'CREST Inputs'!$Q$35)/'CREST Inputs'!$Q$36,0))</f>
        <v>0</v>
      </c>
      <c r="AA177" s="156">
        <f>IF(OR('CREST Inputs'!$G$73="No",'CREST Inputs'!$Q$33="Performance-Based",'CREST Inputs'!$Q$33="Neither"),0,IF(AA$2&lt;='CREST Inputs'!$Q$36,($C$99*('CREST Inputs'!$Q$34*(1-'CREST Inputs'!$G$74))*'CREST Inputs'!$Q$35)/'CREST Inputs'!$Q$36,0))</f>
        <v>0</v>
      </c>
      <c r="AB177" s="156">
        <f>IF(OR('CREST Inputs'!$G$73="No",'CREST Inputs'!$Q$33="Performance-Based",'CREST Inputs'!$Q$33="Neither"),0,IF(AB$2&lt;='CREST Inputs'!$Q$36,($C$99*('CREST Inputs'!$Q$34*(1-'CREST Inputs'!$G$74))*'CREST Inputs'!$Q$35)/'CREST Inputs'!$Q$36,0))</f>
        <v>0</v>
      </c>
      <c r="AC177" s="156">
        <f>IF(OR('CREST Inputs'!$G$73="No",'CREST Inputs'!$Q$33="Performance-Based",'CREST Inputs'!$Q$33="Neither"),0,IF(AC$2&lt;='CREST Inputs'!$Q$36,($C$99*('CREST Inputs'!$Q$34*(1-'CREST Inputs'!$G$74))*'CREST Inputs'!$Q$35)/'CREST Inputs'!$Q$36,0))</f>
        <v>0</v>
      </c>
      <c r="AD177" s="156">
        <f>IF(OR('CREST Inputs'!$G$73="No",'CREST Inputs'!$Q$33="Performance-Based",'CREST Inputs'!$Q$33="Neither"),0,IF(AD$2&lt;='CREST Inputs'!$Q$36,($C$99*('CREST Inputs'!$Q$34*(1-'CREST Inputs'!$G$74))*'CREST Inputs'!$Q$35)/'CREST Inputs'!$Q$36,0))</f>
        <v>0</v>
      </c>
      <c r="AE177" s="156">
        <f>IF(OR('CREST Inputs'!$G$73="No",'CREST Inputs'!$Q$33="Performance-Based",'CREST Inputs'!$Q$33="Neither"),0,IF(AE$2&lt;='CREST Inputs'!$Q$36,($C$99*('CREST Inputs'!$Q$34*(1-'CREST Inputs'!$G$74))*'CREST Inputs'!$Q$35)/'CREST Inputs'!$Q$36,0))</f>
        <v>0</v>
      </c>
      <c r="AF177" s="156">
        <f>IF(OR('CREST Inputs'!$G$73="No",'CREST Inputs'!$Q$33="Performance-Based",'CREST Inputs'!$Q$33="Neither"),0,IF(AF$2&lt;='CREST Inputs'!$Q$36,($C$99*('CREST Inputs'!$Q$34*(1-'CREST Inputs'!$G$74))*'CREST Inputs'!$Q$35)/'CREST Inputs'!$Q$36,0))</f>
        <v>0</v>
      </c>
      <c r="AG177" s="156">
        <f>IF(OR('CREST Inputs'!$G$73="No",'CREST Inputs'!$Q$33="Performance-Based",'CREST Inputs'!$Q$33="Neither"),0,IF(AG$2&lt;='CREST Inputs'!$Q$36,($C$99*('CREST Inputs'!$Q$34*(1-'CREST Inputs'!$G$74))*'CREST Inputs'!$Q$35)/'CREST Inputs'!$Q$36,0))</f>
        <v>0</v>
      </c>
      <c r="AH177" s="156">
        <f>IF(OR('CREST Inputs'!$G$73="No",'CREST Inputs'!$Q$33="Performance-Based",'CREST Inputs'!$Q$33="Neither"),0,IF(AH$2&lt;='CREST Inputs'!$Q$36,($C$99*('CREST Inputs'!$Q$34*(1-'CREST Inputs'!$G$74))*'CREST Inputs'!$Q$35)/'CREST Inputs'!$Q$36,0))</f>
        <v>0</v>
      </c>
      <c r="AI177" s="156">
        <f>IF(OR('CREST Inputs'!$G$73="No",'CREST Inputs'!$Q$33="Performance-Based",'CREST Inputs'!$Q$33="Neither"),0,IF(AI$2&lt;='CREST Inputs'!$Q$36,($C$99*('CREST Inputs'!$Q$34*(1-'CREST Inputs'!$G$74))*'CREST Inputs'!$Q$35)/'CREST Inputs'!$Q$36,0))</f>
        <v>0</v>
      </c>
      <c r="AJ177" s="156">
        <f>IF(OR('CREST Inputs'!$G$73="No",'CREST Inputs'!$Q$33="Performance-Based",'CREST Inputs'!$Q$33="Neither"),0,IF(AJ$2&lt;='CREST Inputs'!$Q$36,($C$99*('CREST Inputs'!$Q$34*(1-'CREST Inputs'!$G$74))*'CREST Inputs'!$Q$35)/'CREST Inputs'!$Q$36,0))</f>
        <v>0</v>
      </c>
    </row>
    <row r="178" spans="2:36" s="27" customFormat="1" ht="15">
      <c r="B178" s="95" t="s">
        <v>165</v>
      </c>
      <c r="C178" s="95"/>
      <c r="D178" s="95"/>
      <c r="E178" s="95"/>
      <c r="F178" s="110"/>
      <c r="G178" s="115">
        <f>IF(OR('CREST Inputs'!$G$73="No",'CREST Inputs'!$Q$33="Cost-Based",'CREST Inputs'!$Q$33="Neither"),0,IF('CREST Inputs'!$Q$38="Tax Credit",IF(G$2&gt;'CREST Inputs'!$Q$43,0,IF('CREST Inputs'!$Q$39=0,'CREST Inputs'!$Q$41/100*G$10*'CREST Inputs'!$Q$42*G$5,MIN('CREST Inputs'!$Q$39,'CREST Inputs'!$Q$41/100*G$10*'CREST Inputs'!$Q$42*G$5))),0))</f>
        <v>0</v>
      </c>
      <c r="H178" s="115">
        <f>IF(OR('CREST Inputs'!$G$73="No",'CREST Inputs'!$Q$33="Cost-Based",'CREST Inputs'!$Q$33="Neither"),0,IF('CREST Inputs'!$Q$38="Tax Credit",IF(H$2&gt;'CREST Inputs'!$Q$43,0,IF('CREST Inputs'!$Q$39=0,'CREST Inputs'!$Q$41/100*H$10*'CREST Inputs'!$Q$42*H$5,MIN('CREST Inputs'!$Q$39,'CREST Inputs'!$Q$41/100*H$10*'CREST Inputs'!$Q$42*H$5))),0))</f>
        <v>0</v>
      </c>
      <c r="I178" s="115">
        <f>IF(OR('CREST Inputs'!$G$73="No",'CREST Inputs'!$Q$33="Cost-Based",'CREST Inputs'!$Q$33="Neither"),0,IF('CREST Inputs'!$Q$38="Tax Credit",IF(I$2&gt;'CREST Inputs'!$Q$43,0,IF('CREST Inputs'!$Q$39=0,'CREST Inputs'!$Q$41/100*I$10*'CREST Inputs'!$Q$42*I$5,MIN('CREST Inputs'!$Q$39,'CREST Inputs'!$Q$41/100*I$10*'CREST Inputs'!$Q$42*I$5))),0))</f>
        <v>0</v>
      </c>
      <c r="J178" s="115">
        <f>IF(OR('CREST Inputs'!$G$73="No",'CREST Inputs'!$Q$33="Cost-Based",'CREST Inputs'!$Q$33="Neither"),0,IF('CREST Inputs'!$Q$38="Tax Credit",IF(J$2&gt;'CREST Inputs'!$Q$43,0,IF('CREST Inputs'!$Q$39=0,'CREST Inputs'!$Q$41/100*J$10*'CREST Inputs'!$Q$42*J$5,MIN('CREST Inputs'!$Q$39,'CREST Inputs'!$Q$41/100*J$10*'CREST Inputs'!$Q$42*J$5))),0))</f>
        <v>0</v>
      </c>
      <c r="K178" s="115">
        <f>IF(OR('CREST Inputs'!$G$73="No",'CREST Inputs'!$Q$33="Cost-Based",'CREST Inputs'!$Q$33="Neither"),0,IF('CREST Inputs'!$Q$38="Tax Credit",IF(K$2&gt;'CREST Inputs'!$Q$43,0,IF('CREST Inputs'!$Q$39=0,'CREST Inputs'!$Q$41/100*K$10*'CREST Inputs'!$Q$42*K$5,MIN('CREST Inputs'!$Q$39,'CREST Inputs'!$Q$41/100*K$10*'CREST Inputs'!$Q$42*K$5))),0))</f>
        <v>0</v>
      </c>
      <c r="L178" s="115">
        <f>IF(OR('CREST Inputs'!$G$73="No",'CREST Inputs'!$Q$33="Cost-Based",'CREST Inputs'!$Q$33="Neither"),0,IF('CREST Inputs'!$Q$38="Tax Credit",IF(L$2&gt;'CREST Inputs'!$Q$43,0,IF('CREST Inputs'!$Q$39=0,'CREST Inputs'!$Q$41/100*L$10*'CREST Inputs'!$Q$42*L$5,MIN('CREST Inputs'!$Q$39,'CREST Inputs'!$Q$41/100*L$10*'CREST Inputs'!$Q$42*L$5))),0))</f>
        <v>0</v>
      </c>
      <c r="M178" s="115">
        <f>IF(OR('CREST Inputs'!$G$73="No",'CREST Inputs'!$Q$33="Cost-Based",'CREST Inputs'!$Q$33="Neither"),0,IF('CREST Inputs'!$Q$38="Tax Credit",IF(M$2&gt;'CREST Inputs'!$Q$43,0,IF('CREST Inputs'!$Q$39=0,'CREST Inputs'!$Q$41/100*M$10*'CREST Inputs'!$Q$42*M$5,MIN('CREST Inputs'!$Q$39,'CREST Inputs'!$Q$41/100*M$10*'CREST Inputs'!$Q$42*M$5))),0))</f>
        <v>0</v>
      </c>
      <c r="N178" s="115">
        <f>IF(OR('CREST Inputs'!$G$73="No",'CREST Inputs'!$Q$33="Cost-Based",'CREST Inputs'!$Q$33="Neither"),0,IF('CREST Inputs'!$Q$38="Tax Credit",IF(N$2&gt;'CREST Inputs'!$Q$43,0,IF('CREST Inputs'!$Q$39=0,'CREST Inputs'!$Q$41/100*N$10*'CREST Inputs'!$Q$42*N$5,MIN('CREST Inputs'!$Q$39,'CREST Inputs'!$Q$41/100*N$10*'CREST Inputs'!$Q$42*N$5))),0))</f>
        <v>0</v>
      </c>
      <c r="O178" s="115">
        <f>IF(OR('CREST Inputs'!$G$73="No",'CREST Inputs'!$Q$33="Cost-Based",'CREST Inputs'!$Q$33="Neither"),0,IF('CREST Inputs'!$Q$38="Tax Credit",IF(O$2&gt;'CREST Inputs'!$Q$43,0,IF('CREST Inputs'!$Q$39=0,'CREST Inputs'!$Q$41/100*O$10*'CREST Inputs'!$Q$42*O$5,MIN('CREST Inputs'!$Q$39,'CREST Inputs'!$Q$41/100*O$10*'CREST Inputs'!$Q$42*O$5))),0))</f>
        <v>0</v>
      </c>
      <c r="P178" s="115">
        <f>IF(OR('CREST Inputs'!$G$73="No",'CREST Inputs'!$Q$33="Cost-Based",'CREST Inputs'!$Q$33="Neither"),0,IF('CREST Inputs'!$Q$38="Tax Credit",IF(P$2&gt;'CREST Inputs'!$Q$43,0,IF('CREST Inputs'!$Q$39=0,'CREST Inputs'!$Q$41/100*P$10*'CREST Inputs'!$Q$42*P$5,MIN('CREST Inputs'!$Q$39,'CREST Inputs'!$Q$41/100*P$10*'CREST Inputs'!$Q$42*P$5))),0))</f>
        <v>0</v>
      </c>
      <c r="Q178" s="115">
        <f>IF(OR('CREST Inputs'!$G$73="No",'CREST Inputs'!$Q$33="Cost-Based",'CREST Inputs'!$Q$33="Neither"),0,IF('CREST Inputs'!$Q$38="Tax Credit",IF(Q$2&gt;'CREST Inputs'!$Q$43,0,IF('CREST Inputs'!$Q$39=0,'CREST Inputs'!$Q$41/100*Q$10*'CREST Inputs'!$Q$42*Q$5,MIN('CREST Inputs'!$Q$39,'CREST Inputs'!$Q$41/100*Q$10*'CREST Inputs'!$Q$42*Q$5))),0))</f>
        <v>0</v>
      </c>
      <c r="R178" s="115">
        <f>IF(OR('CREST Inputs'!$G$73="No",'CREST Inputs'!$Q$33="Cost-Based",'CREST Inputs'!$Q$33="Neither"),0,IF('CREST Inputs'!$Q$38="Tax Credit",IF(R$2&gt;'CREST Inputs'!$Q$43,0,IF('CREST Inputs'!$Q$39=0,'CREST Inputs'!$Q$41/100*R$10*'CREST Inputs'!$Q$42*R$5,MIN('CREST Inputs'!$Q$39,'CREST Inputs'!$Q$41/100*R$10*'CREST Inputs'!$Q$42*R$5))),0))</f>
        <v>0</v>
      </c>
      <c r="S178" s="115">
        <f>IF(OR('CREST Inputs'!$G$73="No",'CREST Inputs'!$Q$33="Cost-Based",'CREST Inputs'!$Q$33="Neither"),0,IF('CREST Inputs'!$Q$38="Tax Credit",IF(S$2&gt;'CREST Inputs'!$Q$43,0,IF('CREST Inputs'!$Q$39=0,'CREST Inputs'!$Q$41/100*S$10*'CREST Inputs'!$Q$42*S$5,MIN('CREST Inputs'!$Q$39,'CREST Inputs'!$Q$41/100*S$10*'CREST Inputs'!$Q$42*S$5))),0))</f>
        <v>0</v>
      </c>
      <c r="T178" s="115">
        <f>IF(OR('CREST Inputs'!$G$73="No",'CREST Inputs'!$Q$33="Cost-Based",'CREST Inputs'!$Q$33="Neither"),0,IF('CREST Inputs'!$Q$38="Tax Credit",IF(T$2&gt;'CREST Inputs'!$Q$43,0,IF('CREST Inputs'!$Q$39=0,'CREST Inputs'!$Q$41/100*T$10*'CREST Inputs'!$Q$42*T$5,MIN('CREST Inputs'!$Q$39,'CREST Inputs'!$Q$41/100*T$10*'CREST Inputs'!$Q$42*T$5))),0))</f>
        <v>0</v>
      </c>
      <c r="U178" s="115">
        <f>IF(OR('CREST Inputs'!$G$73="No",'CREST Inputs'!$Q$33="Cost-Based",'CREST Inputs'!$Q$33="Neither"),0,IF('CREST Inputs'!$Q$38="Tax Credit",IF(U$2&gt;'CREST Inputs'!$Q$43,0,IF('CREST Inputs'!$Q$39=0,'CREST Inputs'!$Q$41/100*U$10*'CREST Inputs'!$Q$42*U$5,MIN('CREST Inputs'!$Q$39,'CREST Inputs'!$Q$41/100*U$10*'CREST Inputs'!$Q$42*U$5))),0))</f>
        <v>0</v>
      </c>
      <c r="V178" s="115">
        <f>IF(OR('CREST Inputs'!$G$73="No",'CREST Inputs'!$Q$33="Cost-Based",'CREST Inputs'!$Q$33="Neither"),0,IF('CREST Inputs'!$Q$38="Tax Credit",IF(V$2&gt;'CREST Inputs'!$Q$43,0,IF('CREST Inputs'!$Q$39=0,'CREST Inputs'!$Q$41/100*V$10*'CREST Inputs'!$Q$42*V$5,MIN('CREST Inputs'!$Q$39,'CREST Inputs'!$Q$41/100*V$10*'CREST Inputs'!$Q$42*V$5))),0))</f>
        <v>0</v>
      </c>
      <c r="W178" s="115">
        <f>IF(OR('CREST Inputs'!$G$73="No",'CREST Inputs'!$Q$33="Cost-Based",'CREST Inputs'!$Q$33="Neither"),0,IF('CREST Inputs'!$Q$38="Tax Credit",IF(W$2&gt;'CREST Inputs'!$Q$43,0,IF('CREST Inputs'!$Q$39=0,'CREST Inputs'!$Q$41/100*W$10*'CREST Inputs'!$Q$42*W$5,MIN('CREST Inputs'!$Q$39,'CREST Inputs'!$Q$41/100*W$10*'CREST Inputs'!$Q$42*W$5))),0))</f>
        <v>0</v>
      </c>
      <c r="X178" s="115">
        <f>IF(OR('CREST Inputs'!$G$73="No",'CREST Inputs'!$Q$33="Cost-Based",'CREST Inputs'!$Q$33="Neither"),0,IF('CREST Inputs'!$Q$38="Tax Credit",IF(X$2&gt;'CREST Inputs'!$Q$43,0,IF('CREST Inputs'!$Q$39=0,'CREST Inputs'!$Q$41/100*X$10*'CREST Inputs'!$Q$42*X$5,MIN('CREST Inputs'!$Q$39,'CREST Inputs'!$Q$41/100*X$10*'CREST Inputs'!$Q$42*X$5))),0))</f>
        <v>0</v>
      </c>
      <c r="Y178" s="115">
        <f>IF(OR('CREST Inputs'!$G$73="No",'CREST Inputs'!$Q$33="Cost-Based",'CREST Inputs'!$Q$33="Neither"),0,IF('CREST Inputs'!$Q$38="Tax Credit",IF(Y$2&gt;'CREST Inputs'!$Q$43,0,IF('CREST Inputs'!$Q$39=0,'CREST Inputs'!$Q$41/100*Y$10*'CREST Inputs'!$Q$42*Y$5,MIN('CREST Inputs'!$Q$39,'CREST Inputs'!$Q$41/100*Y$10*'CREST Inputs'!$Q$42*Y$5))),0))</f>
        <v>0</v>
      </c>
      <c r="Z178" s="115">
        <f>IF(OR('CREST Inputs'!$G$73="No",'CREST Inputs'!$Q$33="Cost-Based",'CREST Inputs'!$Q$33="Neither"),0,IF('CREST Inputs'!$Q$38="Tax Credit",IF(Z$2&gt;'CREST Inputs'!$Q$43,0,IF('CREST Inputs'!$Q$39=0,'CREST Inputs'!$Q$41/100*Z$10*'CREST Inputs'!$Q$42*Z$5,MIN('CREST Inputs'!$Q$39,'CREST Inputs'!$Q$41/100*Z$10*'CREST Inputs'!$Q$42*Z$5))),0))</f>
        <v>0</v>
      </c>
      <c r="AA178" s="115">
        <f>IF(OR('CREST Inputs'!$G$73="No",'CREST Inputs'!$Q$33="Cost-Based",'CREST Inputs'!$Q$33="Neither"),0,IF('CREST Inputs'!$Q$38="Tax Credit",IF(AA$2&gt;'CREST Inputs'!$Q$43,0,IF('CREST Inputs'!$Q$39=0,'CREST Inputs'!$Q$41/100*AA$10*'CREST Inputs'!$Q$42*AA$5,MIN('CREST Inputs'!$Q$39,'CREST Inputs'!$Q$41/100*AA$10*'CREST Inputs'!$Q$42*AA$5))),0))</f>
        <v>0</v>
      </c>
      <c r="AB178" s="115">
        <f>IF(OR('CREST Inputs'!$G$73="No",'CREST Inputs'!$Q$33="Cost-Based",'CREST Inputs'!$Q$33="Neither"),0,IF('CREST Inputs'!$Q$38="Tax Credit",IF(AB$2&gt;'CREST Inputs'!$Q$43,0,IF('CREST Inputs'!$Q$39=0,'CREST Inputs'!$Q$41/100*AB$10*'CREST Inputs'!$Q$42*AB$5,MIN('CREST Inputs'!$Q$39,'CREST Inputs'!$Q$41/100*AB$10*'CREST Inputs'!$Q$42*AB$5))),0))</f>
        <v>0</v>
      </c>
      <c r="AC178" s="115">
        <f>IF(OR('CREST Inputs'!$G$73="No",'CREST Inputs'!$Q$33="Cost-Based",'CREST Inputs'!$Q$33="Neither"),0,IF('CREST Inputs'!$Q$38="Tax Credit",IF(AC$2&gt;'CREST Inputs'!$Q$43,0,IF('CREST Inputs'!$Q$39=0,'CREST Inputs'!$Q$41/100*AC$10*'CREST Inputs'!$Q$42*AC$5,MIN('CREST Inputs'!$Q$39,'CREST Inputs'!$Q$41/100*AC$10*'CREST Inputs'!$Q$42*AC$5))),0))</f>
        <v>0</v>
      </c>
      <c r="AD178" s="115">
        <f>IF(OR('CREST Inputs'!$G$73="No",'CREST Inputs'!$Q$33="Cost-Based",'CREST Inputs'!$Q$33="Neither"),0,IF('CREST Inputs'!$Q$38="Tax Credit",IF(AD$2&gt;'CREST Inputs'!$Q$43,0,IF('CREST Inputs'!$Q$39=0,'CREST Inputs'!$Q$41/100*AD$10*'CREST Inputs'!$Q$42*AD$5,MIN('CREST Inputs'!$Q$39,'CREST Inputs'!$Q$41/100*AD$10*'CREST Inputs'!$Q$42*AD$5))),0))</f>
        <v>0</v>
      </c>
      <c r="AE178" s="115">
        <f>IF(OR('CREST Inputs'!$G$73="No",'CREST Inputs'!$Q$33="Cost-Based",'CREST Inputs'!$Q$33="Neither"),0,IF('CREST Inputs'!$Q$38="Tax Credit",IF(AE$2&gt;'CREST Inputs'!$Q$43,0,IF('CREST Inputs'!$Q$39=0,'CREST Inputs'!$Q$41/100*AE$10*'CREST Inputs'!$Q$42*AE$5,MIN('CREST Inputs'!$Q$39,'CREST Inputs'!$Q$41/100*AE$10*'CREST Inputs'!$Q$42*AE$5))),0))</f>
        <v>0</v>
      </c>
      <c r="AF178" s="115">
        <f>IF(OR('CREST Inputs'!$G$73="No",'CREST Inputs'!$Q$33="Cost-Based",'CREST Inputs'!$Q$33="Neither"),0,IF('CREST Inputs'!$Q$38="Tax Credit",IF(AF$2&gt;'CREST Inputs'!$Q$43,0,IF('CREST Inputs'!$Q$39=0,'CREST Inputs'!$Q$41/100*AF$10*'CREST Inputs'!$Q$42*AF$5,MIN('CREST Inputs'!$Q$39,'CREST Inputs'!$Q$41/100*AF$10*'CREST Inputs'!$Q$42*AF$5))),0))</f>
        <v>0</v>
      </c>
      <c r="AG178" s="115">
        <f>IF(OR('CREST Inputs'!$G$73="No",'CREST Inputs'!$Q$33="Cost-Based",'CREST Inputs'!$Q$33="Neither"),0,IF('CREST Inputs'!$Q$38="Tax Credit",IF(AG$2&gt;'CREST Inputs'!$Q$43,0,IF('CREST Inputs'!$Q$39=0,'CREST Inputs'!$Q$41/100*AG$10*'CREST Inputs'!$Q$42*AG$5,MIN('CREST Inputs'!$Q$39,'CREST Inputs'!$Q$41/100*AG$10*'CREST Inputs'!$Q$42*AG$5))),0))</f>
        <v>0</v>
      </c>
      <c r="AH178" s="115">
        <f>IF(OR('CREST Inputs'!$G$73="No",'CREST Inputs'!$Q$33="Cost-Based",'CREST Inputs'!$Q$33="Neither"),0,IF('CREST Inputs'!$Q$38="Tax Credit",IF(AH$2&gt;'CREST Inputs'!$Q$43,0,IF('CREST Inputs'!$Q$39=0,'CREST Inputs'!$Q$41/100*AH$10*'CREST Inputs'!$Q$42*AH$5,MIN('CREST Inputs'!$Q$39,'CREST Inputs'!$Q$41/100*AH$10*'CREST Inputs'!$Q$42*AH$5))),0))</f>
        <v>0</v>
      </c>
      <c r="AI178" s="115">
        <f>IF(OR('CREST Inputs'!$G$73="No",'CREST Inputs'!$Q$33="Cost-Based",'CREST Inputs'!$Q$33="Neither"),0,IF('CREST Inputs'!$Q$38="Tax Credit",IF(AI$2&gt;'CREST Inputs'!$Q$43,0,IF('CREST Inputs'!$Q$39=0,'CREST Inputs'!$Q$41/100*AI$10*'CREST Inputs'!$Q$42*AI$5,MIN('CREST Inputs'!$Q$39,'CREST Inputs'!$Q$41/100*AI$10*'CREST Inputs'!$Q$42*AI$5))),0))</f>
        <v>0</v>
      </c>
      <c r="AJ178" s="115">
        <f>IF(OR('CREST Inputs'!$G$73="No",'CREST Inputs'!$Q$33="Cost-Based",'CREST Inputs'!$Q$33="Neither"),0,IF('CREST Inputs'!$Q$38="Tax Credit",IF(AJ$2&gt;'CREST Inputs'!$Q$43,0,IF('CREST Inputs'!$Q$39=0,'CREST Inputs'!$Q$41/100*AJ$10*'CREST Inputs'!$Q$42*AJ$5,MIN('CREST Inputs'!$Q$39,'CREST Inputs'!$Q$41/100*AJ$10*'CREST Inputs'!$Q$42*AJ$5))),0))</f>
        <v>0</v>
      </c>
    </row>
    <row r="179" spans="2:36" s="27" customFormat="1" ht="15.75">
      <c r="B179" s="95"/>
      <c r="C179" s="95"/>
      <c r="D179" s="95"/>
      <c r="E179" s="95"/>
      <c r="F179" s="110"/>
      <c r="G179" s="120"/>
      <c r="H179" s="121"/>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row>
    <row r="180" spans="2:36" s="27" customFormat="1" ht="15">
      <c r="B180" s="95" t="s">
        <v>194</v>
      </c>
      <c r="C180" s="95"/>
      <c r="D180" s="95"/>
      <c r="E180" s="95"/>
      <c r="F180" s="110"/>
      <c r="G180" s="115">
        <f>SUM(G177:G178)</f>
        <v>0</v>
      </c>
      <c r="H180" s="115">
        <f aca="true" t="shared" si="56" ref="H180:AJ180">SUM(H177:H178)</f>
        <v>0</v>
      </c>
      <c r="I180" s="115">
        <f t="shared" si="56"/>
        <v>0</v>
      </c>
      <c r="J180" s="115">
        <f t="shared" si="56"/>
        <v>0</v>
      </c>
      <c r="K180" s="115">
        <f t="shared" si="56"/>
        <v>0</v>
      </c>
      <c r="L180" s="115">
        <f t="shared" si="56"/>
        <v>0</v>
      </c>
      <c r="M180" s="115">
        <f t="shared" si="56"/>
        <v>0</v>
      </c>
      <c r="N180" s="115">
        <f t="shared" si="56"/>
        <v>0</v>
      </c>
      <c r="O180" s="115">
        <f t="shared" si="56"/>
        <v>0</v>
      </c>
      <c r="P180" s="115">
        <f t="shared" si="56"/>
        <v>0</v>
      </c>
      <c r="Q180" s="115">
        <f t="shared" si="56"/>
        <v>0</v>
      </c>
      <c r="R180" s="115">
        <f t="shared" si="56"/>
        <v>0</v>
      </c>
      <c r="S180" s="115">
        <f t="shared" si="56"/>
        <v>0</v>
      </c>
      <c r="T180" s="115">
        <f t="shared" si="56"/>
        <v>0</v>
      </c>
      <c r="U180" s="115">
        <f t="shared" si="56"/>
        <v>0</v>
      </c>
      <c r="V180" s="115">
        <f t="shared" si="56"/>
        <v>0</v>
      </c>
      <c r="W180" s="115">
        <f t="shared" si="56"/>
        <v>0</v>
      </c>
      <c r="X180" s="115">
        <f t="shared" si="56"/>
        <v>0</v>
      </c>
      <c r="Y180" s="115">
        <f t="shared" si="56"/>
        <v>0</v>
      </c>
      <c r="Z180" s="115">
        <f t="shared" si="56"/>
        <v>0</v>
      </c>
      <c r="AA180" s="115">
        <f t="shared" si="56"/>
        <v>0</v>
      </c>
      <c r="AB180" s="115">
        <f t="shared" si="56"/>
        <v>0</v>
      </c>
      <c r="AC180" s="115">
        <f t="shared" si="56"/>
        <v>0</v>
      </c>
      <c r="AD180" s="115">
        <f t="shared" si="56"/>
        <v>0</v>
      </c>
      <c r="AE180" s="115">
        <f t="shared" si="56"/>
        <v>0</v>
      </c>
      <c r="AF180" s="115">
        <f t="shared" si="56"/>
        <v>0</v>
      </c>
      <c r="AG180" s="115">
        <f t="shared" si="56"/>
        <v>0</v>
      </c>
      <c r="AH180" s="115">
        <f t="shared" si="56"/>
        <v>0</v>
      </c>
      <c r="AI180" s="115">
        <f t="shared" si="56"/>
        <v>0</v>
      </c>
      <c r="AJ180" s="115">
        <f t="shared" si="56"/>
        <v>0</v>
      </c>
    </row>
    <row r="181" spans="2:36" s="27" customFormat="1" ht="15">
      <c r="B181" s="95"/>
      <c r="C181" s="95"/>
      <c r="D181" s="95"/>
      <c r="E181" s="95"/>
      <c r="F181" s="110"/>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row>
    <row r="182" spans="2:36" s="27" customFormat="1" ht="15">
      <c r="B182" s="157" t="s">
        <v>195</v>
      </c>
      <c r="C182" s="157"/>
      <c r="D182" s="157"/>
      <c r="E182" s="95"/>
      <c r="F182" s="110"/>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row>
    <row r="183" spans="2:36" s="27" customFormat="1" ht="15">
      <c r="B183" s="95" t="str">
        <f>B64</f>
        <v>State Income Taxes Saved / (Paid), before ITC/PTC</v>
      </c>
      <c r="C183" s="95"/>
      <c r="D183" s="95"/>
      <c r="E183" s="95"/>
      <c r="F183" s="110"/>
      <c r="G183" s="115" t="str">
        <f>IF('CREST Inputs'!$G$77="as generated","N/A",'Cash Flow'!G64)</f>
        <v>N/A</v>
      </c>
      <c r="H183" s="115" t="str">
        <f>IF('CREST Inputs'!$G$77="as generated","N/A",'Cash Flow'!H64)</f>
        <v>N/A</v>
      </c>
      <c r="I183" s="115" t="str">
        <f>IF('CREST Inputs'!$G$77="as generated","N/A",'Cash Flow'!I64)</f>
        <v>N/A</v>
      </c>
      <c r="J183" s="115" t="str">
        <f>IF('CREST Inputs'!$G$77="as generated","N/A",'Cash Flow'!J64)</f>
        <v>N/A</v>
      </c>
      <c r="K183" s="115" t="str">
        <f>IF('CREST Inputs'!$G$77="as generated","N/A",'Cash Flow'!K64)</f>
        <v>N/A</v>
      </c>
      <c r="L183" s="115" t="str">
        <f>IF('CREST Inputs'!$G$77="as generated","N/A",'Cash Flow'!L64)</f>
        <v>N/A</v>
      </c>
      <c r="M183" s="115" t="str">
        <f>IF('CREST Inputs'!$G$77="as generated","N/A",'Cash Flow'!M64)</f>
        <v>N/A</v>
      </c>
      <c r="N183" s="115" t="str">
        <f>IF('CREST Inputs'!$G$77="as generated","N/A",'Cash Flow'!N64)</f>
        <v>N/A</v>
      </c>
      <c r="O183" s="115" t="str">
        <f>IF('CREST Inputs'!$G$77="as generated","N/A",'Cash Flow'!O64)</f>
        <v>N/A</v>
      </c>
      <c r="P183" s="115" t="str">
        <f>IF('CREST Inputs'!$G$77="as generated","N/A",'Cash Flow'!P64)</f>
        <v>N/A</v>
      </c>
      <c r="Q183" s="115" t="str">
        <f>IF('CREST Inputs'!$G$77="as generated","N/A",'Cash Flow'!Q64)</f>
        <v>N/A</v>
      </c>
      <c r="R183" s="115" t="str">
        <f>IF('CREST Inputs'!$G$77="as generated","N/A",'Cash Flow'!R64)</f>
        <v>N/A</v>
      </c>
      <c r="S183" s="115" t="str">
        <f>IF('CREST Inputs'!$G$77="as generated","N/A",'Cash Flow'!S64)</f>
        <v>N/A</v>
      </c>
      <c r="T183" s="115" t="str">
        <f>IF('CREST Inputs'!$G$77="as generated","N/A",'Cash Flow'!T64)</f>
        <v>N/A</v>
      </c>
      <c r="U183" s="115" t="str">
        <f>IF('CREST Inputs'!$G$77="as generated","N/A",'Cash Flow'!U64)</f>
        <v>N/A</v>
      </c>
      <c r="V183" s="115" t="str">
        <f>IF('CREST Inputs'!$G$77="as generated","N/A",'Cash Flow'!V64)</f>
        <v>N/A</v>
      </c>
      <c r="W183" s="115" t="str">
        <f>IF('CREST Inputs'!$G$77="as generated","N/A",'Cash Flow'!W64)</f>
        <v>N/A</v>
      </c>
      <c r="X183" s="115" t="str">
        <f>IF('CREST Inputs'!$G$77="as generated","N/A",'Cash Flow'!X64)</f>
        <v>N/A</v>
      </c>
      <c r="Y183" s="115" t="str">
        <f>IF('CREST Inputs'!$G$77="as generated","N/A",'Cash Flow'!Y64)</f>
        <v>N/A</v>
      </c>
      <c r="Z183" s="115" t="str">
        <f>IF('CREST Inputs'!$G$77="as generated","N/A",'Cash Flow'!Z64)</f>
        <v>N/A</v>
      </c>
      <c r="AA183" s="115" t="str">
        <f>IF('CREST Inputs'!$G$77="as generated","N/A",'Cash Flow'!AA64)</f>
        <v>N/A</v>
      </c>
      <c r="AB183" s="115" t="str">
        <f>IF('CREST Inputs'!$G$77="as generated","N/A",'Cash Flow'!AB64)</f>
        <v>N/A</v>
      </c>
      <c r="AC183" s="115" t="str">
        <f>IF('CREST Inputs'!$G$77="as generated","N/A",'Cash Flow'!AC64)</f>
        <v>N/A</v>
      </c>
      <c r="AD183" s="115" t="str">
        <f>IF('CREST Inputs'!$G$77="as generated","N/A",'Cash Flow'!AD64)</f>
        <v>N/A</v>
      </c>
      <c r="AE183" s="115" t="str">
        <f>IF('CREST Inputs'!$G$77="as generated","N/A",'Cash Flow'!AE64)</f>
        <v>N/A</v>
      </c>
      <c r="AF183" s="115" t="str">
        <f>IF('CREST Inputs'!$G$77="as generated","N/A",'Cash Flow'!AF64)</f>
        <v>N/A</v>
      </c>
      <c r="AG183" s="115" t="str">
        <f>IF('CREST Inputs'!$G$77="as generated","N/A",'Cash Flow'!AG64)</f>
        <v>N/A</v>
      </c>
      <c r="AH183" s="115" t="str">
        <f>IF('CREST Inputs'!$G$77="as generated","N/A",'Cash Flow'!AH64)</f>
        <v>N/A</v>
      </c>
      <c r="AI183" s="115" t="str">
        <f>IF('CREST Inputs'!$G$77="as generated","N/A",'Cash Flow'!AI64)</f>
        <v>N/A</v>
      </c>
      <c r="AJ183" s="115" t="str">
        <f>IF('CREST Inputs'!$G$77="as generated","N/A",'Cash Flow'!AJ64)</f>
        <v>N/A</v>
      </c>
    </row>
    <row r="184" spans="2:36" s="27" customFormat="1" ht="15">
      <c r="B184" s="95"/>
      <c r="C184" s="95"/>
      <c r="D184" s="95"/>
      <c r="E184" s="95"/>
      <c r="F184" s="110"/>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row>
    <row r="185" spans="2:36" s="27" customFormat="1" ht="15">
      <c r="B185" s="95" t="s">
        <v>226</v>
      </c>
      <c r="C185" s="95"/>
      <c r="D185" s="95"/>
      <c r="E185" s="95"/>
      <c r="F185" s="110"/>
      <c r="G185" s="115">
        <v>0</v>
      </c>
      <c r="H185" s="115">
        <f>IF('CREST Inputs'!$G$77="as generated",0,G188)</f>
        <v>0</v>
      </c>
      <c r="I185" s="115">
        <f>IF('CREST Inputs'!$G$77="as generated",0,H188)</f>
        <v>0</v>
      </c>
      <c r="J185" s="115">
        <f>IF('CREST Inputs'!$G$77="as generated",0,I188)</f>
        <v>0</v>
      </c>
      <c r="K185" s="115">
        <f>IF('CREST Inputs'!$G$77="as generated",0,J188)</f>
        <v>0</v>
      </c>
      <c r="L185" s="115">
        <f>IF('CREST Inputs'!$G$77="as generated",0,K188)</f>
        <v>0</v>
      </c>
      <c r="M185" s="115">
        <f>IF('CREST Inputs'!$G$77="as generated",0,L188)</f>
        <v>0</v>
      </c>
      <c r="N185" s="115">
        <f>IF('CREST Inputs'!$G$77="as generated",0,M188)</f>
        <v>0</v>
      </c>
      <c r="O185" s="115">
        <f>IF('CREST Inputs'!$G$77="as generated",0,N188)</f>
        <v>0</v>
      </c>
      <c r="P185" s="115">
        <f>IF('CREST Inputs'!$G$77="as generated",0,O188)</f>
        <v>0</v>
      </c>
      <c r="Q185" s="115">
        <f>IF('CREST Inputs'!$G$77="as generated",0,P188)</f>
        <v>0</v>
      </c>
      <c r="R185" s="115">
        <f>IF('CREST Inputs'!$G$77="as generated",0,Q188)</f>
        <v>0</v>
      </c>
      <c r="S185" s="115">
        <f>IF('CREST Inputs'!$G$77="as generated",0,R188)</f>
        <v>0</v>
      </c>
      <c r="T185" s="115">
        <f>IF('CREST Inputs'!$G$77="as generated",0,S188)</f>
        <v>0</v>
      </c>
      <c r="U185" s="115">
        <f>IF('CREST Inputs'!$G$77="as generated",0,T188)</f>
        <v>0</v>
      </c>
      <c r="V185" s="115">
        <f>IF('CREST Inputs'!$G$77="as generated",0,U188)</f>
        <v>0</v>
      </c>
      <c r="W185" s="115">
        <f>IF('CREST Inputs'!$G$77="as generated",0,V188)</f>
        <v>0</v>
      </c>
      <c r="X185" s="115">
        <f>IF('CREST Inputs'!$G$77="as generated",0,W188)</f>
        <v>0</v>
      </c>
      <c r="Y185" s="115">
        <f>IF('CREST Inputs'!$G$77="as generated",0,X188)</f>
        <v>0</v>
      </c>
      <c r="Z185" s="115">
        <f>IF('CREST Inputs'!$G$77="as generated",0,Y188)</f>
        <v>0</v>
      </c>
      <c r="AA185" s="115">
        <f>IF('CREST Inputs'!$G$77="as generated",0,Z188)</f>
        <v>0</v>
      </c>
      <c r="AB185" s="115">
        <f>IF('CREST Inputs'!$G$77="as generated",0,AA188)</f>
        <v>0</v>
      </c>
      <c r="AC185" s="115">
        <f>IF('CREST Inputs'!$G$77="as generated",0,AB188)</f>
        <v>0</v>
      </c>
      <c r="AD185" s="115">
        <f>IF('CREST Inputs'!$G$77="as generated",0,AC188)</f>
        <v>0</v>
      </c>
      <c r="AE185" s="115">
        <f>IF('CREST Inputs'!$G$77="as generated",0,AD188)</f>
        <v>0</v>
      </c>
      <c r="AF185" s="115">
        <f>IF('CREST Inputs'!$G$77="as generated",0,AE188)</f>
        <v>0</v>
      </c>
      <c r="AG185" s="115">
        <f>IF('CREST Inputs'!$G$77="as generated",0,AF188)</f>
        <v>0</v>
      </c>
      <c r="AH185" s="115">
        <f>IF('CREST Inputs'!$G$77="as generated",0,AG188)</f>
        <v>0</v>
      </c>
      <c r="AI185" s="115">
        <f>IF('CREST Inputs'!$G$77="as generated",0,AH188)</f>
        <v>0</v>
      </c>
      <c r="AJ185" s="115">
        <f>IF('CREST Inputs'!$G$77="as generated",0,AI188)</f>
        <v>0</v>
      </c>
    </row>
    <row r="186" spans="2:36" s="27" customFormat="1" ht="15">
      <c r="B186" s="95" t="s">
        <v>227</v>
      </c>
      <c r="C186" s="95"/>
      <c r="D186" s="95"/>
      <c r="E186" s="95"/>
      <c r="F186" s="110"/>
      <c r="G186" s="115">
        <f>IF('CREST Inputs'!$G$77="as generated",0,IF(G183&lt;=0,G180,0))</f>
        <v>0</v>
      </c>
      <c r="H186" s="115">
        <f>IF('CREST Inputs'!$G$77="as generated",0,IF(H183&lt;=0,H180,0))</f>
        <v>0</v>
      </c>
      <c r="I186" s="115">
        <f>IF('CREST Inputs'!$G$77="as generated",0,IF(I183&lt;=0,I180,0))</f>
        <v>0</v>
      </c>
      <c r="J186" s="115">
        <f>IF('CREST Inputs'!$G$77="as generated",0,IF(J183&lt;=0,J180,0))</f>
        <v>0</v>
      </c>
      <c r="K186" s="115">
        <f>IF('CREST Inputs'!$G$77="as generated",0,IF(K183&lt;=0,K180,0))</f>
        <v>0</v>
      </c>
      <c r="L186" s="115">
        <f>IF('CREST Inputs'!$G$77="as generated",0,IF(L183&lt;=0,L180,0))</f>
        <v>0</v>
      </c>
      <c r="M186" s="115">
        <f>IF('CREST Inputs'!$G$77="as generated",0,IF(M183&lt;=0,M180,0))</f>
        <v>0</v>
      </c>
      <c r="N186" s="115">
        <f>IF('CREST Inputs'!$G$77="as generated",0,IF(N183&lt;=0,N180,0))</f>
        <v>0</v>
      </c>
      <c r="O186" s="115">
        <f>IF('CREST Inputs'!$G$77="as generated",0,IF(O183&lt;=0,O180,0))</f>
        <v>0</v>
      </c>
      <c r="P186" s="115">
        <f>IF('CREST Inputs'!$G$77="as generated",0,IF(P183&lt;=0,P180,0))</f>
        <v>0</v>
      </c>
      <c r="Q186" s="115">
        <f>IF('CREST Inputs'!$G$77="as generated",0,IF(Q183&lt;=0,Q180,0))</f>
        <v>0</v>
      </c>
      <c r="R186" s="115">
        <f>IF('CREST Inputs'!$G$77="as generated",0,IF(R183&lt;=0,R180,0))</f>
        <v>0</v>
      </c>
      <c r="S186" s="115">
        <f>IF('CREST Inputs'!$G$77="as generated",0,IF(S183&lt;=0,S180,0))</f>
        <v>0</v>
      </c>
      <c r="T186" s="115">
        <f>IF('CREST Inputs'!$G$77="as generated",0,IF(T183&lt;=0,T180,0))</f>
        <v>0</v>
      </c>
      <c r="U186" s="115">
        <f>IF('CREST Inputs'!$G$77="as generated",0,IF(U183&lt;=0,U180,0))</f>
        <v>0</v>
      </c>
      <c r="V186" s="115">
        <f>IF('CREST Inputs'!$G$77="as generated",0,IF(V183&lt;=0,V180,0))</f>
        <v>0</v>
      </c>
      <c r="W186" s="115">
        <f>IF('CREST Inputs'!$G$77="as generated",0,IF(W183&lt;=0,W180,0))</f>
        <v>0</v>
      </c>
      <c r="X186" s="115">
        <f>IF('CREST Inputs'!$G$77="as generated",0,IF(X183&lt;=0,X180,0))</f>
        <v>0</v>
      </c>
      <c r="Y186" s="115">
        <f>IF('CREST Inputs'!$G$77="as generated",0,IF(Y183&lt;=0,Y180,0))</f>
        <v>0</v>
      </c>
      <c r="Z186" s="115">
        <f>IF('CREST Inputs'!$G$77="as generated",0,IF(Z183&lt;=0,Z180,0))</f>
        <v>0</v>
      </c>
      <c r="AA186" s="115">
        <f>IF('CREST Inputs'!$G$77="as generated",0,IF(AA183&lt;=0,AA180,0))</f>
        <v>0</v>
      </c>
      <c r="AB186" s="115">
        <f>IF('CREST Inputs'!$G$77="as generated",0,IF(AB183&lt;=0,AB180,0))</f>
        <v>0</v>
      </c>
      <c r="AC186" s="115">
        <f>IF('CREST Inputs'!$G$77="as generated",0,IF(AC183&lt;=0,AC180,0))</f>
        <v>0</v>
      </c>
      <c r="AD186" s="115">
        <f>IF('CREST Inputs'!$G$77="as generated",0,IF(AD183&lt;=0,AD180,0))</f>
        <v>0</v>
      </c>
      <c r="AE186" s="115">
        <f>IF('CREST Inputs'!$G$77="as generated",0,IF(AE183&lt;=0,AE180,0))</f>
        <v>0</v>
      </c>
      <c r="AF186" s="115">
        <f>IF('CREST Inputs'!$G$77="as generated",0,IF(AF183&lt;=0,AF180,0))</f>
        <v>0</v>
      </c>
      <c r="AG186" s="115">
        <f>IF('CREST Inputs'!$G$77="as generated",0,IF(AG183&lt;=0,AG180,0))</f>
        <v>0</v>
      </c>
      <c r="AH186" s="115">
        <f>IF('CREST Inputs'!$G$77="as generated",0,IF(AH183&lt;=0,AH180,0))</f>
        <v>0</v>
      </c>
      <c r="AI186" s="115">
        <f>IF('CREST Inputs'!$G$77="as generated",0,IF(AI183&lt;=0,AI180,0))</f>
        <v>0</v>
      </c>
      <c r="AJ186" s="115">
        <f>IF('CREST Inputs'!$G$77="as generated",0,IF(AJ183&lt;=0,AJ180,0))</f>
        <v>0</v>
      </c>
    </row>
    <row r="187" spans="2:36" s="27" customFormat="1" ht="15">
      <c r="B187" s="95" t="s">
        <v>228</v>
      </c>
      <c r="C187" s="95"/>
      <c r="D187" s="95"/>
      <c r="E187" s="95"/>
      <c r="F187" s="110"/>
      <c r="G187" s="115">
        <f>IF('CREST Inputs'!$G$77="as generated",0,IF(G$183&lt;0,MAX(G$183,-F$188),0))</f>
        <v>0</v>
      </c>
      <c r="H187" s="115">
        <f>IF('CREST Inputs'!$G$77="as generated",0,IF(H$183&lt;0,MAX(H$183,-G$188),0))</f>
        <v>0</v>
      </c>
      <c r="I187" s="115">
        <f>IF('CREST Inputs'!$G$77="as generated",0,IF(I$183&lt;0,MAX(I$183,-H$188),0))</f>
        <v>0</v>
      </c>
      <c r="J187" s="115">
        <f>IF('CREST Inputs'!$G$77="as generated",0,IF(J$183&lt;0,MAX(J$183,-I$188),0))</f>
        <v>0</v>
      </c>
      <c r="K187" s="115">
        <f>IF('CREST Inputs'!$G$77="as generated",0,IF(K$183&lt;0,MAX(K$183,-J$188),0))</f>
        <v>0</v>
      </c>
      <c r="L187" s="115">
        <f>IF('CREST Inputs'!$G$77="as generated",0,IF(L$183&lt;0,MAX(L$183,-K$188),0))</f>
        <v>0</v>
      </c>
      <c r="M187" s="115">
        <f>IF('CREST Inputs'!$G$77="as generated",0,IF(M$183&lt;0,MAX(M$183,-L$188),0))</f>
        <v>0</v>
      </c>
      <c r="N187" s="115">
        <f>IF('CREST Inputs'!$G$77="as generated",0,IF(N$183&lt;0,MAX(N$183,-M$188),0))</f>
        <v>0</v>
      </c>
      <c r="O187" s="115">
        <f>IF('CREST Inputs'!$G$77="as generated",0,IF(O$183&lt;0,MAX(O$183,-N$188),0))</f>
        <v>0</v>
      </c>
      <c r="P187" s="115">
        <f>IF('CREST Inputs'!$G$77="as generated",0,IF(P$183&lt;0,MAX(P$183,-O$188),0))</f>
        <v>0</v>
      </c>
      <c r="Q187" s="115">
        <f>IF('CREST Inputs'!$G$77="as generated",0,IF(Q$183&lt;0,MAX(Q$183,-P$188),0))</f>
        <v>0</v>
      </c>
      <c r="R187" s="115">
        <f>IF('CREST Inputs'!$G$77="as generated",0,IF(R$183&lt;0,MAX(R$183,-Q$188),0))</f>
        <v>0</v>
      </c>
      <c r="S187" s="115">
        <f>IF('CREST Inputs'!$G$77="as generated",0,IF(S$183&lt;0,MAX(S$183,-R$188),0))</f>
        <v>0</v>
      </c>
      <c r="T187" s="115">
        <f>IF('CREST Inputs'!$G$77="as generated",0,IF(T$183&lt;0,MAX(T$183,-S$188),0))</f>
        <v>0</v>
      </c>
      <c r="U187" s="115">
        <f>IF('CREST Inputs'!$G$77="as generated",0,IF(U$183&lt;0,MAX(U$183,-T$188),0))</f>
        <v>0</v>
      </c>
      <c r="V187" s="115">
        <f>IF('CREST Inputs'!$G$77="as generated",0,IF(V$183&lt;0,MAX(V$183,-U$188),0))</f>
        <v>0</v>
      </c>
      <c r="W187" s="115">
        <f>IF('CREST Inputs'!$G$77="as generated",0,IF(W$183&lt;0,MAX(W$183,-V$188),0))</f>
        <v>0</v>
      </c>
      <c r="X187" s="115">
        <f>IF('CREST Inputs'!$G$77="as generated",0,IF(X$183&lt;0,MAX(X$183,-W$188),0))</f>
        <v>0</v>
      </c>
      <c r="Y187" s="115">
        <f>IF('CREST Inputs'!$G$77="as generated",0,IF(Y$183&lt;0,MAX(Y$183,-X$188),0))</f>
        <v>0</v>
      </c>
      <c r="Z187" s="115">
        <f>IF('CREST Inputs'!$G$77="as generated",0,IF(Z$183&lt;0,MAX(Z$183,-Y$188),0))</f>
        <v>0</v>
      </c>
      <c r="AA187" s="115">
        <f>IF('CREST Inputs'!$G$77="as generated",0,IF(AA$183&lt;0,MAX(AA$183,-Z$188),0))</f>
        <v>0</v>
      </c>
      <c r="AB187" s="115">
        <f>IF('CREST Inputs'!$G$77="as generated",0,IF(AB$183&lt;0,MAX(AB$183,-AA$188),0))</f>
        <v>0</v>
      </c>
      <c r="AC187" s="115">
        <f>IF('CREST Inputs'!$G$77="as generated",0,IF(AC$183&lt;0,MAX(AC$183,-AB$188),0))</f>
        <v>0</v>
      </c>
      <c r="AD187" s="115">
        <f>IF('CREST Inputs'!$G$77="as generated",0,IF(AD$183&lt;0,MAX(AD$183,-AC$188),0))</f>
        <v>0</v>
      </c>
      <c r="AE187" s="115">
        <f>IF('CREST Inputs'!$G$77="as generated",0,IF(AE$183&lt;0,MAX(AE$183,-AD$188),0))</f>
        <v>0</v>
      </c>
      <c r="AF187" s="115">
        <f>IF('CREST Inputs'!$G$77="as generated",0,IF(AF$183&lt;0,MAX(AF$183,-AE$188),0))</f>
        <v>0</v>
      </c>
      <c r="AG187" s="115">
        <f>IF('CREST Inputs'!$G$77="as generated",0,IF(AG$183&lt;0,MAX(AG$183,-AF$188),0))</f>
        <v>0</v>
      </c>
      <c r="AH187" s="115">
        <f>IF('CREST Inputs'!$G$77="as generated",0,IF(AH$183&lt;0,MAX(AH$183,-AG$188),0))</f>
        <v>0</v>
      </c>
      <c r="AI187" s="115">
        <f>IF('CREST Inputs'!$G$77="as generated",0,IF(AI$183&lt;0,MAX(AI$183,-AH$188),0))</f>
        <v>0</v>
      </c>
      <c r="AJ187" s="115">
        <f>IF('CREST Inputs'!$G$77="as generated",0,IF(AJ$183&lt;0,MAX(AJ$183,-AI$188),0))</f>
        <v>0</v>
      </c>
    </row>
    <row r="188" spans="2:36" s="27" customFormat="1" ht="15">
      <c r="B188" s="95" t="s">
        <v>229</v>
      </c>
      <c r="C188" s="95"/>
      <c r="D188" s="95"/>
      <c r="E188" s="95"/>
      <c r="F188" s="115">
        <v>0</v>
      </c>
      <c r="G188" s="115">
        <f>SUM(G185:G187)</f>
        <v>0</v>
      </c>
      <c r="H188" s="115">
        <f aca="true" t="shared" si="57" ref="H188:AJ188">SUM(H185:H187)</f>
        <v>0</v>
      </c>
      <c r="I188" s="115">
        <f t="shared" si="57"/>
        <v>0</v>
      </c>
      <c r="J188" s="115">
        <f t="shared" si="57"/>
        <v>0</v>
      </c>
      <c r="K188" s="115">
        <f t="shared" si="57"/>
        <v>0</v>
      </c>
      <c r="L188" s="115">
        <f t="shared" si="57"/>
        <v>0</v>
      </c>
      <c r="M188" s="115">
        <f t="shared" si="57"/>
        <v>0</v>
      </c>
      <c r="N188" s="115">
        <f t="shared" si="57"/>
        <v>0</v>
      </c>
      <c r="O188" s="115">
        <f t="shared" si="57"/>
        <v>0</v>
      </c>
      <c r="P188" s="115">
        <f t="shared" si="57"/>
        <v>0</v>
      </c>
      <c r="Q188" s="115">
        <f t="shared" si="57"/>
        <v>0</v>
      </c>
      <c r="R188" s="115">
        <f t="shared" si="57"/>
        <v>0</v>
      </c>
      <c r="S188" s="115">
        <f t="shared" si="57"/>
        <v>0</v>
      </c>
      <c r="T188" s="115">
        <f t="shared" si="57"/>
        <v>0</v>
      </c>
      <c r="U188" s="115">
        <f t="shared" si="57"/>
        <v>0</v>
      </c>
      <c r="V188" s="115">
        <f t="shared" si="57"/>
        <v>0</v>
      </c>
      <c r="W188" s="115">
        <f t="shared" si="57"/>
        <v>0</v>
      </c>
      <c r="X188" s="115">
        <f t="shared" si="57"/>
        <v>0</v>
      </c>
      <c r="Y188" s="115">
        <f t="shared" si="57"/>
        <v>0</v>
      </c>
      <c r="Z188" s="115">
        <f t="shared" si="57"/>
        <v>0</v>
      </c>
      <c r="AA188" s="115">
        <f t="shared" si="57"/>
        <v>0</v>
      </c>
      <c r="AB188" s="115">
        <f t="shared" si="57"/>
        <v>0</v>
      </c>
      <c r="AC188" s="115">
        <f t="shared" si="57"/>
        <v>0</v>
      </c>
      <c r="AD188" s="115">
        <f t="shared" si="57"/>
        <v>0</v>
      </c>
      <c r="AE188" s="115">
        <f t="shared" si="57"/>
        <v>0</v>
      </c>
      <c r="AF188" s="115">
        <f t="shared" si="57"/>
        <v>0</v>
      </c>
      <c r="AG188" s="115">
        <f t="shared" si="57"/>
        <v>0</v>
      </c>
      <c r="AH188" s="115">
        <f t="shared" si="57"/>
        <v>0</v>
      </c>
      <c r="AI188" s="115">
        <f t="shared" si="57"/>
        <v>0</v>
      </c>
      <c r="AJ188" s="115">
        <f t="shared" si="57"/>
        <v>0</v>
      </c>
    </row>
    <row r="189" spans="2:36" s="27" customFormat="1" ht="16.5" thickBot="1">
      <c r="B189" s="117"/>
      <c r="C189" s="117"/>
      <c r="D189" s="117"/>
      <c r="E189" s="117"/>
      <c r="F189" s="117"/>
      <c r="G189" s="118"/>
      <c r="H189" s="119"/>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row>
    <row r="190" spans="2:36" ht="15">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row>
    <row r="191" spans="2:36" ht="15.75">
      <c r="B191" s="94" t="s">
        <v>132</v>
      </c>
      <c r="C191" s="94"/>
      <c r="D191" s="94"/>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row>
    <row r="192" spans="2:36" ht="15.75">
      <c r="B192" s="114" t="s">
        <v>78</v>
      </c>
      <c r="C192" s="114"/>
      <c r="D192" s="114"/>
      <c r="E192" s="139"/>
      <c r="F192" s="146">
        <v>0</v>
      </c>
      <c r="G192" s="132">
        <f>F197</f>
        <v>119949.0461368776</v>
      </c>
      <c r="H192" s="132">
        <f aca="true" t="shared" si="58" ref="H192:AJ192">G197</f>
        <v>158467.56465539613</v>
      </c>
      <c r="I192" s="132">
        <f t="shared" si="58"/>
        <v>196986.08317391464</v>
      </c>
      <c r="J192" s="132">
        <f t="shared" si="58"/>
        <v>235504.60169243315</v>
      </c>
      <c r="K192" s="132">
        <f t="shared" si="58"/>
        <v>274023.12021095166</v>
      </c>
      <c r="L192" s="132">
        <f t="shared" si="58"/>
        <v>312541.6387294702</v>
      </c>
      <c r="M192" s="132">
        <f t="shared" si="58"/>
        <v>351060.15724798874</v>
      </c>
      <c r="N192" s="132">
        <f t="shared" si="58"/>
        <v>389578.6757665073</v>
      </c>
      <c r="O192" s="132">
        <f t="shared" si="58"/>
        <v>428097.1942850258</v>
      </c>
      <c r="P192" s="132">
        <f t="shared" si="58"/>
        <v>466615.71280354436</v>
      </c>
      <c r="Q192" s="132">
        <f t="shared" si="58"/>
        <v>119949.04613687767</v>
      </c>
      <c r="R192" s="132">
        <f t="shared" si="58"/>
        <v>119949.04613687767</v>
      </c>
      <c r="S192" s="132">
        <f t="shared" si="58"/>
        <v>119949.04613687767</v>
      </c>
      <c r="T192" s="132">
        <f t="shared" si="58"/>
        <v>119949.04613687767</v>
      </c>
      <c r="U192" s="132">
        <f t="shared" si="58"/>
        <v>119949.04613687767</v>
      </c>
      <c r="V192" s="132">
        <f t="shared" si="58"/>
        <v>119949.04613687767</v>
      </c>
      <c r="W192" s="132">
        <f t="shared" si="58"/>
        <v>31376.800213816285</v>
      </c>
      <c r="X192" s="132">
        <f t="shared" si="58"/>
        <v>31376.800213816285</v>
      </c>
      <c r="Y192" s="132">
        <f t="shared" si="58"/>
        <v>31376.800213816285</v>
      </c>
      <c r="Z192" s="132">
        <f t="shared" si="58"/>
        <v>31376.800213816285</v>
      </c>
      <c r="AA192" s="132">
        <f t="shared" si="58"/>
        <v>31376.800213816285</v>
      </c>
      <c r="AB192" s="132">
        <f t="shared" si="58"/>
        <v>31376.800213816285</v>
      </c>
      <c r="AC192" s="132">
        <f t="shared" si="58"/>
        <v>31376.800213816285</v>
      </c>
      <c r="AD192" s="132">
        <f t="shared" si="58"/>
        <v>31376.800213816285</v>
      </c>
      <c r="AE192" s="132">
        <f t="shared" si="58"/>
        <v>31376.800213816285</v>
      </c>
      <c r="AF192" s="132">
        <f t="shared" si="58"/>
        <v>7.275957614183426E-11</v>
      </c>
      <c r="AG192" s="132">
        <f t="shared" si="58"/>
        <v>0</v>
      </c>
      <c r="AH192" s="132">
        <f t="shared" si="58"/>
        <v>0</v>
      </c>
      <c r="AI192" s="132">
        <f t="shared" si="58"/>
        <v>0</v>
      </c>
      <c r="AJ192" s="132">
        <f t="shared" si="58"/>
        <v>0</v>
      </c>
    </row>
    <row r="193" spans="2:36" ht="15.75">
      <c r="B193" s="114" t="s">
        <v>40</v>
      </c>
      <c r="C193" s="114"/>
      <c r="D193" s="114"/>
      <c r="E193" s="139"/>
      <c r="F193" s="132">
        <f>'CREST Inputs'!$Q$63</f>
        <v>88572.24592306139</v>
      </c>
      <c r="G193" s="132">
        <f>IF(G$2='CREST Inputs'!$G$52+1,-$F$193,0)</f>
        <v>0</v>
      </c>
      <c r="H193" s="132">
        <f>IF(H$2='CREST Inputs'!$G$52+1,-$F$193,0)</f>
        <v>0</v>
      </c>
      <c r="I193" s="132">
        <f>IF(I$2='CREST Inputs'!$G$52+1,-$F$193,0)</f>
        <v>0</v>
      </c>
      <c r="J193" s="132">
        <f>IF(J$2='CREST Inputs'!$G$52+1,-$F$193,0)</f>
        <v>0</v>
      </c>
      <c r="K193" s="132">
        <f>IF(K$2='CREST Inputs'!$G$52+1,-$F$193,0)</f>
        <v>0</v>
      </c>
      <c r="L193" s="132">
        <f>IF(L$2='CREST Inputs'!$G$52+1,-$F$193,0)</f>
        <v>0</v>
      </c>
      <c r="M193" s="132">
        <f>IF(M$2='CREST Inputs'!$G$52+1,-$F$193,0)</f>
        <v>0</v>
      </c>
      <c r="N193" s="132">
        <f>IF(N$2='CREST Inputs'!$G$52+1,-$F$193,0)</f>
        <v>0</v>
      </c>
      <c r="O193" s="132">
        <f>IF(O$2='CREST Inputs'!$G$52+1,-$F$193,0)</f>
        <v>0</v>
      </c>
      <c r="P193" s="132">
        <f>IF(P$2='CREST Inputs'!$G$52+1,-$F$193,0)</f>
        <v>0</v>
      </c>
      <c r="Q193" s="132">
        <f>IF(Q$2='CREST Inputs'!$G$52+1,-$F$193,0)</f>
        <v>0</v>
      </c>
      <c r="R193" s="132">
        <f>IF(R$2='CREST Inputs'!$G$52+1,-$F$193,0)</f>
        <v>0</v>
      </c>
      <c r="S193" s="132">
        <f>IF(S$2='CREST Inputs'!$G$52+1,-$F$193,0)</f>
        <v>0</v>
      </c>
      <c r="T193" s="132">
        <f>IF(T$2='CREST Inputs'!$G$52+1,-$F$193,0)</f>
        <v>0</v>
      </c>
      <c r="U193" s="132">
        <f>IF(U$2='CREST Inputs'!$G$52+1,-$F$193,0)</f>
        <v>0</v>
      </c>
      <c r="V193" s="132">
        <f>IF(V$2='CREST Inputs'!$G$52+1,-$F$193,0)</f>
        <v>-88572.24592306139</v>
      </c>
      <c r="W193" s="132">
        <f>IF(W$2='CREST Inputs'!$G$52+1,-$F$193,0)</f>
        <v>0</v>
      </c>
      <c r="X193" s="132">
        <f>IF(X$2='CREST Inputs'!$G$52+1,-$F$193,0)</f>
        <v>0</v>
      </c>
      <c r="Y193" s="132">
        <f>IF(Y$2='CREST Inputs'!$G$52+1,-$F$193,0)</f>
        <v>0</v>
      </c>
      <c r="Z193" s="132">
        <f>IF(Z$2='CREST Inputs'!$G$52+1,-$F$193,0)</f>
        <v>0</v>
      </c>
      <c r="AA193" s="132">
        <f>IF(AA$2='CREST Inputs'!$G$52+1,-$F$193,0)</f>
        <v>0</v>
      </c>
      <c r="AB193" s="132">
        <f>IF(AB$2='CREST Inputs'!$G$52+1,-$F$193,0)</f>
        <v>0</v>
      </c>
      <c r="AC193" s="132">
        <f>IF(AC$2='CREST Inputs'!$G$52+1,-$F$193,0)</f>
        <v>0</v>
      </c>
      <c r="AD193" s="132">
        <f>IF(AD$2='CREST Inputs'!$G$52+1,-$F$193,0)</f>
        <v>0</v>
      </c>
      <c r="AE193" s="132">
        <f>IF(AE$2='CREST Inputs'!$G$52+1,-$F$193,0)</f>
        <v>0</v>
      </c>
      <c r="AF193" s="132">
        <f>IF(AF$2='CREST Inputs'!$G$52+1,-$F$193,0)</f>
        <v>0</v>
      </c>
      <c r="AG193" s="132">
        <f>IF(AG$2='CREST Inputs'!$G$52+1,-$F$193,0)</f>
        <v>0</v>
      </c>
      <c r="AH193" s="132">
        <f>IF(AH$2='CREST Inputs'!$G$52+1,-$F$193,0)</f>
        <v>0</v>
      </c>
      <c r="AI193" s="132">
        <f>IF(AI$2='CREST Inputs'!$G$52+1,-$F$193,0)</f>
        <v>0</v>
      </c>
      <c r="AJ193" s="132">
        <f>IF(AJ$2='CREST Inputs'!$G$52+1,-$F$193,0)</f>
        <v>0</v>
      </c>
    </row>
    <row r="194" spans="2:36" ht="15.75">
      <c r="B194" s="114" t="s">
        <v>154</v>
      </c>
      <c r="C194" s="114"/>
      <c r="D194" s="114"/>
      <c r="E194" s="139"/>
      <c r="F194" s="132">
        <f>'CREST Inputs'!$Q$66</f>
        <v>31376.800213816212</v>
      </c>
      <c r="G194" s="132">
        <f>IF(G$2='CREST Inputs'!$G$15,-$F$194,0)</f>
        <v>0</v>
      </c>
      <c r="H194" s="132">
        <f>IF(H$2='CREST Inputs'!$G$15,-$F$194,0)</f>
        <v>0</v>
      </c>
      <c r="I194" s="132">
        <f>IF(I$2='CREST Inputs'!$G$15,-$F$194,0)</f>
        <v>0</v>
      </c>
      <c r="J194" s="132">
        <f>IF(J$2='CREST Inputs'!$G$15,-$F$194,0)</f>
        <v>0</v>
      </c>
      <c r="K194" s="132">
        <f>IF(K$2='CREST Inputs'!$G$15,-$F$194,0)</f>
        <v>0</v>
      </c>
      <c r="L194" s="132">
        <f>IF(L$2='CREST Inputs'!$G$15,-$F$194,0)</f>
        <v>0</v>
      </c>
      <c r="M194" s="132">
        <f>IF(M$2='CREST Inputs'!$G$15,-$F$194,0)</f>
        <v>0</v>
      </c>
      <c r="N194" s="132">
        <f>IF(N$2='CREST Inputs'!$G$15,-$F$194,0)</f>
        <v>0</v>
      </c>
      <c r="O194" s="132">
        <f>IF(O$2='CREST Inputs'!$G$15,-$F$194,0)</f>
        <v>0</v>
      </c>
      <c r="P194" s="132">
        <f>IF(P$2='CREST Inputs'!$G$15,-$F$194,0)</f>
        <v>0</v>
      </c>
      <c r="Q194" s="132">
        <f>IF(Q$2='CREST Inputs'!$G$15,-$F$194,0)</f>
        <v>0</v>
      </c>
      <c r="R194" s="132">
        <f>IF(R$2='CREST Inputs'!$G$15,-$F$194,0)</f>
        <v>0</v>
      </c>
      <c r="S194" s="132">
        <f>IF(S$2='CREST Inputs'!$G$15,-$F$194,0)</f>
        <v>0</v>
      </c>
      <c r="T194" s="132">
        <f>IF(T$2='CREST Inputs'!$G$15,-$F$194,0)</f>
        <v>0</v>
      </c>
      <c r="U194" s="132">
        <f>IF(U$2='CREST Inputs'!$G$15,-$F$194,0)</f>
        <v>0</v>
      </c>
      <c r="V194" s="132">
        <f>IF(V$2='CREST Inputs'!$G$15,-$F$194,0)</f>
        <v>0</v>
      </c>
      <c r="W194" s="132">
        <f>IF(W$2='CREST Inputs'!$G$15,-$F$194,0)</f>
        <v>0</v>
      </c>
      <c r="X194" s="132">
        <f>IF(X$2='CREST Inputs'!$G$15,-$F$194,0)</f>
        <v>0</v>
      </c>
      <c r="Y194" s="132">
        <f>IF(Y$2='CREST Inputs'!$G$15,-$F$194,0)</f>
        <v>0</v>
      </c>
      <c r="Z194" s="132">
        <f>IF(Z$2='CREST Inputs'!$G$15,-$F$194,0)</f>
        <v>0</v>
      </c>
      <c r="AA194" s="132">
        <f>IF(AA$2='CREST Inputs'!$G$15,-$F$194,0)</f>
        <v>0</v>
      </c>
      <c r="AB194" s="132">
        <f>IF(AB$2='CREST Inputs'!$G$15,-$F$194,0)</f>
        <v>0</v>
      </c>
      <c r="AC194" s="132">
        <f>IF(AC$2='CREST Inputs'!$G$15,-$F$194,0)</f>
        <v>0</v>
      </c>
      <c r="AD194" s="132">
        <f>IF(AD$2='CREST Inputs'!$G$15,-$F$194,0)</f>
        <v>0</v>
      </c>
      <c r="AE194" s="132">
        <f>IF(AE$2='CREST Inputs'!$G$15,-$F$194,0)</f>
        <v>-31376.800213816212</v>
      </c>
      <c r="AF194" s="132">
        <f>IF(AF$2='CREST Inputs'!$G$15,-$F$194,0)</f>
        <v>0</v>
      </c>
      <c r="AG194" s="132">
        <f>IF(AG$2='CREST Inputs'!$G$15,-$F$194,0)</f>
        <v>0</v>
      </c>
      <c r="AH194" s="132">
        <f>IF(AH$2='CREST Inputs'!$G$15,-$F$194,0)</f>
        <v>0</v>
      </c>
      <c r="AI194" s="132">
        <f>IF(AI$2='CREST Inputs'!$G$15,-$F$194,0)</f>
        <v>0</v>
      </c>
      <c r="AJ194" s="132">
        <f>IF(AJ$2='CREST Inputs'!$G$15,-$F$194,0)</f>
        <v>0</v>
      </c>
    </row>
    <row r="195" spans="2:36" ht="15.75">
      <c r="B195" s="114" t="s">
        <v>159</v>
      </c>
      <c r="C195" s="114"/>
      <c r="D195" s="114"/>
      <c r="E195" s="139"/>
      <c r="F195" s="146">
        <v>0</v>
      </c>
      <c r="G195" s="132">
        <f>IF(G$2&lt;'CREST Inputs'!$Q$50,$E$129/('CREST Inputs'!$Q$50-1),IF(G$2='CREST Inputs'!$Q$50,-($E$129),IF(AND(G$2&gt;'CREST Inputs'!$Q$50,G$2&lt;'CREST Inputs'!$Q$52),($E$132)/('CREST Inputs'!$Q$52-'CREST Inputs'!$Q$50-1),IF(G$2='CREST Inputs'!$Q$52,-($E$132),0))))</f>
        <v>38518.51851851852</v>
      </c>
      <c r="H195" s="132">
        <f>IF(H$2&lt;'CREST Inputs'!$Q$50,$E$129/('CREST Inputs'!$Q$50-1),IF(H$2='CREST Inputs'!$Q$50,-($E$129),IF(AND(H$2&gt;'CREST Inputs'!$Q$50,H$2&lt;'CREST Inputs'!$Q$52),($E$132)/('CREST Inputs'!$Q$52-'CREST Inputs'!$Q$50-1),IF(H$2='CREST Inputs'!$Q$52,-($E$132),0))))</f>
        <v>38518.51851851852</v>
      </c>
      <c r="I195" s="132">
        <f>IF(I$2&lt;'CREST Inputs'!$Q$50,$E$129/('CREST Inputs'!$Q$50-1),IF(I$2='CREST Inputs'!$Q$50,-($E$129),IF(AND(I$2&gt;'CREST Inputs'!$Q$50,I$2&lt;'CREST Inputs'!$Q$52),($E$132)/('CREST Inputs'!$Q$52-'CREST Inputs'!$Q$50-1),IF(I$2='CREST Inputs'!$Q$52,-($E$132),0))))</f>
        <v>38518.51851851852</v>
      </c>
      <c r="J195" s="132">
        <f>IF(J$2&lt;'CREST Inputs'!$Q$50,$E$129/('CREST Inputs'!$Q$50-1),IF(J$2='CREST Inputs'!$Q$50,-($E$129),IF(AND(J$2&gt;'CREST Inputs'!$Q$50,J$2&lt;'CREST Inputs'!$Q$52),($E$132)/('CREST Inputs'!$Q$52-'CREST Inputs'!$Q$50-1),IF(J$2='CREST Inputs'!$Q$52,-($E$132),0))))</f>
        <v>38518.51851851852</v>
      </c>
      <c r="K195" s="132">
        <f>IF(K$2&lt;'CREST Inputs'!$Q$50,$E$129/('CREST Inputs'!$Q$50-1),IF(K$2='CREST Inputs'!$Q$50,-($E$129),IF(AND(K$2&gt;'CREST Inputs'!$Q$50,K$2&lt;'CREST Inputs'!$Q$52),($E$132)/('CREST Inputs'!$Q$52-'CREST Inputs'!$Q$50-1),IF(K$2='CREST Inputs'!$Q$52,-($E$132),0))))</f>
        <v>38518.51851851852</v>
      </c>
      <c r="L195" s="132">
        <f>IF(L$2&lt;'CREST Inputs'!$Q$50,$E$129/('CREST Inputs'!$Q$50-1),IF(L$2='CREST Inputs'!$Q$50,-($E$129),IF(AND(L$2&gt;'CREST Inputs'!$Q$50,L$2&lt;'CREST Inputs'!$Q$52),($E$132)/('CREST Inputs'!$Q$52-'CREST Inputs'!$Q$50-1),IF(L$2='CREST Inputs'!$Q$52,-($E$132),0))))</f>
        <v>38518.51851851852</v>
      </c>
      <c r="M195" s="132">
        <f>IF(M$2&lt;'CREST Inputs'!$Q$50,$E$129/('CREST Inputs'!$Q$50-1),IF(M$2='CREST Inputs'!$Q$50,-($E$129),IF(AND(M$2&gt;'CREST Inputs'!$Q$50,M$2&lt;'CREST Inputs'!$Q$52),($E$132)/('CREST Inputs'!$Q$52-'CREST Inputs'!$Q$50-1),IF(M$2='CREST Inputs'!$Q$52,-($E$132),0))))</f>
        <v>38518.51851851852</v>
      </c>
      <c r="N195" s="132">
        <f>IF(N$2&lt;'CREST Inputs'!$Q$50,$E$129/('CREST Inputs'!$Q$50-1),IF(N$2='CREST Inputs'!$Q$50,-($E$129),IF(AND(N$2&gt;'CREST Inputs'!$Q$50,N$2&lt;'CREST Inputs'!$Q$52),($E$132)/('CREST Inputs'!$Q$52-'CREST Inputs'!$Q$50-1),IF(N$2='CREST Inputs'!$Q$52,-($E$132),0))))</f>
        <v>38518.51851851852</v>
      </c>
      <c r="O195" s="132">
        <f>IF(O$2&lt;'CREST Inputs'!$Q$50,$E$129/('CREST Inputs'!$Q$50-1),IF(O$2='CREST Inputs'!$Q$50,-($E$129),IF(AND(O$2&gt;'CREST Inputs'!$Q$50,O$2&lt;'CREST Inputs'!$Q$52),($E$132)/('CREST Inputs'!$Q$52-'CREST Inputs'!$Q$50-1),IF(O$2='CREST Inputs'!$Q$52,-($E$132),0))))</f>
        <v>38518.51851851852</v>
      </c>
      <c r="P195" s="132">
        <f>IF(P$2&lt;'CREST Inputs'!$Q$50,$E$129/('CREST Inputs'!$Q$50-1),IF(P$2='CREST Inputs'!$Q$50,-($E$129),IF(AND(P$2&gt;'CREST Inputs'!$Q$50,P$2&lt;'CREST Inputs'!$Q$52),($E$132)/('CREST Inputs'!$Q$52-'CREST Inputs'!$Q$50-1),IF(P$2='CREST Inputs'!$Q$52,-($E$132),0))))</f>
        <v>-346666.6666666667</v>
      </c>
      <c r="Q195" s="132">
        <f>IF(Q$2&lt;'CREST Inputs'!$Q$50,$E$129/('CREST Inputs'!$Q$50-1),IF(Q$2='CREST Inputs'!$Q$50,-($E$129),IF(AND(Q$2&gt;'CREST Inputs'!$Q$50,Q$2&lt;'CREST Inputs'!$Q$52),($E$132)/('CREST Inputs'!$Q$52-'CREST Inputs'!$Q$50-1),IF(Q$2='CREST Inputs'!$Q$52,-($E$132),0))))</f>
        <v>0</v>
      </c>
      <c r="R195" s="132">
        <f>IF(R$2&lt;'CREST Inputs'!$Q$50,$E$129/('CREST Inputs'!$Q$50-1),IF(R$2='CREST Inputs'!$Q$50,-($E$129),IF(AND(R$2&gt;'CREST Inputs'!$Q$50,R$2&lt;'CREST Inputs'!$Q$52),($E$132)/('CREST Inputs'!$Q$52-'CREST Inputs'!$Q$50-1),IF(R$2='CREST Inputs'!$Q$52,-($E$132),0))))</f>
        <v>0</v>
      </c>
      <c r="S195" s="132">
        <f>IF(S$2&lt;'CREST Inputs'!$Q$50,$E$129/('CREST Inputs'!$Q$50-1),IF(S$2='CREST Inputs'!$Q$50,-($E$129),IF(AND(S$2&gt;'CREST Inputs'!$Q$50,S$2&lt;'CREST Inputs'!$Q$52),($E$132)/('CREST Inputs'!$Q$52-'CREST Inputs'!$Q$50-1),IF(S$2='CREST Inputs'!$Q$52,-($E$132),0))))</f>
        <v>0</v>
      </c>
      <c r="T195" s="132">
        <f>IF(T$2&lt;'CREST Inputs'!$Q$50,$E$129/('CREST Inputs'!$Q$50-1),IF(T$2='CREST Inputs'!$Q$50,-($E$129),IF(AND(T$2&gt;'CREST Inputs'!$Q$50,T$2&lt;'CREST Inputs'!$Q$52),($E$132)/('CREST Inputs'!$Q$52-'CREST Inputs'!$Q$50-1),IF(T$2='CREST Inputs'!$Q$52,-($E$132),0))))</f>
        <v>0</v>
      </c>
      <c r="U195" s="132">
        <f>IF(U$2&lt;'CREST Inputs'!$Q$50,$E$129/('CREST Inputs'!$Q$50-1),IF(U$2='CREST Inputs'!$Q$50,-($E$129),IF(AND(U$2&gt;'CREST Inputs'!$Q$50,U$2&lt;'CREST Inputs'!$Q$52),($E$132)/('CREST Inputs'!$Q$52-'CREST Inputs'!$Q$50-1),IF(U$2='CREST Inputs'!$Q$52,-($E$132),0))))</f>
        <v>0</v>
      </c>
      <c r="V195" s="132">
        <f>IF(V$2&lt;'CREST Inputs'!$Q$50,$E$129/('CREST Inputs'!$Q$50-1),IF(V$2='CREST Inputs'!$Q$50,-($E$129),IF(AND(V$2&gt;'CREST Inputs'!$Q$50,V$2&lt;'CREST Inputs'!$Q$52),($E$132)/('CREST Inputs'!$Q$52-'CREST Inputs'!$Q$50-1),IF(V$2='CREST Inputs'!$Q$52,-($E$132),0))))</f>
        <v>0</v>
      </c>
      <c r="W195" s="132">
        <f>IF(W$2&lt;'CREST Inputs'!$Q$50,$E$129/('CREST Inputs'!$Q$50-1),IF(W$2='CREST Inputs'!$Q$50,-($E$129),IF(AND(W$2&gt;'CREST Inputs'!$Q$50,W$2&lt;'CREST Inputs'!$Q$52),($E$132)/('CREST Inputs'!$Q$52-'CREST Inputs'!$Q$50-1),IF(W$2='CREST Inputs'!$Q$52,-($E$132),0))))</f>
        <v>0</v>
      </c>
      <c r="X195" s="132">
        <f>IF(X$2&lt;'CREST Inputs'!$Q$50,$E$129/('CREST Inputs'!$Q$50-1),IF(X$2='CREST Inputs'!$Q$50,-($E$129),IF(AND(X$2&gt;'CREST Inputs'!$Q$50,X$2&lt;'CREST Inputs'!$Q$52),($E$132)/('CREST Inputs'!$Q$52-'CREST Inputs'!$Q$50-1),IF(X$2='CREST Inputs'!$Q$52,-($E$132),0))))</f>
        <v>0</v>
      </c>
      <c r="Y195" s="132">
        <f>IF(Y$2&lt;'CREST Inputs'!$Q$50,$E$129/('CREST Inputs'!$Q$50-1),IF(Y$2='CREST Inputs'!$Q$50,-($E$129),IF(AND(Y$2&gt;'CREST Inputs'!$Q$50,Y$2&lt;'CREST Inputs'!$Q$52),($E$132)/('CREST Inputs'!$Q$52-'CREST Inputs'!$Q$50-1),IF(Y$2='CREST Inputs'!$Q$52,-($E$132),0))))</f>
        <v>0</v>
      </c>
      <c r="Z195" s="132">
        <f>IF(Z$2&lt;'CREST Inputs'!$Q$50,$E$129/('CREST Inputs'!$Q$50-1),IF(Z$2='CREST Inputs'!$Q$50,-($E$129),IF(AND(Z$2&gt;'CREST Inputs'!$Q$50,Z$2&lt;'CREST Inputs'!$Q$52),($E$132)/('CREST Inputs'!$Q$52-'CREST Inputs'!$Q$50-1),IF(Z$2='CREST Inputs'!$Q$52,-($E$132),0))))</f>
        <v>0</v>
      </c>
      <c r="AA195" s="132">
        <f>IF(AA$2&lt;'CREST Inputs'!$Q$50,$E$129/('CREST Inputs'!$Q$50-1),IF(AA$2='CREST Inputs'!$Q$50,-($E$129),IF(AND(AA$2&gt;'CREST Inputs'!$Q$50,AA$2&lt;'CREST Inputs'!$Q$52),($E$132)/('CREST Inputs'!$Q$52-'CREST Inputs'!$Q$50-1),IF(AA$2='CREST Inputs'!$Q$52,-($E$132),0))))</f>
        <v>0</v>
      </c>
      <c r="AB195" s="132">
        <f>IF(AB$2&lt;'CREST Inputs'!$Q$50,$E$129/('CREST Inputs'!$Q$50-1),IF(AB$2='CREST Inputs'!$Q$50,-($E$129),IF(AND(AB$2&gt;'CREST Inputs'!$Q$50,AB$2&lt;'CREST Inputs'!$Q$52),($E$132)/('CREST Inputs'!$Q$52-'CREST Inputs'!$Q$50-1),IF(AB$2='CREST Inputs'!$Q$52,-($E$132),0))))</f>
        <v>0</v>
      </c>
      <c r="AC195" s="132">
        <f>IF(AC$2&lt;'CREST Inputs'!$Q$50,$E$129/('CREST Inputs'!$Q$50-1),IF(AC$2='CREST Inputs'!$Q$50,-($E$129),IF(AND(AC$2&gt;'CREST Inputs'!$Q$50,AC$2&lt;'CREST Inputs'!$Q$52),($E$132)/('CREST Inputs'!$Q$52-'CREST Inputs'!$Q$50-1),IF(AC$2='CREST Inputs'!$Q$52,-($E$132),0))))</f>
        <v>0</v>
      </c>
      <c r="AD195" s="132">
        <f>IF(AD$2&lt;'CREST Inputs'!$Q$50,$E$129/('CREST Inputs'!$Q$50-1),IF(AD$2='CREST Inputs'!$Q$50,-($E$129),IF(AND(AD$2&gt;'CREST Inputs'!$Q$50,AD$2&lt;'CREST Inputs'!$Q$52),($E$132)/('CREST Inputs'!$Q$52-'CREST Inputs'!$Q$50-1),IF(AD$2='CREST Inputs'!$Q$52,-($E$132),0))))</f>
        <v>0</v>
      </c>
      <c r="AE195" s="132">
        <f>IF(AE$2&lt;'CREST Inputs'!$Q$50,$E$129/('CREST Inputs'!$Q$50-1),IF(AE$2='CREST Inputs'!$Q$50,-($E$129),IF(AND(AE$2&gt;'CREST Inputs'!$Q$50,AE$2&lt;'CREST Inputs'!$Q$52),($E$132)/('CREST Inputs'!$Q$52-'CREST Inputs'!$Q$50-1),IF(AE$2='CREST Inputs'!$Q$52,-($E$132),0))))</f>
        <v>0</v>
      </c>
      <c r="AF195" s="132">
        <f>IF(AF$2&lt;'CREST Inputs'!$Q$50,$E$129/('CREST Inputs'!$Q$50-1),IF(AF$2='CREST Inputs'!$Q$50,-($E$129),IF(AND(AF$2&gt;'CREST Inputs'!$Q$50,AF$2&lt;'CREST Inputs'!$Q$52),($E$132)/('CREST Inputs'!$Q$52-'CREST Inputs'!$Q$50-1),IF(AF$2='CREST Inputs'!$Q$52,-($E$132),0))))</f>
        <v>0</v>
      </c>
      <c r="AG195" s="132">
        <f>IF(AG$2&lt;'CREST Inputs'!$Q$50,$E$129/('CREST Inputs'!$Q$50-1),IF(AG$2='CREST Inputs'!$Q$50,-($E$129),IF(AND(AG$2&gt;'CREST Inputs'!$Q$50,AG$2&lt;'CREST Inputs'!$Q$52),($E$132)/('CREST Inputs'!$Q$52-'CREST Inputs'!$Q$50-1),IF(AG$2='CREST Inputs'!$Q$52,-($E$132),0))))</f>
        <v>0</v>
      </c>
      <c r="AH195" s="132">
        <f>IF(AH$2&lt;'CREST Inputs'!$Q$50,$E$129/('CREST Inputs'!$Q$50-1),IF(AH$2='CREST Inputs'!$Q$50,-($E$129),IF(AND(AH$2&gt;'CREST Inputs'!$Q$50,AH$2&lt;'CREST Inputs'!$Q$52),($E$132)/('CREST Inputs'!$Q$52-'CREST Inputs'!$Q$50-1),IF(AH$2='CREST Inputs'!$Q$52,-($E$132),0))))</f>
        <v>0</v>
      </c>
      <c r="AI195" s="132">
        <f>IF(AI$2&lt;'CREST Inputs'!$Q$50,$E$129/('CREST Inputs'!$Q$50-1),IF(AI$2='CREST Inputs'!$Q$50,-($E$129),IF(AND(AI$2&gt;'CREST Inputs'!$Q$50,AI$2&lt;'CREST Inputs'!$Q$52),($E$132)/('CREST Inputs'!$Q$52-'CREST Inputs'!$Q$50-1),IF(AI$2='CREST Inputs'!$Q$52,-($E$132),0))))</f>
        <v>0</v>
      </c>
      <c r="AJ195" s="132">
        <f>IF(AJ$2&lt;'CREST Inputs'!$Q$50,$E$129/('CREST Inputs'!$Q$50-1),IF(AJ$2='CREST Inputs'!$Q$50,-($E$129),IF(AND(AJ$2&gt;'CREST Inputs'!$Q$50,AJ$2&lt;'CREST Inputs'!$Q$52),($E$132)/('CREST Inputs'!$Q$52-'CREST Inputs'!$Q$50-1),IF(AJ$2='CREST Inputs'!$Q$52,-($E$132),0))))</f>
        <v>0</v>
      </c>
    </row>
    <row r="196" spans="2:36" ht="15.75">
      <c r="B196" s="114" t="s">
        <v>45</v>
      </c>
      <c r="C196" s="114"/>
      <c r="D196" s="114"/>
      <c r="E196" s="139"/>
      <c r="F196" s="146">
        <v>0</v>
      </c>
      <c r="G196" s="132">
        <f>IF(OR(G$2&gt;'CREST Inputs'!$G$15,'CREST Inputs'!$Q$57="salvage"),0,'CREST Inputs'!$Q$58/'CREST Inputs'!$Q$8)</f>
        <v>0</v>
      </c>
      <c r="H196" s="132">
        <f>IF(OR(H$2&gt;'CREST Inputs'!$G$15,'CREST Inputs'!$Q$57="salvage"),0,'CREST Inputs'!$Q$58/'CREST Inputs'!$Q$8)</f>
        <v>0</v>
      </c>
      <c r="I196" s="132">
        <f>IF(OR(I$2&gt;'CREST Inputs'!$G$15,'CREST Inputs'!$Q$57="salvage"),0,'CREST Inputs'!$Q$58/'CREST Inputs'!$Q$8)</f>
        <v>0</v>
      </c>
      <c r="J196" s="132">
        <f>IF(OR(J$2&gt;'CREST Inputs'!$G$15,'CREST Inputs'!$Q$57="salvage"),0,'CREST Inputs'!$Q$58/'CREST Inputs'!$Q$8)</f>
        <v>0</v>
      </c>
      <c r="K196" s="132">
        <f>IF(OR(K$2&gt;'CREST Inputs'!$G$15,'CREST Inputs'!$Q$57="salvage"),0,'CREST Inputs'!$Q$58/'CREST Inputs'!$Q$8)</f>
        <v>0</v>
      </c>
      <c r="L196" s="132">
        <f>IF(OR(L$2&gt;'CREST Inputs'!$G$15,'CREST Inputs'!$Q$57="salvage"),0,'CREST Inputs'!$Q$58/'CREST Inputs'!$Q$8)</f>
        <v>0</v>
      </c>
      <c r="M196" s="132">
        <f>IF(OR(M$2&gt;'CREST Inputs'!$G$15,'CREST Inputs'!$Q$57="salvage"),0,'CREST Inputs'!$Q$58/'CREST Inputs'!$Q$8)</f>
        <v>0</v>
      </c>
      <c r="N196" s="132">
        <f>IF(OR(N$2&gt;'CREST Inputs'!$G$15,'CREST Inputs'!$Q$57="salvage"),0,'CREST Inputs'!$Q$58/'CREST Inputs'!$Q$8)</f>
        <v>0</v>
      </c>
      <c r="O196" s="132">
        <f>IF(OR(O$2&gt;'CREST Inputs'!$G$15,'CREST Inputs'!$Q$57="salvage"),0,'CREST Inputs'!$Q$58/'CREST Inputs'!$Q$8)</f>
        <v>0</v>
      </c>
      <c r="P196" s="132">
        <f>IF(OR(P$2&gt;'CREST Inputs'!$G$15,'CREST Inputs'!$Q$57="salvage"),0,'CREST Inputs'!$Q$58/'CREST Inputs'!$Q$8)</f>
        <v>0</v>
      </c>
      <c r="Q196" s="132">
        <f>IF(OR(Q$2&gt;'CREST Inputs'!$G$15,'CREST Inputs'!$Q$57="salvage"),0,'CREST Inputs'!$Q$58/'CREST Inputs'!$Q$8)</f>
        <v>0</v>
      </c>
      <c r="R196" s="132">
        <f>IF(OR(R$2&gt;'CREST Inputs'!$G$15,'CREST Inputs'!$Q$57="salvage"),0,'CREST Inputs'!$Q$58/'CREST Inputs'!$Q$8)</f>
        <v>0</v>
      </c>
      <c r="S196" s="132">
        <f>IF(OR(S$2&gt;'CREST Inputs'!$G$15,'CREST Inputs'!$Q$57="salvage"),0,'CREST Inputs'!$Q$58/'CREST Inputs'!$Q$8)</f>
        <v>0</v>
      </c>
      <c r="T196" s="132">
        <f>IF(OR(T$2&gt;'CREST Inputs'!$G$15,'CREST Inputs'!$Q$57="salvage"),0,'CREST Inputs'!$Q$58/'CREST Inputs'!$Q$8)</f>
        <v>0</v>
      </c>
      <c r="U196" s="132">
        <f>IF(OR(U$2&gt;'CREST Inputs'!$G$15,'CREST Inputs'!$Q$57="salvage"),0,'CREST Inputs'!$Q$58/'CREST Inputs'!$Q$8)</f>
        <v>0</v>
      </c>
      <c r="V196" s="132">
        <f>IF(OR(V$2&gt;'CREST Inputs'!$G$15,'CREST Inputs'!$Q$57="salvage"),0,'CREST Inputs'!$Q$58/'CREST Inputs'!$Q$8)</f>
        <v>0</v>
      </c>
      <c r="W196" s="132">
        <f>IF(OR(W$2&gt;'CREST Inputs'!$G$15,'CREST Inputs'!$Q$57="salvage"),0,'CREST Inputs'!$Q$58/'CREST Inputs'!$Q$8)</f>
        <v>0</v>
      </c>
      <c r="X196" s="132">
        <f>IF(OR(X$2&gt;'CREST Inputs'!$G$15,'CREST Inputs'!$Q$57="salvage"),0,'CREST Inputs'!$Q$58/'CREST Inputs'!$Q$8)</f>
        <v>0</v>
      </c>
      <c r="Y196" s="132">
        <f>IF(OR(Y$2&gt;'CREST Inputs'!$G$15,'CREST Inputs'!$Q$57="salvage"),0,'CREST Inputs'!$Q$58/'CREST Inputs'!$Q$8)</f>
        <v>0</v>
      </c>
      <c r="Z196" s="132">
        <f>IF(OR(Z$2&gt;'CREST Inputs'!$G$15,'CREST Inputs'!$Q$57="salvage"),0,'CREST Inputs'!$Q$58/'CREST Inputs'!$Q$8)</f>
        <v>0</v>
      </c>
      <c r="AA196" s="132">
        <f>IF(OR(AA$2&gt;'CREST Inputs'!$G$15,'CREST Inputs'!$Q$57="salvage"),0,'CREST Inputs'!$Q$58/'CREST Inputs'!$Q$8)</f>
        <v>0</v>
      </c>
      <c r="AB196" s="132">
        <f>IF(OR(AB$2&gt;'CREST Inputs'!$G$15,'CREST Inputs'!$Q$57="salvage"),0,'CREST Inputs'!$Q$58/'CREST Inputs'!$Q$8)</f>
        <v>0</v>
      </c>
      <c r="AC196" s="132">
        <f>IF(OR(AC$2&gt;'CREST Inputs'!$G$15,'CREST Inputs'!$Q$57="salvage"),0,'CREST Inputs'!$Q$58/'CREST Inputs'!$Q$8)</f>
        <v>0</v>
      </c>
      <c r="AD196" s="132">
        <f>IF(OR(AD$2&gt;'CREST Inputs'!$G$15,'CREST Inputs'!$Q$57="salvage"),0,'CREST Inputs'!$Q$58/'CREST Inputs'!$Q$8)</f>
        <v>0</v>
      </c>
      <c r="AE196" s="132">
        <f>IF(OR(AE$2&gt;'CREST Inputs'!$G$15,'CREST Inputs'!$Q$57="salvage"),0,'CREST Inputs'!$Q$58/'CREST Inputs'!$Q$8)</f>
        <v>0</v>
      </c>
      <c r="AF196" s="132">
        <f>IF(OR(AF$2&gt;'CREST Inputs'!$G$15,'CREST Inputs'!$Q$57="salvage"),0,'CREST Inputs'!$Q$58/'CREST Inputs'!$Q$8)</f>
        <v>0</v>
      </c>
      <c r="AG196" s="132">
        <f>IF(OR(AG$2&gt;'CREST Inputs'!$G$15,'CREST Inputs'!$Q$57="salvage"),0,'CREST Inputs'!$Q$58/'CREST Inputs'!$Q$8)</f>
        <v>0</v>
      </c>
      <c r="AH196" s="132">
        <f>IF(OR(AH$2&gt;'CREST Inputs'!$G$15,'CREST Inputs'!$Q$57="salvage"),0,'CREST Inputs'!$Q$58/'CREST Inputs'!$Q$8)</f>
        <v>0</v>
      </c>
      <c r="AI196" s="132">
        <f>IF(OR(AI$2&gt;'CREST Inputs'!$G$15,'CREST Inputs'!$Q$57="salvage"),0,'CREST Inputs'!$Q$58/'CREST Inputs'!$Q$8)</f>
        <v>0</v>
      </c>
      <c r="AJ196" s="132">
        <f>IF(OR(AJ$2&gt;'CREST Inputs'!$G$15,'CREST Inputs'!$Q$57="salvage"),0,'CREST Inputs'!$Q$58/'CREST Inputs'!$Q$8)</f>
        <v>0</v>
      </c>
    </row>
    <row r="197" spans="2:36" ht="15.75">
      <c r="B197" s="95" t="s">
        <v>80</v>
      </c>
      <c r="C197" s="95"/>
      <c r="D197" s="95"/>
      <c r="E197" s="139"/>
      <c r="F197" s="132">
        <f>IF(F$2&gt;'CREST Inputs'!$G$15,0,SUM(F192:F196))</f>
        <v>119949.0461368776</v>
      </c>
      <c r="G197" s="132">
        <f>IF(G$2&gt;'CREST Inputs'!$G$15,0,SUM(G192:G196))</f>
        <v>158467.56465539613</v>
      </c>
      <c r="H197" s="132">
        <f>IF(H$2&gt;'CREST Inputs'!$G$15,0,SUM(H192:H196))</f>
        <v>196986.08317391464</v>
      </c>
      <c r="I197" s="132">
        <f>IF(I$2&gt;'CREST Inputs'!$G$15,0,SUM(I192:I196))</f>
        <v>235504.60169243315</v>
      </c>
      <c r="J197" s="132">
        <f>IF(J$2&gt;'CREST Inputs'!$G$15,0,SUM(J192:J196))</f>
        <v>274023.12021095166</v>
      </c>
      <c r="K197" s="132">
        <f>IF(K$2&gt;'CREST Inputs'!$G$15,0,SUM(K192:K196))</f>
        <v>312541.6387294702</v>
      </c>
      <c r="L197" s="132">
        <f>IF(L$2&gt;'CREST Inputs'!$G$15,0,SUM(L192:L196))</f>
        <v>351060.15724798874</v>
      </c>
      <c r="M197" s="132">
        <f>IF(M$2&gt;'CREST Inputs'!$G$15,0,SUM(M192:M196))</f>
        <v>389578.6757665073</v>
      </c>
      <c r="N197" s="132">
        <f>IF(N$2&gt;'CREST Inputs'!$G$15,0,SUM(N192:N196))</f>
        <v>428097.1942850258</v>
      </c>
      <c r="O197" s="132">
        <f>IF(O$2&gt;'CREST Inputs'!$G$15,0,SUM(O192:O196))</f>
        <v>466615.71280354436</v>
      </c>
      <c r="P197" s="132">
        <f>IF(P$2&gt;'CREST Inputs'!$G$15,0,SUM(P192:P196))</f>
        <v>119949.04613687767</v>
      </c>
      <c r="Q197" s="132">
        <f>IF(Q$2&gt;'CREST Inputs'!$G$15,0,SUM(Q192:Q196))</f>
        <v>119949.04613687767</v>
      </c>
      <c r="R197" s="132">
        <f>IF(R$2&gt;'CREST Inputs'!$G$15,0,SUM(R192:R196))</f>
        <v>119949.04613687767</v>
      </c>
      <c r="S197" s="132">
        <f>IF(S$2&gt;'CREST Inputs'!$G$15,0,SUM(S192:S196))</f>
        <v>119949.04613687767</v>
      </c>
      <c r="T197" s="132">
        <f>IF(T$2&gt;'CREST Inputs'!$G$15,0,SUM(T192:T196))</f>
        <v>119949.04613687767</v>
      </c>
      <c r="U197" s="132">
        <f>IF(U$2&gt;'CREST Inputs'!$G$15,0,SUM(U192:U196))</f>
        <v>119949.04613687767</v>
      </c>
      <c r="V197" s="132">
        <f>IF(V$2&gt;'CREST Inputs'!$G$15,0,SUM(V192:V196))</f>
        <v>31376.800213816285</v>
      </c>
      <c r="W197" s="132">
        <f>IF(W$2&gt;'CREST Inputs'!$G$15,0,SUM(W192:W196))</f>
        <v>31376.800213816285</v>
      </c>
      <c r="X197" s="132">
        <f>IF(X$2&gt;'CREST Inputs'!$G$15,0,SUM(X192:X196))</f>
        <v>31376.800213816285</v>
      </c>
      <c r="Y197" s="132">
        <f>IF(Y$2&gt;'CREST Inputs'!$G$15,0,SUM(Y192:Y196))</f>
        <v>31376.800213816285</v>
      </c>
      <c r="Z197" s="132">
        <f>IF(Z$2&gt;'CREST Inputs'!$G$15,0,SUM(Z192:Z196))</f>
        <v>31376.800213816285</v>
      </c>
      <c r="AA197" s="132">
        <f>IF(AA$2&gt;'CREST Inputs'!$G$15,0,SUM(AA192:AA196))</f>
        <v>31376.800213816285</v>
      </c>
      <c r="AB197" s="132">
        <f>IF(AB$2&gt;'CREST Inputs'!$G$15,0,SUM(AB192:AB196))</f>
        <v>31376.800213816285</v>
      </c>
      <c r="AC197" s="132">
        <f>IF(AC$2&gt;'CREST Inputs'!$G$15,0,SUM(AC192:AC196))</f>
        <v>31376.800213816285</v>
      </c>
      <c r="AD197" s="132">
        <f>IF(AD$2&gt;'CREST Inputs'!$G$15,0,SUM(AD192:AD196))</f>
        <v>31376.800213816285</v>
      </c>
      <c r="AE197" s="132">
        <f>IF(AE$2&gt;'CREST Inputs'!$G$15,0,SUM(AE192:AE196))</f>
        <v>7.275957614183426E-11</v>
      </c>
      <c r="AF197" s="132">
        <f>IF(AF$2&gt;'CREST Inputs'!$G$15,0,SUM(AF192:AF196))</f>
        <v>0</v>
      </c>
      <c r="AG197" s="132">
        <f>IF(AG$2&gt;'CREST Inputs'!$G$15,0,SUM(AG192:AG196))</f>
        <v>0</v>
      </c>
      <c r="AH197" s="132">
        <f>IF(AH$2&gt;'CREST Inputs'!$G$15,0,SUM(AH192:AH196))</f>
        <v>0</v>
      </c>
      <c r="AI197" s="132">
        <f>IF(AI$2&gt;'CREST Inputs'!$G$15,0,SUM(AI192:AI196))</f>
        <v>0</v>
      </c>
      <c r="AJ197" s="132">
        <f>IF(AJ$2&gt;'CREST Inputs'!$G$15,0,SUM(AJ192:AJ196))</f>
        <v>0</v>
      </c>
    </row>
    <row r="198" spans="2:36" ht="15.75">
      <c r="B198" s="94"/>
      <c r="C198" s="94"/>
      <c r="D198" s="94"/>
      <c r="E198" s="139"/>
      <c r="F198" s="132"/>
      <c r="G198" s="132"/>
      <c r="H198" s="132"/>
      <c r="I198" s="132"/>
      <c r="J198" s="132"/>
      <c r="K198" s="132"/>
      <c r="L198" s="132"/>
      <c r="M198" s="132"/>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row>
    <row r="199" spans="2:36" ht="15.75">
      <c r="B199" s="95" t="s">
        <v>155</v>
      </c>
      <c r="C199" s="95"/>
      <c r="D199" s="95"/>
      <c r="E199" s="139"/>
      <c r="F199" s="132"/>
      <c r="G199" s="132">
        <f>AVERAGE(G192,G197)*'CREST Inputs'!$Q$67</f>
        <v>2784.1661079227374</v>
      </c>
      <c r="H199" s="132">
        <f>AVERAGE(H192,H197)*'CREST Inputs'!$Q$67</f>
        <v>3554.5364782931074</v>
      </c>
      <c r="I199" s="132">
        <f>AVERAGE(I192,I197)*'CREST Inputs'!$Q$67</f>
        <v>4324.906848663478</v>
      </c>
      <c r="J199" s="132">
        <f>AVERAGE(J192,J197)*'CREST Inputs'!$Q$67</f>
        <v>5095.277219033848</v>
      </c>
      <c r="K199" s="132">
        <f>AVERAGE(K192,K197)*'CREST Inputs'!$Q$67</f>
        <v>5865.647589404219</v>
      </c>
      <c r="L199" s="132">
        <f>AVERAGE(L192,L197)*'CREST Inputs'!$Q$67</f>
        <v>6636.017959774589</v>
      </c>
      <c r="M199" s="132">
        <f>AVERAGE(M192,M197)*'CREST Inputs'!$Q$67</f>
        <v>7406.3883301449605</v>
      </c>
      <c r="N199" s="132">
        <f>AVERAGE(N192,N197)*'CREST Inputs'!$Q$67</f>
        <v>8176.758700515331</v>
      </c>
      <c r="O199" s="132">
        <f>AVERAGE(O192,O197)*'CREST Inputs'!$Q$67</f>
        <v>8947.129070885701</v>
      </c>
      <c r="P199" s="132">
        <f>AVERAGE(P192,P197)*'CREST Inputs'!$Q$67</f>
        <v>5865.64758940422</v>
      </c>
      <c r="Q199" s="132">
        <f>AVERAGE(Q192,Q197)*'CREST Inputs'!$Q$67</f>
        <v>2398.9809227375536</v>
      </c>
      <c r="R199" s="132">
        <f>AVERAGE(R192,R197)*'CREST Inputs'!$Q$67</f>
        <v>2398.9809227375536</v>
      </c>
      <c r="S199" s="132">
        <f>AVERAGE(S192,S197)*'CREST Inputs'!$Q$67</f>
        <v>2398.9809227375536</v>
      </c>
      <c r="T199" s="132">
        <f>AVERAGE(T192,T197)*'CREST Inputs'!$Q$67</f>
        <v>2398.9809227375536</v>
      </c>
      <c r="U199" s="132">
        <f>AVERAGE(U192,U197)*'CREST Inputs'!$Q$67</f>
        <v>2398.9809227375536</v>
      </c>
      <c r="V199" s="132">
        <f>AVERAGE(V192,V197)*'CREST Inputs'!$Q$67</f>
        <v>1513.2584635069395</v>
      </c>
      <c r="W199" s="132">
        <f>AVERAGE(W192,W197)*'CREST Inputs'!$Q$67</f>
        <v>627.5360042763257</v>
      </c>
      <c r="X199" s="132">
        <f>AVERAGE(X192,X197)*'CREST Inputs'!$Q$67</f>
        <v>627.5360042763257</v>
      </c>
      <c r="Y199" s="132">
        <f>AVERAGE(Y192,Y197)*'CREST Inputs'!$Q$67</f>
        <v>627.5360042763257</v>
      </c>
      <c r="Z199" s="132">
        <f>AVERAGE(Z192,Z197)*'CREST Inputs'!$Q$67</f>
        <v>627.5360042763257</v>
      </c>
      <c r="AA199" s="132">
        <f>AVERAGE(AA192,AA197)*'CREST Inputs'!$Q$67</f>
        <v>627.5360042763257</v>
      </c>
      <c r="AB199" s="132">
        <f>AVERAGE(AB192,AB197)*'CREST Inputs'!$Q$67</f>
        <v>627.5360042763257</v>
      </c>
      <c r="AC199" s="132">
        <f>AVERAGE(AC192,AC197)*'CREST Inputs'!$Q$67</f>
        <v>627.5360042763257</v>
      </c>
      <c r="AD199" s="132">
        <f>AVERAGE(AD192,AD197)*'CREST Inputs'!$Q$67</f>
        <v>627.5360042763257</v>
      </c>
      <c r="AE199" s="132">
        <f>AVERAGE(AE192,AE197)*'CREST Inputs'!$Q$67</f>
        <v>313.7680021381636</v>
      </c>
      <c r="AF199" s="132">
        <f>AVERAGE(AF192,AF197)*'CREST Inputs'!$Q$67</f>
        <v>7.275957614183426E-13</v>
      </c>
      <c r="AG199" s="132">
        <f>AVERAGE(AG192,AG197)*'CREST Inputs'!$Q$67</f>
        <v>0</v>
      </c>
      <c r="AH199" s="132">
        <f>AVERAGE(AH192,AH197)*'CREST Inputs'!$Q$67</f>
        <v>0</v>
      </c>
      <c r="AI199" s="132">
        <f>AVERAGE(AI192,AI197)*'CREST Inputs'!$Q$67</f>
        <v>0</v>
      </c>
      <c r="AJ199" s="132">
        <f>AVERAGE(AJ192,AJ197)*'CREST Inputs'!$Q$67</f>
        <v>0</v>
      </c>
    </row>
    <row r="200" spans="2:36" ht="15.75">
      <c r="B200" s="95" t="s">
        <v>156</v>
      </c>
      <c r="C200" s="95"/>
      <c r="D200" s="95"/>
      <c r="E200" s="139"/>
      <c r="F200" s="139"/>
      <c r="G200" s="132">
        <f>SUM(G193:G196)</f>
        <v>38518.51851851852</v>
      </c>
      <c r="H200" s="132">
        <f aca="true" t="shared" si="59" ref="H200:AJ200">SUM(H193:H196)</f>
        <v>38518.51851851852</v>
      </c>
      <c r="I200" s="132">
        <f t="shared" si="59"/>
        <v>38518.51851851852</v>
      </c>
      <c r="J200" s="132">
        <f t="shared" si="59"/>
        <v>38518.51851851852</v>
      </c>
      <c r="K200" s="132">
        <f t="shared" si="59"/>
        <v>38518.51851851852</v>
      </c>
      <c r="L200" s="132">
        <f t="shared" si="59"/>
        <v>38518.51851851852</v>
      </c>
      <c r="M200" s="132">
        <f t="shared" si="59"/>
        <v>38518.51851851852</v>
      </c>
      <c r="N200" s="132">
        <f t="shared" si="59"/>
        <v>38518.51851851852</v>
      </c>
      <c r="O200" s="132">
        <f t="shared" si="59"/>
        <v>38518.51851851852</v>
      </c>
      <c r="P200" s="132">
        <f t="shared" si="59"/>
        <v>-346666.6666666667</v>
      </c>
      <c r="Q200" s="132">
        <f t="shared" si="59"/>
        <v>0</v>
      </c>
      <c r="R200" s="132">
        <f t="shared" si="59"/>
        <v>0</v>
      </c>
      <c r="S200" s="132">
        <f t="shared" si="59"/>
        <v>0</v>
      </c>
      <c r="T200" s="132">
        <f t="shared" si="59"/>
        <v>0</v>
      </c>
      <c r="U200" s="132">
        <f t="shared" si="59"/>
        <v>0</v>
      </c>
      <c r="V200" s="132">
        <f t="shared" si="59"/>
        <v>-88572.24592306139</v>
      </c>
      <c r="W200" s="132">
        <f t="shared" si="59"/>
        <v>0</v>
      </c>
      <c r="X200" s="132">
        <f t="shared" si="59"/>
        <v>0</v>
      </c>
      <c r="Y200" s="132">
        <f t="shared" si="59"/>
        <v>0</v>
      </c>
      <c r="Z200" s="132">
        <f t="shared" si="59"/>
        <v>0</v>
      </c>
      <c r="AA200" s="132">
        <f t="shared" si="59"/>
        <v>0</v>
      </c>
      <c r="AB200" s="132">
        <f t="shared" si="59"/>
        <v>0</v>
      </c>
      <c r="AC200" s="132">
        <f t="shared" si="59"/>
        <v>0</v>
      </c>
      <c r="AD200" s="132">
        <f t="shared" si="59"/>
        <v>0</v>
      </c>
      <c r="AE200" s="132">
        <f t="shared" si="59"/>
        <v>-31376.800213816212</v>
      </c>
      <c r="AF200" s="132">
        <f t="shared" si="59"/>
        <v>0</v>
      </c>
      <c r="AG200" s="132">
        <f t="shared" si="59"/>
        <v>0</v>
      </c>
      <c r="AH200" s="132">
        <f t="shared" si="59"/>
        <v>0</v>
      </c>
      <c r="AI200" s="132">
        <f t="shared" si="59"/>
        <v>0</v>
      </c>
      <c r="AJ200" s="132">
        <f t="shared" si="59"/>
        <v>0</v>
      </c>
    </row>
    <row r="201" spans="2:36" ht="16.5" thickBot="1">
      <c r="B201" s="140"/>
      <c r="C201" s="140"/>
      <c r="D201" s="140"/>
      <c r="E201" s="141"/>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row>
    <row r="202" spans="2:36" ht="15.75">
      <c r="B202" s="130"/>
      <c r="C202" s="130"/>
      <c r="D202" s="130"/>
      <c r="E202" s="139"/>
      <c r="F202" s="132"/>
      <c r="G202" s="217"/>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row>
    <row r="203" spans="2:36" ht="30">
      <c r="B203" s="225" t="s">
        <v>218</v>
      </c>
      <c r="C203" s="225"/>
      <c r="D203" s="225"/>
      <c r="E203" s="139"/>
      <c r="F203" s="132"/>
      <c r="G203" s="218" t="s">
        <v>219</v>
      </c>
      <c r="H203" s="132"/>
      <c r="I203" s="132"/>
      <c r="J203" s="139"/>
      <c r="K203" s="218" t="s">
        <v>219</v>
      </c>
      <c r="L203" s="132"/>
      <c r="M203" s="132"/>
      <c r="N203" s="139"/>
      <c r="O203" s="218" t="s">
        <v>219</v>
      </c>
      <c r="P203" s="132"/>
      <c r="Q203" s="132"/>
      <c r="R203" s="218" t="s">
        <v>221</v>
      </c>
      <c r="S203" s="218" t="s">
        <v>222</v>
      </c>
      <c r="T203" s="139"/>
      <c r="U203" s="139"/>
      <c r="V203" s="132"/>
      <c r="W203" s="132"/>
      <c r="X203" s="132"/>
      <c r="Y203" s="132"/>
      <c r="Z203" s="132"/>
      <c r="AA203" s="132"/>
      <c r="AB203" s="132"/>
      <c r="AC203" s="132"/>
      <c r="AD203" s="132"/>
      <c r="AE203" s="132"/>
      <c r="AF203" s="132"/>
      <c r="AG203" s="132"/>
      <c r="AH203" s="132"/>
      <c r="AI203" s="132"/>
      <c r="AJ203" s="132"/>
    </row>
    <row r="204" spans="2:36" ht="15.75">
      <c r="B204" s="130" t="s">
        <v>223</v>
      </c>
      <c r="C204" s="130"/>
      <c r="D204" s="130"/>
      <c r="E204" s="139"/>
      <c r="F204" s="132"/>
      <c r="G204" s="132">
        <f>$D$72</f>
        <v>-7329.334969965931</v>
      </c>
      <c r="H204" s="132"/>
      <c r="I204" s="132"/>
      <c r="J204" s="139"/>
      <c r="K204" s="132">
        <f>$D$72</f>
        <v>-7329.334969965931</v>
      </c>
      <c r="L204" s="132"/>
      <c r="M204" s="132"/>
      <c r="N204" s="139"/>
      <c r="O204" s="132">
        <f>$D$72</f>
        <v>-7329.334969965931</v>
      </c>
      <c r="P204" s="132"/>
      <c r="Q204" s="132"/>
      <c r="R204" s="219">
        <f>LOOKUP(MIN($P$205:$P$215),$O$205:$O$215,$N$205:$N$215)</f>
        <v>18.500000000000007</v>
      </c>
      <c r="S204" s="219">
        <f>LOOKUP(MAX($Q$205:$Q$215),$O$205:$O$215,$N$205:$N$215)</f>
        <v>18.60000000000001</v>
      </c>
      <c r="T204" s="261"/>
      <c r="U204" s="139"/>
      <c r="V204" s="132"/>
      <c r="W204" s="132"/>
      <c r="X204" s="132"/>
      <c r="Y204" s="132"/>
      <c r="Z204" s="132"/>
      <c r="AA204" s="132"/>
      <c r="AB204" s="132"/>
      <c r="AC204" s="132"/>
      <c r="AD204" s="132"/>
      <c r="AE204" s="132"/>
      <c r="AF204" s="132"/>
      <c r="AG204" s="132"/>
      <c r="AH204" s="132"/>
      <c r="AI204" s="132"/>
      <c r="AJ204" s="132"/>
    </row>
    <row r="205" spans="2:36" ht="15.75">
      <c r="B205" s="130"/>
      <c r="C205" s="130"/>
      <c r="D205" s="130"/>
      <c r="E205" s="139"/>
      <c r="F205" s="220">
        <v>0</v>
      </c>
      <c r="G205" s="132">
        <f t="dataTable" ref="G205:G215" dt2D="0" dtr="0" r1="G72"/>
        <v>-3606277.0481232535</v>
      </c>
      <c r="H205" s="132"/>
      <c r="I205" s="132"/>
      <c r="J205" s="221">
        <f>LOOKUP(MIN($H$205:$H$215),$G$205:$G$215,$F$205:$F$215)</f>
        <v>10</v>
      </c>
      <c r="K205" s="132">
        <f t="dataTable" ref="K205:K215" dt2D="0" dtr="0" r1="G72"/>
        <v>-1666143.5100352287</v>
      </c>
      <c r="L205" s="132"/>
      <c r="M205" s="132"/>
      <c r="N205" s="221">
        <f>LOOKUP(MIN($L$205:$L$215),$K$205:$K$215,$J$205:$J$215)</f>
        <v>18</v>
      </c>
      <c r="O205" s="132">
        <f t="dataTable" ref="O205:O215" dt2D="0" dtr="0" r1="G72"/>
        <v>-114036.67956480823</v>
      </c>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row>
    <row r="206" spans="2:36" ht="15.75">
      <c r="B206" s="139"/>
      <c r="C206" s="139"/>
      <c r="D206" s="139"/>
      <c r="E206" s="139"/>
      <c r="F206" s="220">
        <v>10</v>
      </c>
      <c r="G206" s="132">
        <v>-1666143.5100352287</v>
      </c>
      <c r="H206" s="132">
        <f aca="true" t="shared" si="60" ref="H206:H215">IF(AND($G206&lt;0,$G207&gt;0),$G206,"")</f>
        <v>-1666143.5100352287</v>
      </c>
      <c r="I206" s="132">
        <f aca="true" t="shared" si="61" ref="I206:I215">IF(AND($G206&gt;0,$G205&lt;0),$G206,"")</f>
      </c>
      <c r="J206" s="221">
        <f>J205+1</f>
        <v>11</v>
      </c>
      <c r="K206" s="132">
        <v>-1472130.156226426</v>
      </c>
      <c r="L206" s="132">
        <f aca="true" t="shared" si="62" ref="L206:L215">IF(AND($K206&lt;0,$K207&gt;0),$K206,"")</f>
      </c>
      <c r="M206" s="132">
        <f aca="true" t="shared" si="63" ref="M206:M215">IF(AND($K206&gt;0,$K205&lt;0),$K206,"")</f>
      </c>
      <c r="N206" s="221">
        <f>N205+0.1</f>
        <v>18.1</v>
      </c>
      <c r="O206" s="132">
        <v>-94635.34418392828</v>
      </c>
      <c r="P206" s="132">
        <f>IF(AND($O206&lt;0,$O207&gt;0),$O206,"")</f>
      </c>
      <c r="Q206" s="132">
        <f>IF(AND($O206&gt;0,$O205&lt;0),$O206,"")</f>
      </c>
      <c r="R206" s="132"/>
      <c r="S206" s="132"/>
      <c r="T206" s="132"/>
      <c r="U206" s="132"/>
      <c r="V206" s="132"/>
      <c r="W206" s="132"/>
      <c r="X206" s="132"/>
      <c r="Y206" s="132"/>
      <c r="Z206" s="132"/>
      <c r="AA206" s="132"/>
      <c r="AB206" s="132"/>
      <c r="AC206" s="132"/>
      <c r="AD206" s="132"/>
      <c r="AE206" s="132"/>
      <c r="AF206" s="132"/>
      <c r="AG206" s="132"/>
      <c r="AH206" s="132"/>
      <c r="AI206" s="132"/>
      <c r="AJ206" s="132"/>
    </row>
    <row r="207" spans="2:36" ht="15.75">
      <c r="B207" s="139"/>
      <c r="C207" s="139"/>
      <c r="D207" s="139"/>
      <c r="E207" s="139"/>
      <c r="F207" s="220">
        <v>20</v>
      </c>
      <c r="G207" s="132">
        <v>273990.0280527965</v>
      </c>
      <c r="H207" s="132">
        <f t="shared" si="60"/>
      </c>
      <c r="I207" s="132">
        <f t="shared" si="61"/>
        <v>273990.0280527965</v>
      </c>
      <c r="J207" s="221">
        <f aca="true" t="shared" si="64" ref="J207:J214">J206+1</f>
        <v>12</v>
      </c>
      <c r="K207" s="132">
        <v>-1278116.8024176243</v>
      </c>
      <c r="L207" s="132">
        <f t="shared" si="62"/>
      </c>
      <c r="M207" s="132">
        <f t="shared" si="63"/>
      </c>
      <c r="N207" s="221">
        <f aca="true" t="shared" si="65" ref="N207:N214">N206+0.1</f>
        <v>18.200000000000003</v>
      </c>
      <c r="O207" s="132">
        <v>-75234.00880304752</v>
      </c>
      <c r="P207" s="132">
        <f aca="true" t="shared" si="66" ref="P207:P215">IF(AND($O207&lt;0,$O208&gt;0),$O207,"")</f>
      </c>
      <c r="Q207" s="132">
        <f aca="true" t="shared" si="67" ref="Q207:Q215">IF(AND($O207&gt;0,$O206&lt;0),$O207,"")</f>
      </c>
      <c r="R207" s="132"/>
      <c r="S207" s="132"/>
      <c r="T207" s="132"/>
      <c r="U207" s="132"/>
      <c r="V207" s="132"/>
      <c r="W207" s="132"/>
      <c r="X207" s="132"/>
      <c r="Y207" s="132"/>
      <c r="Z207" s="132"/>
      <c r="AA207" s="132"/>
      <c r="AB207" s="132"/>
      <c r="AC207" s="132"/>
      <c r="AD207" s="132"/>
      <c r="AE207" s="132"/>
      <c r="AF207" s="132"/>
      <c r="AG207" s="132"/>
      <c r="AH207" s="132"/>
      <c r="AI207" s="132"/>
      <c r="AJ207" s="132"/>
    </row>
    <row r="208" spans="2:36" ht="15.75">
      <c r="B208" s="139"/>
      <c r="C208" s="139"/>
      <c r="D208" s="139"/>
      <c r="E208" s="139"/>
      <c r="F208" s="220">
        <v>30</v>
      </c>
      <c r="G208" s="132">
        <v>2214123.5661408207</v>
      </c>
      <c r="H208" s="132">
        <f t="shared" si="60"/>
      </c>
      <c r="I208" s="132">
        <f t="shared" si="61"/>
      </c>
      <c r="J208" s="221">
        <f t="shared" si="64"/>
        <v>13</v>
      </c>
      <c r="K208" s="132">
        <v>-1084103.448608821</v>
      </c>
      <c r="L208" s="132">
        <f>IF(AND($K208&lt;0,$K209&gt;0),$K208,"")</f>
      </c>
      <c r="M208" s="132">
        <f t="shared" si="63"/>
      </c>
      <c r="N208" s="221">
        <f t="shared" si="65"/>
        <v>18.300000000000004</v>
      </c>
      <c r="O208" s="132">
        <v>-55832.67342216691</v>
      </c>
      <c r="P208" s="132">
        <f t="shared" si="66"/>
      </c>
      <c r="Q208" s="132">
        <f t="shared" si="67"/>
      </c>
      <c r="R208" s="132"/>
      <c r="S208" s="132"/>
      <c r="T208" s="132"/>
      <c r="U208" s="132"/>
      <c r="V208" s="132"/>
      <c r="W208" s="132"/>
      <c r="X208" s="132"/>
      <c r="Y208" s="132"/>
      <c r="Z208" s="132"/>
      <c r="AA208" s="132"/>
      <c r="AB208" s="132"/>
      <c r="AC208" s="132"/>
      <c r="AD208" s="132"/>
      <c r="AE208" s="132"/>
      <c r="AF208" s="132"/>
      <c r="AG208" s="132"/>
      <c r="AH208" s="132"/>
      <c r="AI208" s="132"/>
      <c r="AJ208" s="132"/>
    </row>
    <row r="209" spans="2:36" ht="15.75">
      <c r="B209" s="139"/>
      <c r="C209" s="139"/>
      <c r="D209" s="139"/>
      <c r="E209" s="139"/>
      <c r="F209" s="220">
        <v>40</v>
      </c>
      <c r="G209" s="132">
        <v>4154257.104228846</v>
      </c>
      <c r="H209" s="132">
        <f t="shared" si="60"/>
      </c>
      <c r="I209" s="132">
        <f t="shared" si="61"/>
      </c>
      <c r="J209" s="221">
        <f t="shared" si="64"/>
        <v>14</v>
      </c>
      <c r="K209" s="132">
        <v>-890090.0948000184</v>
      </c>
      <c r="L209" s="132">
        <f t="shared" si="62"/>
      </c>
      <c r="M209" s="132">
        <f t="shared" si="63"/>
      </c>
      <c r="N209" s="221">
        <f t="shared" si="65"/>
        <v>18.400000000000006</v>
      </c>
      <c r="O209" s="132">
        <v>-36431.33804128656</v>
      </c>
      <c r="P209" s="132">
        <f t="shared" si="66"/>
      </c>
      <c r="Q209" s="132">
        <f t="shared" si="67"/>
      </c>
      <c r="R209" s="132"/>
      <c r="S209" s="132"/>
      <c r="T209" s="132"/>
      <c r="U209" s="132"/>
      <c r="V209" s="132"/>
      <c r="W209" s="132"/>
      <c r="X209" s="132"/>
      <c r="Y209" s="132"/>
      <c r="Z209" s="132"/>
      <c r="AA209" s="132"/>
      <c r="AB209" s="132"/>
      <c r="AC209" s="132"/>
      <c r="AD209" s="132"/>
      <c r="AE209" s="132"/>
      <c r="AF209" s="132"/>
      <c r="AG209" s="132"/>
      <c r="AH209" s="132"/>
      <c r="AI209" s="132"/>
      <c r="AJ209" s="132"/>
    </row>
    <row r="210" spans="2:36" ht="15.75">
      <c r="B210" s="139"/>
      <c r="C210" s="139"/>
      <c r="D210" s="139"/>
      <c r="E210" s="139"/>
      <c r="F210" s="220">
        <v>50</v>
      </c>
      <c r="G210" s="132">
        <v>6094390.642316871</v>
      </c>
      <c r="H210" s="132">
        <f t="shared" si="60"/>
      </c>
      <c r="I210" s="132">
        <f t="shared" si="61"/>
      </c>
      <c r="J210" s="221">
        <f t="shared" si="64"/>
        <v>15</v>
      </c>
      <c r="K210" s="132">
        <v>-696076.7409912157</v>
      </c>
      <c r="L210" s="132">
        <f t="shared" si="62"/>
      </c>
      <c r="M210" s="132">
        <f t="shared" si="63"/>
      </c>
      <c r="N210" s="221">
        <f t="shared" si="65"/>
        <v>18.500000000000007</v>
      </c>
      <c r="O210" s="132">
        <v>-17030.002660405953</v>
      </c>
      <c r="P210" s="132">
        <f t="shared" si="66"/>
        <v>-17030.002660405953</v>
      </c>
      <c r="Q210" s="132">
        <f t="shared" si="67"/>
      </c>
      <c r="R210" s="132"/>
      <c r="S210" s="132"/>
      <c r="T210" s="132"/>
      <c r="U210" s="132"/>
      <c r="V210" s="132"/>
      <c r="W210" s="132"/>
      <c r="X210" s="132"/>
      <c r="Y210" s="132"/>
      <c r="Z210" s="132"/>
      <c r="AA210" s="132"/>
      <c r="AB210" s="132"/>
      <c r="AC210" s="132"/>
      <c r="AD210" s="132"/>
      <c r="AE210" s="132"/>
      <c r="AF210" s="132"/>
      <c r="AG210" s="132"/>
      <c r="AH210" s="132"/>
      <c r="AI210" s="132"/>
      <c r="AJ210" s="132"/>
    </row>
    <row r="211" spans="2:36" ht="15.75">
      <c r="B211" s="139"/>
      <c r="C211" s="139"/>
      <c r="D211" s="139"/>
      <c r="E211" s="139"/>
      <c r="F211" s="220">
        <v>60</v>
      </c>
      <c r="G211" s="132">
        <v>8034524.180404896</v>
      </c>
      <c r="H211" s="132">
        <f t="shared" si="60"/>
      </c>
      <c r="I211" s="132">
        <f t="shared" si="61"/>
      </c>
      <c r="J211" s="221">
        <f t="shared" si="64"/>
        <v>16</v>
      </c>
      <c r="K211" s="132">
        <v>-502063.38718241383</v>
      </c>
      <c r="L211" s="132">
        <f t="shared" si="62"/>
      </c>
      <c r="M211" s="132">
        <f t="shared" si="63"/>
      </c>
      <c r="N211" s="221">
        <f t="shared" si="65"/>
        <v>18.60000000000001</v>
      </c>
      <c r="O211" s="132">
        <v>2371.3327204745074</v>
      </c>
      <c r="P211" s="132">
        <f t="shared" si="66"/>
      </c>
      <c r="Q211" s="132">
        <f t="shared" si="67"/>
        <v>2371.3327204745074</v>
      </c>
      <c r="R211" s="132"/>
      <c r="S211" s="132"/>
      <c r="T211" s="132"/>
      <c r="U211" s="132"/>
      <c r="V211" s="132"/>
      <c r="W211" s="132"/>
      <c r="X211" s="132"/>
      <c r="Y211" s="132"/>
      <c r="Z211" s="132"/>
      <c r="AA211" s="132"/>
      <c r="AB211" s="132"/>
      <c r="AC211" s="132"/>
      <c r="AD211" s="132"/>
      <c r="AE211" s="132"/>
      <c r="AF211" s="132"/>
      <c r="AG211" s="132"/>
      <c r="AH211" s="132"/>
      <c r="AI211" s="132"/>
      <c r="AJ211" s="132"/>
    </row>
    <row r="212" spans="2:36" ht="15.75">
      <c r="B212" s="139"/>
      <c r="C212" s="139"/>
      <c r="D212" s="139"/>
      <c r="E212" s="139"/>
      <c r="F212" s="220">
        <v>70</v>
      </c>
      <c r="G212" s="132">
        <v>9974657.71849292</v>
      </c>
      <c r="H212" s="132">
        <f t="shared" si="60"/>
      </c>
      <c r="I212" s="132">
        <f t="shared" si="61"/>
      </c>
      <c r="J212" s="221">
        <f t="shared" si="64"/>
        <v>17</v>
      </c>
      <c r="K212" s="132">
        <v>-308050.0333736111</v>
      </c>
      <c r="L212" s="132">
        <f t="shared" si="62"/>
      </c>
      <c r="M212" s="132">
        <f t="shared" si="63"/>
      </c>
      <c r="N212" s="221">
        <f t="shared" si="65"/>
        <v>18.70000000000001</v>
      </c>
      <c r="O212" s="132">
        <v>21772.6681013552</v>
      </c>
      <c r="P212" s="132">
        <f t="shared" si="66"/>
      </c>
      <c r="Q212" s="132">
        <f t="shared" si="67"/>
      </c>
      <c r="R212" s="132"/>
      <c r="S212" s="132"/>
      <c r="T212" s="132"/>
      <c r="U212" s="132"/>
      <c r="V212" s="132"/>
      <c r="W212" s="132"/>
      <c r="X212" s="132"/>
      <c r="Y212" s="132"/>
      <c r="Z212" s="132"/>
      <c r="AA212" s="132"/>
      <c r="AB212" s="132"/>
      <c r="AC212" s="132"/>
      <c r="AD212" s="132"/>
      <c r="AE212" s="132"/>
      <c r="AF212" s="132"/>
      <c r="AG212" s="132"/>
      <c r="AH212" s="132"/>
      <c r="AI212" s="132"/>
      <c r="AJ212" s="132"/>
    </row>
    <row r="213" spans="2:36" ht="15.75">
      <c r="B213" s="139"/>
      <c r="C213" s="139"/>
      <c r="D213" s="139"/>
      <c r="E213" s="139"/>
      <c r="F213" s="220">
        <v>80</v>
      </c>
      <c r="G213" s="132">
        <v>11914791.256580945</v>
      </c>
      <c r="H213" s="132">
        <f t="shared" si="60"/>
      </c>
      <c r="I213" s="132">
        <f t="shared" si="61"/>
      </c>
      <c r="J213" s="221">
        <f t="shared" si="64"/>
        <v>18</v>
      </c>
      <c r="K213" s="132">
        <v>-114036.67956480823</v>
      </c>
      <c r="L213" s="132">
        <f t="shared" si="62"/>
        <v>-114036.67956480823</v>
      </c>
      <c r="M213" s="132">
        <f t="shared" si="63"/>
      </c>
      <c r="N213" s="221">
        <f t="shared" si="65"/>
        <v>18.80000000000001</v>
      </c>
      <c r="O213" s="132">
        <v>41174.00348223568</v>
      </c>
      <c r="P213" s="132">
        <f t="shared" si="66"/>
      </c>
      <c r="Q213" s="132">
        <f t="shared" si="67"/>
      </c>
      <c r="R213" s="132"/>
      <c r="S213" s="132"/>
      <c r="T213" s="132"/>
      <c r="U213" s="132"/>
      <c r="V213" s="132"/>
      <c r="W213" s="132"/>
      <c r="X213" s="132"/>
      <c r="Y213" s="132"/>
      <c r="Z213" s="132"/>
      <c r="AA213" s="132"/>
      <c r="AB213" s="132"/>
      <c r="AC213" s="132"/>
      <c r="AD213" s="132"/>
      <c r="AE213" s="132"/>
      <c r="AF213" s="132"/>
      <c r="AG213" s="132"/>
      <c r="AH213" s="132"/>
      <c r="AI213" s="132"/>
      <c r="AJ213" s="132"/>
    </row>
    <row r="214" spans="2:36" ht="15.75">
      <c r="B214" s="139"/>
      <c r="C214" s="139"/>
      <c r="D214" s="139"/>
      <c r="E214" s="139"/>
      <c r="F214" s="220">
        <v>90</v>
      </c>
      <c r="G214" s="132">
        <v>13854924.794668969</v>
      </c>
      <c r="H214" s="132">
        <f t="shared" si="60"/>
      </c>
      <c r="I214" s="132">
        <f t="shared" si="61"/>
      </c>
      <c r="J214" s="221">
        <f t="shared" si="64"/>
        <v>19</v>
      </c>
      <c r="K214" s="132">
        <v>79976.67424399388</v>
      </c>
      <c r="L214" s="132">
        <f t="shared" si="62"/>
      </c>
      <c r="M214" s="132">
        <f t="shared" si="63"/>
        <v>79976.67424399388</v>
      </c>
      <c r="N214" s="221">
        <f t="shared" si="65"/>
        <v>18.900000000000013</v>
      </c>
      <c r="O214" s="132">
        <v>60575.3388631164</v>
      </c>
      <c r="P214" s="132">
        <f t="shared" si="66"/>
      </c>
      <c r="Q214" s="132">
        <f t="shared" si="67"/>
      </c>
      <c r="R214" s="132"/>
      <c r="S214" s="132"/>
      <c r="T214" s="132"/>
      <c r="U214" s="132"/>
      <c r="V214" s="132"/>
      <c r="W214" s="132"/>
      <c r="X214" s="132"/>
      <c r="Y214" s="132"/>
      <c r="Z214" s="132"/>
      <c r="AA214" s="132"/>
      <c r="AB214" s="132"/>
      <c r="AC214" s="132"/>
      <c r="AD214" s="132"/>
      <c r="AE214" s="132"/>
      <c r="AF214" s="132"/>
      <c r="AG214" s="132"/>
      <c r="AH214" s="132"/>
      <c r="AI214" s="132"/>
      <c r="AJ214" s="132"/>
    </row>
    <row r="215" spans="2:36" ht="15.75">
      <c r="B215" s="139"/>
      <c r="C215" s="139"/>
      <c r="D215" s="139"/>
      <c r="E215" s="139"/>
      <c r="F215" s="220">
        <v>100</v>
      </c>
      <c r="G215" s="132">
        <v>15795058.332756994</v>
      </c>
      <c r="H215" s="132">
        <f t="shared" si="60"/>
      </c>
      <c r="I215" s="132">
        <f t="shared" si="61"/>
      </c>
      <c r="J215" s="221">
        <f>LOOKUP(MAX($I$205:$I$215),$G$205:$G$215,$F$205:$F$215)</f>
        <v>20</v>
      </c>
      <c r="K215" s="132">
        <v>273990.0280527965</v>
      </c>
      <c r="L215" s="132">
        <f t="shared" si="62"/>
      </c>
      <c r="M215" s="132">
        <f t="shared" si="63"/>
      </c>
      <c r="N215" s="221">
        <f>LOOKUP(MAX($M$205:$M$215),$K$205:$K$215,$J$205:$J$215)</f>
        <v>19</v>
      </c>
      <c r="O215" s="132">
        <v>79976.67424399388</v>
      </c>
      <c r="P215" s="132">
        <f t="shared" si="66"/>
      </c>
      <c r="Q215" s="132">
        <f t="shared" si="67"/>
      </c>
      <c r="R215" s="132"/>
      <c r="S215" s="132"/>
      <c r="T215" s="132"/>
      <c r="U215" s="132"/>
      <c r="V215" s="132"/>
      <c r="W215" s="132"/>
      <c r="X215" s="132"/>
      <c r="Y215" s="132"/>
      <c r="Z215" s="132"/>
      <c r="AA215" s="132"/>
      <c r="AB215" s="132"/>
      <c r="AC215" s="132"/>
      <c r="AD215" s="132"/>
      <c r="AE215" s="132"/>
      <c r="AF215" s="132"/>
      <c r="AG215" s="132"/>
      <c r="AH215" s="132"/>
      <c r="AI215" s="132"/>
      <c r="AJ215" s="132"/>
    </row>
    <row r="216" spans="2:36" ht="15.75" thickBot="1">
      <c r="B216" s="141"/>
      <c r="C216" s="141"/>
      <c r="D216" s="141"/>
      <c r="E216" s="141"/>
      <c r="F216" s="224"/>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row>
    <row r="217" s="222" customFormat="1" ht="15">
      <c r="F217" s="223"/>
    </row>
    <row r="218" ht="15">
      <c r="F218" s="216"/>
    </row>
    <row r="219" ht="15">
      <c r="F219" s="216"/>
    </row>
    <row r="220" ht="15">
      <c r="F220" s="216"/>
    </row>
    <row r="221" ht="15">
      <c r="F221" s="216"/>
    </row>
    <row r="222" ht="15">
      <c r="F222" s="216"/>
    </row>
    <row r="223" ht="15">
      <c r="F223" s="216"/>
    </row>
    <row r="224" ht="15">
      <c r="F224" s="216"/>
    </row>
    <row r="225" ht="15">
      <c r="F225" s="216"/>
    </row>
    <row r="226" ht="15">
      <c r="F226" s="216"/>
    </row>
    <row r="227" ht="15">
      <c r="F227" s="216"/>
    </row>
    <row r="228" ht="15">
      <c r="F228" s="216"/>
    </row>
  </sheetData>
  <sheetProtection/>
  <mergeCells count="3">
    <mergeCell ref="C96:E96"/>
    <mergeCell ref="B70:C70"/>
    <mergeCell ref="B72:C72"/>
  </mergeCells>
  <printOptions/>
  <pageMargins left="0.25" right="0.25" top="0.75" bottom="0.75" header="0.3" footer="0.3"/>
  <pageSetup fitToHeight="3" fitToWidth="3" horizontalDpi="600" verticalDpi="600" orientation="landscape" scale="46" r:id="rId3"/>
  <headerFooter>
    <oddHeader>&amp;L&amp;F
Worksheet: &amp;A
&amp;D</oddHeader>
    <oddFooter>&amp;C&amp;P of &amp;N</oddFooter>
  </headerFooter>
  <ignoredErrors>
    <ignoredError sqref="D108 E107" 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AA19"/>
  <sheetViews>
    <sheetView showGridLines="0" zoomScalePageLayoutView="0" workbookViewId="0" topLeftCell="A1">
      <selection activeCell="C25" sqref="C25"/>
    </sheetView>
  </sheetViews>
  <sheetFormatPr defaultColWidth="9.140625" defaultRowHeight="15"/>
  <cols>
    <col min="1" max="1" width="1.8515625" style="0" customWidth="1"/>
    <col min="2" max="2" width="34.140625" style="0" customWidth="1"/>
    <col min="3" max="3" width="14.140625" style="0" bestFit="1" customWidth="1"/>
    <col min="4" max="27" width="10.00390625" style="0" bestFit="1" customWidth="1"/>
  </cols>
  <sheetData>
    <row r="3" ht="15">
      <c r="B3" s="489" t="s">
        <v>319</v>
      </c>
    </row>
    <row r="4" spans="2:3" ht="15">
      <c r="B4" t="s">
        <v>320</v>
      </c>
      <c r="C4" s="491">
        <f>'Input Assumptions'!D9</f>
        <v>0.02</v>
      </c>
    </row>
    <row r="5" ht="15">
      <c r="C5" s="491"/>
    </row>
    <row r="6" ht="15">
      <c r="C6" t="s">
        <v>343</v>
      </c>
    </row>
    <row r="7" spans="2:27" ht="19.5" thickBot="1">
      <c r="B7" s="493" t="s">
        <v>381</v>
      </c>
      <c r="C7">
        <v>2018</v>
      </c>
      <c r="D7">
        <v>2019</v>
      </c>
      <c r="E7">
        <v>2020</v>
      </c>
      <c r="F7">
        <v>2021</v>
      </c>
      <c r="G7">
        <v>2022</v>
      </c>
      <c r="H7">
        <v>2023</v>
      </c>
      <c r="I7">
        <v>2024</v>
      </c>
      <c r="J7">
        <v>2025</v>
      </c>
      <c r="K7">
        <v>2026</v>
      </c>
      <c r="L7">
        <v>2027</v>
      </c>
      <c r="M7">
        <v>2028</v>
      </c>
      <c r="N7">
        <v>2029</v>
      </c>
      <c r="O7">
        <v>2030</v>
      </c>
      <c r="P7">
        <v>2031</v>
      </c>
      <c r="Q7">
        <v>2032</v>
      </c>
      <c r="R7">
        <v>2033</v>
      </c>
      <c r="S7">
        <v>2034</v>
      </c>
      <c r="T7">
        <v>2035</v>
      </c>
      <c r="U7">
        <v>2036</v>
      </c>
      <c r="V7">
        <v>2037</v>
      </c>
      <c r="W7">
        <v>2038</v>
      </c>
      <c r="X7">
        <v>2039</v>
      </c>
      <c r="Y7">
        <v>2040</v>
      </c>
      <c r="Z7">
        <v>2041</v>
      </c>
      <c r="AA7">
        <v>2042</v>
      </c>
    </row>
    <row r="8" spans="1:27" ht="20.25" customHeight="1">
      <c r="A8" s="579"/>
      <c r="B8" s="577" t="s">
        <v>336</v>
      </c>
      <c r="C8" s="490">
        <f>AVERAGE('ComEd C&amp;I Rates'!M5:M9)</f>
        <v>0.037616000000000004</v>
      </c>
      <c r="D8" s="490">
        <f>C8*(1+$C$4)</f>
        <v>0.038368320000000004</v>
      </c>
      <c r="E8" s="490">
        <f aca="true" t="shared" si="0" ref="E8:Q9">D8*(1+$C$4)</f>
        <v>0.03913568640000001</v>
      </c>
      <c r="F8" s="490">
        <f t="shared" si="0"/>
        <v>0.039918400128000006</v>
      </c>
      <c r="G8" s="490">
        <f t="shared" si="0"/>
        <v>0.04071676813056001</v>
      </c>
      <c r="H8" s="490">
        <f t="shared" si="0"/>
        <v>0.04153110349317121</v>
      </c>
      <c r="I8" s="490">
        <f t="shared" si="0"/>
        <v>0.042361725563034636</v>
      </c>
      <c r="J8" s="490">
        <f t="shared" si="0"/>
        <v>0.04320896007429533</v>
      </c>
      <c r="K8" s="490">
        <f t="shared" si="0"/>
        <v>0.044073139275781235</v>
      </c>
      <c r="L8" s="490">
        <f t="shared" si="0"/>
        <v>0.04495460206129686</v>
      </c>
      <c r="M8" s="490">
        <f t="shared" si="0"/>
        <v>0.045853694102522796</v>
      </c>
      <c r="N8" s="490">
        <f t="shared" si="0"/>
        <v>0.046770767984573254</v>
      </c>
      <c r="O8" s="490">
        <f t="shared" si="0"/>
        <v>0.04770618334426472</v>
      </c>
      <c r="P8" s="490">
        <f t="shared" si="0"/>
        <v>0.04866030701115002</v>
      </c>
      <c r="Q8" s="490">
        <f t="shared" si="0"/>
        <v>0.04963351315137302</v>
      </c>
      <c r="R8" s="490">
        <f aca="true" t="shared" si="1" ref="R8:AA8">Q8*(1+$C$4)</f>
        <v>0.050626183414400484</v>
      </c>
      <c r="S8" s="490">
        <f t="shared" si="1"/>
        <v>0.051638707082688494</v>
      </c>
      <c r="T8" s="490">
        <f t="shared" si="1"/>
        <v>0.052671481224342266</v>
      </c>
      <c r="U8" s="490">
        <f t="shared" si="1"/>
        <v>0.05372491084882911</v>
      </c>
      <c r="V8" s="490">
        <f t="shared" si="1"/>
        <v>0.054799409065805695</v>
      </c>
      <c r="W8" s="490">
        <f t="shared" si="1"/>
        <v>0.05589539724712181</v>
      </c>
      <c r="X8" s="490">
        <f t="shared" si="1"/>
        <v>0.05701330519206425</v>
      </c>
      <c r="Y8" s="490">
        <f t="shared" si="1"/>
        <v>0.05815357129590553</v>
      </c>
      <c r="Z8" s="490">
        <f t="shared" si="1"/>
        <v>0.059316642721823645</v>
      </c>
      <c r="AA8" s="490">
        <f t="shared" si="1"/>
        <v>0.060502975576260117</v>
      </c>
    </row>
    <row r="9" spans="1:27" ht="18.75" customHeight="1" thickBot="1">
      <c r="A9" s="579"/>
      <c r="B9" s="578" t="s">
        <v>339</v>
      </c>
      <c r="C9" s="501">
        <f>'ComEd C&amp;I Rates'!F$27</f>
        <v>0.00862</v>
      </c>
      <c r="D9" s="501">
        <f>C9*(1+$C$4)</f>
        <v>0.008792399999999999</v>
      </c>
      <c r="E9" s="501">
        <f t="shared" si="0"/>
        <v>0.008968247999999998</v>
      </c>
      <c r="F9" s="501">
        <f t="shared" si="0"/>
        <v>0.009147612959999999</v>
      </c>
      <c r="G9" s="501">
        <f t="shared" si="0"/>
        <v>0.0093305652192</v>
      </c>
      <c r="H9" s="501">
        <f t="shared" si="0"/>
        <v>0.009517176523584</v>
      </c>
      <c r="I9" s="501">
        <f t="shared" si="0"/>
        <v>0.009707520054055679</v>
      </c>
      <c r="J9" s="501">
        <f t="shared" si="0"/>
        <v>0.009901670455136792</v>
      </c>
      <c r="K9" s="501">
        <f t="shared" si="0"/>
        <v>0.010099703864239529</v>
      </c>
      <c r="L9" s="501">
        <f t="shared" si="0"/>
        <v>0.010301697941524319</v>
      </c>
      <c r="M9" s="501">
        <f t="shared" si="0"/>
        <v>0.010507731900354806</v>
      </c>
      <c r="N9" s="501">
        <f t="shared" si="0"/>
        <v>0.010717886538361901</v>
      </c>
      <c r="O9" s="501">
        <f t="shared" si="0"/>
        <v>0.01093224426912914</v>
      </c>
      <c r="P9" s="501">
        <f t="shared" si="0"/>
        <v>0.011150889154511723</v>
      </c>
      <c r="Q9" s="501">
        <f t="shared" si="0"/>
        <v>0.011373906937601957</v>
      </c>
      <c r="R9" s="501">
        <f aca="true" t="shared" si="2" ref="R9:AA9">Q9*(1+$C$4)</f>
        <v>0.011601385076353997</v>
      </c>
      <c r="S9" s="501">
        <f t="shared" si="2"/>
        <v>0.011833412777881077</v>
      </c>
      <c r="T9" s="501">
        <f t="shared" si="2"/>
        <v>0.0120700810334387</v>
      </c>
      <c r="U9" s="501">
        <f t="shared" si="2"/>
        <v>0.012311482654107473</v>
      </c>
      <c r="V9" s="501">
        <f t="shared" si="2"/>
        <v>0.012557712307189623</v>
      </c>
      <c r="W9" s="501">
        <f t="shared" si="2"/>
        <v>0.012808866553333416</v>
      </c>
      <c r="X9" s="501">
        <f t="shared" si="2"/>
        <v>0.013065043884400085</v>
      </c>
      <c r="Y9" s="501">
        <f t="shared" si="2"/>
        <v>0.013326344762088086</v>
      </c>
      <c r="Z9" s="501">
        <f t="shared" si="2"/>
        <v>0.013592871657329848</v>
      </c>
      <c r="AA9" s="501">
        <f t="shared" si="2"/>
        <v>0.013864729090476445</v>
      </c>
    </row>
    <row r="10" spans="1:27" ht="18" customHeight="1">
      <c r="A10" s="516"/>
      <c r="B10" s="517" t="s">
        <v>362</v>
      </c>
      <c r="C10" s="500">
        <f aca="true" t="shared" si="3" ref="C10:Q10">SUM(C8:C9)</f>
        <v>0.046236</v>
      </c>
      <c r="D10" s="500">
        <f t="shared" si="3"/>
        <v>0.04716072</v>
      </c>
      <c r="E10" s="500">
        <f t="shared" si="3"/>
        <v>0.048103934400000006</v>
      </c>
      <c r="F10" s="500">
        <f t="shared" si="3"/>
        <v>0.049066013088</v>
      </c>
      <c r="G10" s="500">
        <f t="shared" si="3"/>
        <v>0.050047333349760005</v>
      </c>
      <c r="H10" s="500">
        <f t="shared" si="3"/>
        <v>0.05104828001675521</v>
      </c>
      <c r="I10" s="500">
        <f t="shared" si="3"/>
        <v>0.052069245617090316</v>
      </c>
      <c r="J10" s="500">
        <f t="shared" si="3"/>
        <v>0.05311063052943212</v>
      </c>
      <c r="K10" s="500">
        <f t="shared" si="3"/>
        <v>0.054172843140020764</v>
      </c>
      <c r="L10" s="500">
        <f t="shared" si="3"/>
        <v>0.05525630000282118</v>
      </c>
      <c r="M10" s="500">
        <f t="shared" si="3"/>
        <v>0.0563614260028776</v>
      </c>
      <c r="N10" s="500">
        <f t="shared" si="3"/>
        <v>0.057488654522935154</v>
      </c>
      <c r="O10" s="500">
        <f t="shared" si="3"/>
        <v>0.058638427613393856</v>
      </c>
      <c r="P10" s="500">
        <f t="shared" si="3"/>
        <v>0.059811196165661745</v>
      </c>
      <c r="Q10" s="500">
        <f t="shared" si="3"/>
        <v>0.06100742008897498</v>
      </c>
      <c r="R10" s="500">
        <f aca="true" t="shared" si="4" ref="R10:AA10">SUM(R8:R9)</f>
        <v>0.06222756849075448</v>
      </c>
      <c r="S10" s="500">
        <f t="shared" si="4"/>
        <v>0.06347211986056957</v>
      </c>
      <c r="T10" s="500">
        <f t="shared" si="4"/>
        <v>0.06474156225778097</v>
      </c>
      <c r="U10" s="500">
        <f t="shared" si="4"/>
        <v>0.06603639350293658</v>
      </c>
      <c r="V10" s="500">
        <f t="shared" si="4"/>
        <v>0.06735712137299532</v>
      </c>
      <c r="W10" s="500">
        <f t="shared" si="4"/>
        <v>0.06870426380045522</v>
      </c>
      <c r="X10" s="500">
        <f t="shared" si="4"/>
        <v>0.07007834907646433</v>
      </c>
      <c r="Y10" s="500">
        <f t="shared" si="4"/>
        <v>0.07147991605799361</v>
      </c>
      <c r="Z10" s="500">
        <f t="shared" si="4"/>
        <v>0.0729095143791535</v>
      </c>
      <c r="AA10" s="500">
        <f t="shared" si="4"/>
        <v>0.07436770466673656</v>
      </c>
    </row>
    <row r="11" ht="15.75" customHeight="1">
      <c r="A11" s="580"/>
    </row>
    <row r="12" spans="1:27" ht="19.5" thickBot="1">
      <c r="A12" s="495"/>
      <c r="B12" s="493" t="s">
        <v>408</v>
      </c>
      <c r="C12">
        <v>2018</v>
      </c>
      <c r="D12">
        <v>2019</v>
      </c>
      <c r="E12">
        <v>2020</v>
      </c>
      <c r="F12">
        <v>2021</v>
      </c>
      <c r="G12">
        <v>2022</v>
      </c>
      <c r="H12">
        <v>2023</v>
      </c>
      <c r="I12">
        <v>2024</v>
      </c>
      <c r="J12">
        <v>2025</v>
      </c>
      <c r="K12">
        <v>2026</v>
      </c>
      <c r="L12">
        <v>2027</v>
      </c>
      <c r="M12">
        <v>2028</v>
      </c>
      <c r="N12">
        <v>2029</v>
      </c>
      <c r="O12">
        <v>2030</v>
      </c>
      <c r="P12">
        <v>2031</v>
      </c>
      <c r="Q12">
        <v>2032</v>
      </c>
      <c r="R12">
        <v>2033</v>
      </c>
      <c r="S12">
        <v>2034</v>
      </c>
      <c r="T12">
        <v>2035</v>
      </c>
      <c r="U12">
        <v>2036</v>
      </c>
      <c r="V12">
        <v>2037</v>
      </c>
      <c r="W12">
        <v>2038</v>
      </c>
      <c r="X12">
        <v>2039</v>
      </c>
      <c r="Y12">
        <v>2040</v>
      </c>
      <c r="Z12">
        <v>2041</v>
      </c>
      <c r="AA12">
        <v>2042</v>
      </c>
    </row>
    <row r="13" spans="1:27" ht="22.5" customHeight="1">
      <c r="A13" s="579"/>
      <c r="B13" s="577" t="s">
        <v>336</v>
      </c>
      <c r="C13" s="490">
        <f>AVERAGE('Ameren IL C&amp;I Rates'!L5:L9)</f>
        <v>0.03066</v>
      </c>
      <c r="D13" s="490">
        <f>C13*(1+$C$4)</f>
        <v>0.0312732</v>
      </c>
      <c r="E13" s="490">
        <f aca="true" t="shared" si="5" ref="E13:AA13">D13*(1+$C$4)</f>
        <v>0.031898664</v>
      </c>
      <c r="F13" s="490">
        <f t="shared" si="5"/>
        <v>0.03253663728</v>
      </c>
      <c r="G13" s="490">
        <f t="shared" si="5"/>
        <v>0.0331873700256</v>
      </c>
      <c r="H13" s="490">
        <f t="shared" si="5"/>
        <v>0.033851117426112</v>
      </c>
      <c r="I13" s="490">
        <f t="shared" si="5"/>
        <v>0.03452813977463424</v>
      </c>
      <c r="J13" s="490">
        <f t="shared" si="5"/>
        <v>0.03521870257012692</v>
      </c>
      <c r="K13" s="490">
        <f t="shared" si="5"/>
        <v>0.03592307662152946</v>
      </c>
      <c r="L13" s="490">
        <f t="shared" si="5"/>
        <v>0.03664153815396005</v>
      </c>
      <c r="M13" s="490">
        <f t="shared" si="5"/>
        <v>0.03737436891703925</v>
      </c>
      <c r="N13" s="490">
        <f t="shared" si="5"/>
        <v>0.038121856295380036</v>
      </c>
      <c r="O13" s="490">
        <f t="shared" si="5"/>
        <v>0.03888429342128764</v>
      </c>
      <c r="P13" s="490">
        <f t="shared" si="5"/>
        <v>0.03966197928971339</v>
      </c>
      <c r="Q13" s="490">
        <f t="shared" si="5"/>
        <v>0.04045521887550766</v>
      </c>
      <c r="R13" s="490">
        <f t="shared" si="5"/>
        <v>0.041264323253017814</v>
      </c>
      <c r="S13" s="490">
        <f t="shared" si="5"/>
        <v>0.04208960971807817</v>
      </c>
      <c r="T13" s="490">
        <f t="shared" si="5"/>
        <v>0.042931401912439736</v>
      </c>
      <c r="U13" s="490">
        <f t="shared" si="5"/>
        <v>0.04379002995068853</v>
      </c>
      <c r="V13" s="490">
        <f t="shared" si="5"/>
        <v>0.0446658305497023</v>
      </c>
      <c r="W13" s="490">
        <f t="shared" si="5"/>
        <v>0.045559147160696346</v>
      </c>
      <c r="X13" s="490">
        <f t="shared" si="5"/>
        <v>0.04647033010391027</v>
      </c>
      <c r="Y13" s="490">
        <f t="shared" si="5"/>
        <v>0.04739973670598848</v>
      </c>
      <c r="Z13" s="490">
        <f t="shared" si="5"/>
        <v>0.04834773144010825</v>
      </c>
      <c r="AA13" s="490">
        <f t="shared" si="5"/>
        <v>0.04931468606891042</v>
      </c>
    </row>
    <row r="14" spans="1:27" ht="22.5" customHeight="1" thickBot="1">
      <c r="A14" s="579"/>
      <c r="B14" s="578" t="s">
        <v>339</v>
      </c>
      <c r="C14" s="501">
        <f>'Ameren IL C&amp;I Rates'!F30</f>
        <v>0.01733890561515446</v>
      </c>
      <c r="D14" s="501">
        <f>C14*(1+$C$4)</f>
        <v>0.01768568372745755</v>
      </c>
      <c r="E14" s="501">
        <f aca="true" t="shared" si="6" ref="E14:AA14">D14*(1+$C$4)</f>
        <v>0.0180393974020067</v>
      </c>
      <c r="F14" s="501">
        <f t="shared" si="6"/>
        <v>0.018400185350046835</v>
      </c>
      <c r="G14" s="501">
        <f t="shared" si="6"/>
        <v>0.01876818905704777</v>
      </c>
      <c r="H14" s="501">
        <f t="shared" si="6"/>
        <v>0.019143552838188724</v>
      </c>
      <c r="I14" s="501">
        <f t="shared" si="6"/>
        <v>0.0195264238949525</v>
      </c>
      <c r="J14" s="501">
        <f t="shared" si="6"/>
        <v>0.01991695237285155</v>
      </c>
      <c r="K14" s="501">
        <f t="shared" si="6"/>
        <v>0.020315291420308582</v>
      </c>
      <c r="L14" s="501">
        <f t="shared" si="6"/>
        <v>0.020721597248714755</v>
      </c>
      <c r="M14" s="501">
        <f t="shared" si="6"/>
        <v>0.02113602919368905</v>
      </c>
      <c r="N14" s="501">
        <f t="shared" si="6"/>
        <v>0.021558749777562832</v>
      </c>
      <c r="O14" s="501">
        <f t="shared" si="6"/>
        <v>0.021989924773114088</v>
      </c>
      <c r="P14" s="501">
        <f t="shared" si="6"/>
        <v>0.022429723268576368</v>
      </c>
      <c r="Q14" s="501">
        <f t="shared" si="6"/>
        <v>0.022878317733947894</v>
      </c>
      <c r="R14" s="501">
        <f t="shared" si="6"/>
        <v>0.023335884088626854</v>
      </c>
      <c r="S14" s="501">
        <f t="shared" si="6"/>
        <v>0.02380260177039939</v>
      </c>
      <c r="T14" s="501">
        <f t="shared" si="6"/>
        <v>0.024278653805807376</v>
      </c>
      <c r="U14" s="501">
        <f t="shared" si="6"/>
        <v>0.024764226881923524</v>
      </c>
      <c r="V14" s="501">
        <f t="shared" si="6"/>
        <v>0.025259511419561995</v>
      </c>
      <c r="W14" s="501">
        <f t="shared" si="6"/>
        <v>0.025764701647953234</v>
      </c>
      <c r="X14" s="501">
        <f t="shared" si="6"/>
        <v>0.0262799956809123</v>
      </c>
      <c r="Y14" s="501">
        <f t="shared" si="6"/>
        <v>0.026805595594530544</v>
      </c>
      <c r="Z14" s="501">
        <f t="shared" si="6"/>
        <v>0.027341707506421155</v>
      </c>
      <c r="AA14" s="501">
        <f t="shared" si="6"/>
        <v>0.027888541656549578</v>
      </c>
    </row>
    <row r="15" spans="1:27" ht="18" customHeight="1">
      <c r="A15" s="516"/>
      <c r="B15" s="517" t="s">
        <v>362</v>
      </c>
      <c r="C15" s="500">
        <f aca="true" t="shared" si="7" ref="C15:Q15">SUM(C13:C14)</f>
        <v>0.047998905615154464</v>
      </c>
      <c r="D15" s="500">
        <f t="shared" si="7"/>
        <v>0.04895888372745755</v>
      </c>
      <c r="E15" s="500">
        <f t="shared" si="7"/>
        <v>0.0499380614020067</v>
      </c>
      <c r="F15" s="500">
        <f t="shared" si="7"/>
        <v>0.05093682263004684</v>
      </c>
      <c r="G15" s="500">
        <f t="shared" si="7"/>
        <v>0.051955559082647776</v>
      </c>
      <c r="H15" s="500">
        <f t="shared" si="7"/>
        <v>0.05299467026430073</v>
      </c>
      <c r="I15" s="500">
        <f t="shared" si="7"/>
        <v>0.05405456366958673</v>
      </c>
      <c r="J15" s="500">
        <f t="shared" si="7"/>
        <v>0.05513565494297847</v>
      </c>
      <c r="K15" s="500">
        <f t="shared" si="7"/>
        <v>0.056238368041838044</v>
      </c>
      <c r="L15" s="500">
        <f t="shared" si="7"/>
        <v>0.057363135402674806</v>
      </c>
      <c r="M15" s="500">
        <f t="shared" si="7"/>
        <v>0.0585103981107283</v>
      </c>
      <c r="N15" s="500">
        <f t="shared" si="7"/>
        <v>0.05968060607294287</v>
      </c>
      <c r="O15" s="500">
        <f t="shared" si="7"/>
        <v>0.060874218194401725</v>
      </c>
      <c r="P15" s="500">
        <f t="shared" si="7"/>
        <v>0.06209170255828976</v>
      </c>
      <c r="Q15" s="500">
        <f t="shared" si="7"/>
        <v>0.06333353660945555</v>
      </c>
      <c r="R15" s="500">
        <f aca="true" t="shared" si="8" ref="R15:AA15">SUM(R13:R14)</f>
        <v>0.06460020734164466</v>
      </c>
      <c r="S15" s="500">
        <f t="shared" si="8"/>
        <v>0.06589221148847757</v>
      </c>
      <c r="T15" s="500">
        <f t="shared" si="8"/>
        <v>0.06721005571824712</v>
      </c>
      <c r="U15" s="500">
        <f t="shared" si="8"/>
        <v>0.06855425683261206</v>
      </c>
      <c r="V15" s="500">
        <f t="shared" si="8"/>
        <v>0.0699253419692643</v>
      </c>
      <c r="W15" s="500">
        <f t="shared" si="8"/>
        <v>0.07132384880864959</v>
      </c>
      <c r="X15" s="500">
        <f t="shared" si="8"/>
        <v>0.07275032578482257</v>
      </c>
      <c r="Y15" s="500">
        <f t="shared" si="8"/>
        <v>0.07420533230051903</v>
      </c>
      <c r="Z15" s="500">
        <f t="shared" si="8"/>
        <v>0.07568943894652941</v>
      </c>
      <c r="AA15" s="500">
        <f t="shared" si="8"/>
        <v>0.07720322772546</v>
      </c>
    </row>
    <row r="16" ht="15.75" customHeight="1">
      <c r="A16" s="580"/>
    </row>
    <row r="17" ht="15.75" customHeight="1">
      <c r="B17" s="493" t="s">
        <v>382</v>
      </c>
    </row>
    <row r="18" spans="1:27" ht="15" customHeight="1">
      <c r="A18" s="689"/>
      <c r="B18" s="568" t="s">
        <v>380</v>
      </c>
      <c r="C18" s="576">
        <f>C10*'Cash Flow'!G5</f>
        <v>151210.21440000003</v>
      </c>
      <c r="D18" s="576">
        <f>D10*'Cash Flow'!H5</f>
        <v>153463.24659456004</v>
      </c>
      <c r="E18" s="576">
        <f>E10*'Cash Flow'!I5</f>
        <v>155749.848968819</v>
      </c>
      <c r="F18" s="576">
        <f>F10*'Cash Flow'!J5</f>
        <v>158070.52171845437</v>
      </c>
      <c r="G18" s="576">
        <f>G10*'Cash Flow'!K5</f>
        <v>160425.77249205936</v>
      </c>
      <c r="H18" s="576">
        <f>H10*'Cash Flow'!L5</f>
        <v>162816.11650219106</v>
      </c>
      <c r="I18" s="576">
        <f>I10*'Cash Flow'!M5</f>
        <v>165242.07663807375</v>
      </c>
      <c r="J18" s="576">
        <f>J10*'Cash Flow'!N5</f>
        <v>167704.18357998104</v>
      </c>
      <c r="K18" s="576">
        <f>K10*'Cash Flow'!O5</f>
        <v>170202.97591532275</v>
      </c>
      <c r="L18" s="576">
        <f>L10*'Cash Flow'!P5</f>
        <v>172739.00025646103</v>
      </c>
      <c r="M18" s="576">
        <f>M10*'Cash Flow'!Q5</f>
        <v>175312.8113602823</v>
      </c>
      <c r="N18" s="576">
        <f>N10*'Cash Flow'!R5</f>
        <v>177924.97224955048</v>
      </c>
      <c r="O18" s="576">
        <f>O10*'Cash Flow'!S5</f>
        <v>180576.05433606877</v>
      </c>
      <c r="P18" s="576">
        <f>P10*'Cash Flow'!T5</f>
        <v>183266.63754567623</v>
      </c>
      <c r="Q18" s="576">
        <f>Q10*'Cash Flow'!U5</f>
        <v>185997.31044510685</v>
      </c>
      <c r="R18" s="576">
        <f>R10*'Cash Flow'!V5</f>
        <v>188768.67037073892</v>
      </c>
      <c r="S18" s="576">
        <f>S10*'Cash Flow'!W5</f>
        <v>191581.32355926294</v>
      </c>
      <c r="T18" s="576">
        <f>T10*'Cash Flow'!X5</f>
        <v>194435.88528029594</v>
      </c>
      <c r="U18" s="576">
        <f>U10*'Cash Flow'!Y5</f>
        <v>197332.97997097234</v>
      </c>
      <c r="V18" s="576">
        <f>V10*'Cash Flow'!Z5</f>
        <v>200273.24137253987</v>
      </c>
      <c r="W18" s="576">
        <f>W10*'Cash Flow'!AA5</f>
        <v>203257.3126689907</v>
      </c>
      <c r="X18" s="576">
        <f>X10*'Cash Flow'!AB5</f>
        <v>206285.84662775867</v>
      </c>
      <c r="Y18" s="576">
        <f>Y10*'Cash Flow'!AC5</f>
        <v>209359.5057425123</v>
      </c>
      <c r="Z18" s="576">
        <f>Z10*'Cash Flow'!AD5</f>
        <v>212478.96237807572</v>
      </c>
      <c r="AA18" s="576">
        <f>AA10*'Cash Flow'!AE5</f>
        <v>215644.89891750904</v>
      </c>
    </row>
    <row r="19" spans="1:27" ht="15">
      <c r="A19" s="689"/>
      <c r="B19" s="568" t="s">
        <v>409</v>
      </c>
      <c r="C19" s="576">
        <f>C15*'Cash Flow'!G5</f>
        <v>156975.62092380118</v>
      </c>
      <c r="D19" s="576">
        <f>D15*'Cash Flow'!H5</f>
        <v>159314.5576755658</v>
      </c>
      <c r="E19" s="576">
        <f>E15*'Cash Flow'!I5</f>
        <v>161688.34458493174</v>
      </c>
      <c r="F19" s="576">
        <f>F15*'Cash Flow'!J5</f>
        <v>164097.50091924725</v>
      </c>
      <c r="G19" s="576">
        <f>G15*'Cash Flow'!K5</f>
        <v>166542.55368294404</v>
      </c>
      <c r="H19" s="576">
        <f>H15*'Cash Flow'!L5</f>
        <v>169024.03773281988</v>
      </c>
      <c r="I19" s="576">
        <f>I15*'Cash Flow'!M5</f>
        <v>171542.49589503888</v>
      </c>
      <c r="J19" s="576">
        <f>J15*'Cash Flow'!N5</f>
        <v>174098.47908387496</v>
      </c>
      <c r="K19" s="576">
        <f>K15*'Cash Flow'!O5</f>
        <v>176692.54642222472</v>
      </c>
      <c r="L19" s="576">
        <f>L15*'Cash Flow'!P5</f>
        <v>179325.26536391585</v>
      </c>
      <c r="M19" s="576">
        <f>M15*'Cash Flow'!Q5</f>
        <v>181997.2118178382</v>
      </c>
      <c r="N19" s="576">
        <f>N15*'Cash Flow'!R5</f>
        <v>184708.97027392397</v>
      </c>
      <c r="O19" s="576">
        <f>O15*'Cash Flow'!S5</f>
        <v>187461.13393100543</v>
      </c>
      <c r="P19" s="576">
        <f>P15*'Cash Flow'!T5</f>
        <v>190254.30482657743</v>
      </c>
      <c r="Q19" s="576">
        <f>Q15*'Cash Flow'!U5</f>
        <v>193089.09396849343</v>
      </c>
      <c r="R19" s="576">
        <f>R15*'Cash Flow'!V5</f>
        <v>195966.12146862395</v>
      </c>
      <c r="S19" s="576">
        <f>S15*'Cash Flow'!W5</f>
        <v>198886.0166785065</v>
      </c>
      <c r="T19" s="576">
        <f>T15*'Cash Flow'!X5</f>
        <v>201849.41832701623</v>
      </c>
      <c r="U19" s="576">
        <f>U15*'Cash Flow'!Y5</f>
        <v>204856.97466008874</v>
      </c>
      <c r="V19" s="576">
        <f>V15*'Cash Flow'!Z5</f>
        <v>207909.34358252407</v>
      </c>
      <c r="W19" s="576">
        <f>W15*'Cash Flow'!AA5</f>
        <v>211007.1928019037</v>
      </c>
      <c r="X19" s="576">
        <f>X15*'Cash Flow'!AB5</f>
        <v>214151.19997465206</v>
      </c>
      <c r="Y19" s="576">
        <f>Y15*'Cash Flow'!AC5</f>
        <v>217342.0528542744</v>
      </c>
      <c r="Z19" s="576">
        <f>Z15*'Cash Flow'!AD5</f>
        <v>220580.44944180307</v>
      </c>
      <c r="AA19" s="576">
        <f>AA15*'Cash Flow'!AE5</f>
        <v>223867.09813848592</v>
      </c>
    </row>
  </sheetData>
  <sheetProtection/>
  <mergeCells count="1">
    <mergeCell ref="A18:A19"/>
  </mergeCells>
  <printOptions/>
  <pageMargins left="0.7" right="0.7" top="0.75" bottom="0.75" header="0.3" footer="0.3"/>
  <pageSetup fitToHeight="1" fitToWidth="1" horizontalDpi="600" verticalDpi="600" orientation="landscape" scale="42" r:id="rId1"/>
  <headerFooter>
    <oddHeader>&amp;L&amp;F
Worksheet: &amp;A
&amp;D</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3:R38"/>
  <sheetViews>
    <sheetView showGridLines="0" zoomScalePageLayoutView="0" workbookViewId="0" topLeftCell="A12">
      <selection activeCell="C34" sqref="C34"/>
    </sheetView>
  </sheetViews>
  <sheetFormatPr defaultColWidth="9.140625" defaultRowHeight="15"/>
  <cols>
    <col min="1" max="1" width="8.7109375" style="0" customWidth="1"/>
    <col min="2" max="2" width="11.421875" style="0" customWidth="1"/>
    <col min="3" max="3" width="15.8515625" style="0" bestFit="1" customWidth="1"/>
    <col min="12" max="12" width="35.28125" style="0" customWidth="1"/>
  </cols>
  <sheetData>
    <row r="3" spans="2:18" ht="15">
      <c r="B3" s="690" t="s">
        <v>413</v>
      </c>
      <c r="C3" s="691"/>
      <c r="D3" s="691"/>
      <c r="E3" s="691"/>
      <c r="F3" s="691"/>
      <c r="G3" s="691"/>
      <c r="H3" s="691"/>
      <c r="I3" s="691"/>
      <c r="K3" s="694" t="s">
        <v>374</v>
      </c>
      <c r="L3" s="690"/>
      <c r="M3" s="562"/>
      <c r="N3" s="562"/>
      <c r="O3" s="562"/>
      <c r="P3" s="562"/>
      <c r="Q3" s="562"/>
      <c r="R3" s="562"/>
    </row>
    <row r="4" spans="11:12" ht="15">
      <c r="K4" s="690"/>
      <c r="L4" s="690"/>
    </row>
    <row r="5" spans="11:12" ht="15">
      <c r="K5">
        <v>2012</v>
      </c>
      <c r="L5">
        <v>0.02836</v>
      </c>
    </row>
    <row r="6" spans="11:12" ht="15">
      <c r="K6">
        <v>2013</v>
      </c>
      <c r="L6">
        <v>0.03013</v>
      </c>
    </row>
    <row r="7" spans="11:12" ht="15">
      <c r="K7">
        <v>2014</v>
      </c>
      <c r="L7">
        <v>0.04064</v>
      </c>
    </row>
    <row r="8" spans="11:12" ht="15">
      <c r="K8">
        <v>2015</v>
      </c>
      <c r="L8">
        <v>0.02811</v>
      </c>
    </row>
    <row r="9" spans="11:12" ht="15">
      <c r="K9">
        <v>2016</v>
      </c>
      <c r="L9">
        <v>0.02606</v>
      </c>
    </row>
    <row r="11" spans="11:12" ht="15">
      <c r="K11" s="695" t="s">
        <v>391</v>
      </c>
      <c r="L11" s="695"/>
    </row>
    <row r="28" spans="2:8" ht="15">
      <c r="B28" s="692" t="s">
        <v>345</v>
      </c>
      <c r="C28" s="693"/>
      <c r="D28" s="693"/>
      <c r="E28" s="519" t="s">
        <v>338</v>
      </c>
      <c r="F28" s="520">
        <v>0.13914</v>
      </c>
      <c r="G28" s="521" t="s">
        <v>346</v>
      </c>
      <c r="H28" s="522"/>
    </row>
    <row r="29" spans="2:8" ht="15">
      <c r="B29" s="512"/>
      <c r="C29" s="14"/>
      <c r="D29" s="14"/>
      <c r="E29" s="524" t="s">
        <v>338</v>
      </c>
      <c r="F29" s="525">
        <f>F28*(365/12)</f>
        <v>4.232175000000001</v>
      </c>
      <c r="G29" s="14" t="s">
        <v>347</v>
      </c>
      <c r="H29" s="513"/>
    </row>
    <row r="30" spans="2:8" ht="15">
      <c r="B30" s="514"/>
      <c r="C30" s="526"/>
      <c r="D30" s="526"/>
      <c r="E30" s="527" t="s">
        <v>338</v>
      </c>
      <c r="F30" s="528">
        <f>(F29*'PLC Estimate'!G24*12)/(8760*'CREST Inputs'!$G$12)</f>
        <v>0.01733890561515446</v>
      </c>
      <c r="G30" s="529" t="s">
        <v>335</v>
      </c>
      <c r="H30" s="515"/>
    </row>
    <row r="31" spans="1:5" ht="15">
      <c r="A31" s="14"/>
      <c r="B31" s="644" t="s">
        <v>414</v>
      </c>
      <c r="C31" s="14"/>
      <c r="D31" s="558"/>
      <c r="E31" s="14"/>
    </row>
    <row r="32" spans="1:5" ht="15">
      <c r="A32" s="14"/>
      <c r="B32" s="558"/>
      <c r="C32" s="525"/>
      <c r="D32" s="559"/>
      <c r="E32" s="14"/>
    </row>
    <row r="33" spans="1:5" ht="15">
      <c r="A33" s="14"/>
      <c r="B33" s="558"/>
      <c r="C33" s="525"/>
      <c r="D33" s="559"/>
      <c r="E33" s="14"/>
    </row>
    <row r="34" spans="1:5" ht="15">
      <c r="A34" s="14"/>
      <c r="B34" s="558"/>
      <c r="C34" s="525"/>
      <c r="D34" s="14"/>
      <c r="E34" s="14"/>
    </row>
    <row r="35" spans="1:5" ht="15">
      <c r="A35" s="14"/>
      <c r="B35" s="558"/>
      <c r="C35" s="525"/>
      <c r="D35" s="14"/>
      <c r="E35" s="14"/>
    </row>
    <row r="36" spans="1:5" ht="15">
      <c r="A36" s="14"/>
      <c r="B36" s="558"/>
      <c r="C36" s="525"/>
      <c r="D36" s="14"/>
      <c r="E36" s="14"/>
    </row>
    <row r="37" spans="1:5" ht="15">
      <c r="A37" s="14"/>
      <c r="B37" s="558"/>
      <c r="C37" s="525"/>
      <c r="D37" s="14"/>
      <c r="E37" s="14"/>
    </row>
    <row r="38" spans="1:5" ht="15">
      <c r="A38" s="14"/>
      <c r="B38" s="469"/>
      <c r="C38" s="503"/>
      <c r="D38" s="14"/>
      <c r="E38" s="14"/>
    </row>
  </sheetData>
  <sheetProtection/>
  <mergeCells count="4">
    <mergeCell ref="B3:I3"/>
    <mergeCell ref="B28:D28"/>
    <mergeCell ref="K3:L4"/>
    <mergeCell ref="K11:L11"/>
  </mergeCells>
  <printOptions/>
  <pageMargins left="0.7" right="0.7" top="0.75" bottom="0.75" header="0.3" footer="0.3"/>
  <pageSetup fitToHeight="1" fitToWidth="1" horizontalDpi="600" verticalDpi="600" orientation="landscape" scale="84" r:id="rId2"/>
  <headerFooter>
    <oddHeader>&amp;L&amp;F
Worksheet: &amp;A
&amp;D</oddHeader>
    <oddFooter>&amp;C&amp;P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Y32"/>
  <sheetViews>
    <sheetView showGridLines="0" zoomScalePageLayoutView="0" workbookViewId="0" topLeftCell="A9">
      <selection activeCell="D30" sqref="D30"/>
    </sheetView>
  </sheetViews>
  <sheetFormatPr defaultColWidth="9.140625" defaultRowHeight="15"/>
  <cols>
    <col min="13" max="13" width="39.00390625" style="0" customWidth="1"/>
  </cols>
  <sheetData>
    <row r="1" spans="2:25" ht="15">
      <c r="B1" s="690" t="s">
        <v>344</v>
      </c>
      <c r="C1" s="690"/>
      <c r="D1" s="690"/>
      <c r="E1" s="690"/>
      <c r="F1" s="690"/>
      <c r="G1" s="690"/>
      <c r="H1" s="690"/>
      <c r="I1" s="690"/>
      <c r="K1" s="610"/>
      <c r="L1" s="610"/>
      <c r="M1" s="610"/>
      <c r="N1" s="610"/>
      <c r="O1" s="610"/>
      <c r="P1" s="610"/>
      <c r="Q1" s="610"/>
      <c r="R1" s="610"/>
      <c r="S1" s="610"/>
      <c r="T1" s="610"/>
      <c r="U1" s="610"/>
      <c r="V1" s="610"/>
      <c r="W1" s="610"/>
      <c r="X1" s="610"/>
      <c r="Y1" s="610"/>
    </row>
    <row r="3" spans="12:13" ht="15">
      <c r="L3" s="694" t="s">
        <v>374</v>
      </c>
      <c r="M3" s="690"/>
    </row>
    <row r="4" spans="12:13" ht="15">
      <c r="L4" s="690"/>
      <c r="M4" s="690"/>
    </row>
    <row r="5" spans="12:13" ht="15">
      <c r="L5">
        <v>2012</v>
      </c>
      <c r="M5">
        <v>0.03515</v>
      </c>
    </row>
    <row r="6" spans="12:13" ht="15">
      <c r="L6">
        <v>2013</v>
      </c>
      <c r="M6">
        <v>0.03687</v>
      </c>
    </row>
    <row r="7" spans="12:13" ht="15">
      <c r="L7">
        <v>2014</v>
      </c>
      <c r="M7">
        <v>0.04758</v>
      </c>
    </row>
    <row r="8" spans="12:13" ht="15">
      <c r="L8">
        <v>2015</v>
      </c>
      <c r="M8">
        <v>0.03333</v>
      </c>
    </row>
    <row r="9" spans="12:13" ht="15">
      <c r="L9">
        <v>2016</v>
      </c>
      <c r="M9">
        <v>0.03515</v>
      </c>
    </row>
    <row r="11" spans="12:13" ht="15">
      <c r="L11" s="695" t="s">
        <v>391</v>
      </c>
      <c r="M11" s="695"/>
    </row>
    <row r="22" spans="11:23" ht="15">
      <c r="K22" s="14"/>
      <c r="L22" s="14"/>
      <c r="M22" s="14"/>
      <c r="N22" s="14"/>
      <c r="O22" s="14"/>
      <c r="P22" s="14"/>
      <c r="Q22" s="14"/>
      <c r="R22" s="14"/>
      <c r="S22" s="14"/>
      <c r="T22" s="14"/>
      <c r="U22" s="14"/>
      <c r="V22" s="14"/>
      <c r="W22" s="14"/>
    </row>
    <row r="23" spans="11:23" ht="15">
      <c r="K23" s="14"/>
      <c r="L23" s="14"/>
      <c r="M23" s="14"/>
      <c r="N23" s="14"/>
      <c r="O23" s="14"/>
      <c r="P23" s="14"/>
      <c r="Q23" s="14"/>
      <c r="R23" s="14"/>
      <c r="S23" s="14"/>
      <c r="T23" s="14"/>
      <c r="U23" s="14"/>
      <c r="V23" s="14"/>
      <c r="W23" s="14"/>
    </row>
    <row r="24" spans="11:23" ht="15">
      <c r="K24" s="14"/>
      <c r="L24" s="14"/>
      <c r="M24" s="14"/>
      <c r="N24" s="14"/>
      <c r="O24" s="14"/>
      <c r="P24" s="14"/>
      <c r="Q24" s="14"/>
      <c r="R24" s="14"/>
      <c r="S24" s="14"/>
      <c r="T24" s="14"/>
      <c r="U24" s="14"/>
      <c r="V24" s="14"/>
      <c r="W24" s="14"/>
    </row>
    <row r="25" spans="11:23" ht="15">
      <c r="K25" s="14"/>
      <c r="L25" s="14"/>
      <c r="M25" s="14"/>
      <c r="N25" s="14"/>
      <c r="O25" s="14"/>
      <c r="P25" s="14"/>
      <c r="Q25" s="14"/>
      <c r="R25" s="14"/>
      <c r="S25" s="14"/>
      <c r="T25" s="14"/>
      <c r="U25" s="14"/>
      <c r="V25" s="14"/>
      <c r="W25" s="14"/>
    </row>
    <row r="26" spans="2:23" ht="15">
      <c r="B26" s="649" t="s">
        <v>345</v>
      </c>
      <c r="C26" s="647"/>
      <c r="D26" s="647"/>
      <c r="E26" s="646" t="s">
        <v>338</v>
      </c>
      <c r="F26" s="653">
        <v>0.862</v>
      </c>
      <c r="G26" s="648" t="s">
        <v>361</v>
      </c>
      <c r="K26" s="14"/>
      <c r="L26" s="14"/>
      <c r="M26" s="696"/>
      <c r="N26" s="696"/>
      <c r="O26" s="696"/>
      <c r="P26" s="524"/>
      <c r="Q26" s="530"/>
      <c r="R26" s="524"/>
      <c r="S26" s="14"/>
      <c r="T26" s="14"/>
      <c r="U26" s="14"/>
      <c r="V26" s="524"/>
      <c r="W26" s="14"/>
    </row>
    <row r="27" spans="2:23" ht="15">
      <c r="B27" s="645"/>
      <c r="C27" s="650"/>
      <c r="D27" s="650"/>
      <c r="E27" s="651" t="s">
        <v>338</v>
      </c>
      <c r="F27" s="654">
        <f>F26/100</f>
        <v>0.00862</v>
      </c>
      <c r="G27" s="652" t="s">
        <v>335</v>
      </c>
      <c r="K27" s="14"/>
      <c r="L27" s="14"/>
      <c r="M27" s="14"/>
      <c r="N27" s="14"/>
      <c r="O27" s="14"/>
      <c r="P27" s="524"/>
      <c r="Q27" s="531"/>
      <c r="R27" s="14"/>
      <c r="S27" s="14"/>
      <c r="T27" s="14"/>
      <c r="U27" s="14"/>
      <c r="V27" s="14"/>
      <c r="W27" s="14"/>
    </row>
    <row r="28" spans="2:23" ht="15">
      <c r="B28" s="644" t="s">
        <v>415</v>
      </c>
      <c r="K28" s="14"/>
      <c r="L28" s="14"/>
      <c r="M28" s="14"/>
      <c r="N28" s="14"/>
      <c r="O28" s="14"/>
      <c r="P28" s="551"/>
      <c r="Q28" s="503"/>
      <c r="R28" s="552"/>
      <c r="S28" s="14"/>
      <c r="T28" s="14"/>
      <c r="U28" s="14"/>
      <c r="V28" s="14"/>
      <c r="W28" s="14"/>
    </row>
    <row r="29" spans="9:23" ht="15">
      <c r="I29" s="532"/>
      <c r="J29" s="532"/>
      <c r="K29" s="14"/>
      <c r="L29" s="14"/>
      <c r="M29" s="14"/>
      <c r="N29" s="14"/>
      <c r="O29" s="14"/>
      <c r="P29" s="14"/>
      <c r="Q29" s="14"/>
      <c r="R29" s="14"/>
      <c r="S29" s="14"/>
      <c r="T29" s="14"/>
      <c r="U29" s="14"/>
      <c r="V29" s="14"/>
      <c r="W29" s="14"/>
    </row>
    <row r="30" spans="11:23" ht="15">
      <c r="K30" s="14"/>
      <c r="L30" s="14"/>
      <c r="M30" s="14"/>
      <c r="N30" s="14"/>
      <c r="O30" s="14"/>
      <c r="P30" s="14"/>
      <c r="Q30" s="14"/>
      <c r="R30" s="14"/>
      <c r="S30" s="14"/>
      <c r="T30" s="14"/>
      <c r="U30" s="14"/>
      <c r="V30" s="14"/>
      <c r="W30" s="14"/>
    </row>
    <row r="31" spans="11:23" ht="15">
      <c r="K31" s="14"/>
      <c r="L31" s="14"/>
      <c r="M31" s="14"/>
      <c r="N31" s="14"/>
      <c r="O31" s="14"/>
      <c r="P31" s="14"/>
      <c r="Q31" s="14"/>
      <c r="R31" s="14"/>
      <c r="S31" s="14"/>
      <c r="T31" s="14"/>
      <c r="U31" s="14"/>
      <c r="V31" s="14"/>
      <c r="W31" s="14"/>
    </row>
    <row r="32" spans="11:23" ht="15">
      <c r="K32" s="14"/>
      <c r="L32" s="14"/>
      <c r="M32" s="14"/>
      <c r="N32" s="14"/>
      <c r="O32" s="14"/>
      <c r="P32" s="14"/>
      <c r="Q32" s="14"/>
      <c r="R32" s="14"/>
      <c r="S32" s="14"/>
      <c r="T32" s="14"/>
      <c r="U32" s="14"/>
      <c r="V32" s="14"/>
      <c r="W32" s="14"/>
    </row>
  </sheetData>
  <sheetProtection/>
  <mergeCells count="4">
    <mergeCell ref="M26:O26"/>
    <mergeCell ref="L3:M4"/>
    <mergeCell ref="L11:M11"/>
    <mergeCell ref="B1:I1"/>
  </mergeCells>
  <printOptions/>
  <pageMargins left="0.7" right="0.7" top="0.75" bottom="0.75" header="0.3" footer="0.3"/>
  <pageSetup fitToHeight="1" fitToWidth="1" horizontalDpi="600" verticalDpi="600" orientation="landscape" scale="73" r:id="rId2"/>
  <headerFooter>
    <oddHeader>&amp;L&amp;F
Worksheet: &amp;A
&amp;D</oddHeader>
    <oddFooter>&amp;C&amp;P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29"/>
  <sheetViews>
    <sheetView showGridLines="0" zoomScalePageLayoutView="80" workbookViewId="0" topLeftCell="A1">
      <selection activeCell="E16" sqref="E16"/>
    </sheetView>
  </sheetViews>
  <sheetFormatPr defaultColWidth="9.140625" defaultRowHeight="15"/>
  <cols>
    <col min="1" max="2" width="9.8515625" style="0" customWidth="1"/>
    <col min="3" max="3" width="12.28125" style="0" customWidth="1"/>
    <col min="4" max="4" width="13.421875" style="0" customWidth="1"/>
    <col min="5" max="5" width="9.8515625" style="0" customWidth="1"/>
    <col min="6" max="6" width="23.421875" style="0" bestFit="1" customWidth="1"/>
    <col min="7" max="7" width="10.421875" style="0" bestFit="1" customWidth="1"/>
    <col min="8" max="8" width="5.8515625" style="0" bestFit="1" customWidth="1"/>
    <col min="9" max="9" width="9.57421875" style="0" bestFit="1" customWidth="1"/>
    <col min="10" max="10" width="9.8515625" style="0" bestFit="1" customWidth="1"/>
  </cols>
  <sheetData>
    <row r="1" ht="15">
      <c r="A1" s="489"/>
    </row>
    <row r="2" ht="15">
      <c r="A2" s="489"/>
    </row>
    <row r="3" spans="1:10" ht="15">
      <c r="A3" s="626"/>
      <c r="B3" s="626"/>
      <c r="C3" s="626"/>
      <c r="D3" s="626"/>
      <c r="E3" s="626"/>
      <c r="F3" s="626"/>
      <c r="G3" s="627" t="s">
        <v>349</v>
      </c>
      <c r="H3" s="628" t="s">
        <v>338</v>
      </c>
      <c r="I3" s="627" t="s">
        <v>350</v>
      </c>
      <c r="J3" s="626"/>
    </row>
    <row r="4" spans="1:10" ht="15">
      <c r="A4" s="626"/>
      <c r="B4" s="626"/>
      <c r="C4" s="626"/>
      <c r="D4" s="626"/>
      <c r="E4" s="626"/>
      <c r="F4" s="626"/>
      <c r="G4" s="627" t="s">
        <v>351</v>
      </c>
      <c r="H4" s="628" t="s">
        <v>338</v>
      </c>
      <c r="I4" s="629">
        <v>2000</v>
      </c>
      <c r="J4" s="626" t="s">
        <v>352</v>
      </c>
    </row>
    <row r="5" spans="1:10" ht="15">
      <c r="A5" s="626"/>
      <c r="B5" s="626"/>
      <c r="C5" s="626"/>
      <c r="D5" s="626"/>
      <c r="E5" s="626"/>
      <c r="F5" s="626"/>
      <c r="G5" s="627"/>
      <c r="H5" s="628"/>
      <c r="I5" s="626"/>
      <c r="J5" s="626"/>
    </row>
    <row r="6" spans="1:10" ht="15">
      <c r="A6" s="630" t="s">
        <v>340</v>
      </c>
      <c r="B6" s="630" t="s">
        <v>340</v>
      </c>
      <c r="C6" s="630" t="s">
        <v>353</v>
      </c>
      <c r="D6" s="630" t="s">
        <v>354</v>
      </c>
      <c r="E6" s="630" t="s">
        <v>321</v>
      </c>
      <c r="F6" s="630" t="s">
        <v>355</v>
      </c>
      <c r="G6" s="631"/>
      <c r="H6" s="631"/>
      <c r="I6" s="631"/>
      <c r="J6" s="631"/>
    </row>
    <row r="7" spans="1:10" ht="15">
      <c r="A7" s="626">
        <v>1</v>
      </c>
      <c r="B7" s="632" t="s">
        <v>322</v>
      </c>
      <c r="C7" s="632">
        <v>31</v>
      </c>
      <c r="D7" s="632">
        <f>C7*24</f>
        <v>744</v>
      </c>
      <c r="E7" s="632" t="s">
        <v>356</v>
      </c>
      <c r="F7" s="633">
        <v>136083.5625</v>
      </c>
      <c r="G7" s="633"/>
      <c r="H7" s="634"/>
      <c r="I7" s="626"/>
      <c r="J7" s="635"/>
    </row>
    <row r="8" spans="1:10" ht="15">
      <c r="A8" s="626">
        <v>2</v>
      </c>
      <c r="B8" s="632" t="s">
        <v>323</v>
      </c>
      <c r="C8" s="632">
        <v>28</v>
      </c>
      <c r="D8" s="632">
        <f aca="true" t="shared" si="0" ref="D8:D18">C8*24</f>
        <v>672</v>
      </c>
      <c r="E8" s="632" t="s">
        <v>356</v>
      </c>
      <c r="F8" s="633">
        <v>161192.671875</v>
      </c>
      <c r="G8" s="633"/>
      <c r="H8" s="634"/>
      <c r="I8" s="626"/>
      <c r="J8" s="635"/>
    </row>
    <row r="9" spans="1:10" ht="15">
      <c r="A9" s="626">
        <v>3</v>
      </c>
      <c r="B9" s="632" t="s">
        <v>324</v>
      </c>
      <c r="C9" s="632">
        <v>31</v>
      </c>
      <c r="D9" s="632">
        <f t="shared" si="0"/>
        <v>744</v>
      </c>
      <c r="E9" s="632" t="s">
        <v>356</v>
      </c>
      <c r="F9" s="633">
        <v>218917.3125</v>
      </c>
      <c r="G9" s="633"/>
      <c r="H9" s="634"/>
      <c r="I9" s="626"/>
      <c r="J9" s="635"/>
    </row>
    <row r="10" spans="1:10" ht="15">
      <c r="A10" s="626">
        <v>4</v>
      </c>
      <c r="B10" s="632" t="s">
        <v>325</v>
      </c>
      <c r="C10" s="632">
        <v>30</v>
      </c>
      <c r="D10" s="632">
        <f t="shared" si="0"/>
        <v>720</v>
      </c>
      <c r="E10" s="632" t="s">
        <v>356</v>
      </c>
      <c r="F10" s="633">
        <v>256424.078125</v>
      </c>
      <c r="G10" s="633"/>
      <c r="H10" s="634"/>
      <c r="I10" s="626"/>
      <c r="J10" s="635"/>
    </row>
    <row r="11" spans="1:10" ht="15">
      <c r="A11" s="626">
        <v>5</v>
      </c>
      <c r="B11" s="632" t="s">
        <v>326</v>
      </c>
      <c r="C11" s="632">
        <v>31</v>
      </c>
      <c r="D11" s="632">
        <f t="shared" si="0"/>
        <v>744</v>
      </c>
      <c r="E11" s="632" t="s">
        <v>356</v>
      </c>
      <c r="F11" s="633">
        <v>296500</v>
      </c>
      <c r="G11" s="633"/>
      <c r="H11" s="634"/>
      <c r="I11" s="626"/>
      <c r="J11" s="635"/>
    </row>
    <row r="12" spans="1:10" ht="15">
      <c r="A12" s="626">
        <v>6</v>
      </c>
      <c r="B12" s="632" t="s">
        <v>327</v>
      </c>
      <c r="C12" s="632">
        <v>30</v>
      </c>
      <c r="D12" s="632">
        <f t="shared" si="0"/>
        <v>720</v>
      </c>
      <c r="E12" s="632" t="s">
        <v>328</v>
      </c>
      <c r="F12" s="633">
        <v>289849.375</v>
      </c>
      <c r="G12" s="633"/>
      <c r="H12" s="634"/>
      <c r="I12" s="626"/>
      <c r="J12" s="635"/>
    </row>
    <row r="13" spans="1:10" ht="15">
      <c r="A13" s="626">
        <v>7</v>
      </c>
      <c r="B13" s="632" t="s">
        <v>329</v>
      </c>
      <c r="C13" s="632">
        <v>31</v>
      </c>
      <c r="D13" s="632">
        <f t="shared" si="0"/>
        <v>744</v>
      </c>
      <c r="E13" s="632" t="s">
        <v>328</v>
      </c>
      <c r="F13" s="633">
        <v>301339.71875</v>
      </c>
      <c r="G13" s="633"/>
      <c r="H13" s="634"/>
      <c r="I13" s="626"/>
      <c r="J13" s="635"/>
    </row>
    <row r="14" spans="1:10" ht="15">
      <c r="A14" s="626">
        <v>8</v>
      </c>
      <c r="B14" s="632" t="s">
        <v>330</v>
      </c>
      <c r="C14" s="632">
        <v>31</v>
      </c>
      <c r="D14" s="632">
        <f t="shared" si="0"/>
        <v>744</v>
      </c>
      <c r="E14" s="632" t="s">
        <v>328</v>
      </c>
      <c r="F14" s="633">
        <v>257974.78125</v>
      </c>
      <c r="G14" s="633"/>
      <c r="H14" s="634"/>
      <c r="I14" s="626"/>
      <c r="J14" s="635"/>
    </row>
    <row r="15" spans="1:10" ht="15">
      <c r="A15" s="626">
        <v>9</v>
      </c>
      <c r="B15" s="632" t="s">
        <v>331</v>
      </c>
      <c r="C15" s="632">
        <v>30</v>
      </c>
      <c r="D15" s="632">
        <f t="shared" si="0"/>
        <v>720</v>
      </c>
      <c r="E15" s="632" t="s">
        <v>328</v>
      </c>
      <c r="F15" s="633">
        <v>222420.421875</v>
      </c>
      <c r="G15" s="633"/>
      <c r="H15" s="634"/>
      <c r="I15" s="626"/>
      <c r="J15" s="635"/>
    </row>
    <row r="16" spans="1:10" ht="15">
      <c r="A16" s="626">
        <v>10</v>
      </c>
      <c r="B16" s="632" t="s">
        <v>332</v>
      </c>
      <c r="C16" s="632">
        <v>31</v>
      </c>
      <c r="D16" s="632">
        <f t="shared" si="0"/>
        <v>744</v>
      </c>
      <c r="E16" s="632" t="s">
        <v>356</v>
      </c>
      <c r="F16" s="633">
        <v>191959.609375</v>
      </c>
      <c r="G16" s="633"/>
      <c r="H16" s="634"/>
      <c r="I16" s="626"/>
      <c r="J16" s="635"/>
    </row>
    <row r="17" spans="1:10" ht="15">
      <c r="A17" s="626">
        <v>11</v>
      </c>
      <c r="B17" s="632" t="s">
        <v>333</v>
      </c>
      <c r="C17" s="632">
        <v>30</v>
      </c>
      <c r="D17" s="632">
        <f t="shared" si="0"/>
        <v>720</v>
      </c>
      <c r="E17" s="632" t="s">
        <v>356</v>
      </c>
      <c r="F17" s="633">
        <v>122857.796875</v>
      </c>
      <c r="G17" s="633"/>
      <c r="H17" s="634"/>
      <c r="I17" s="626"/>
      <c r="J17" s="635"/>
    </row>
    <row r="18" spans="1:10" ht="15">
      <c r="A18" s="626">
        <v>12</v>
      </c>
      <c r="B18" s="632" t="s">
        <v>334</v>
      </c>
      <c r="C18" s="632">
        <v>31</v>
      </c>
      <c r="D18" s="632">
        <f t="shared" si="0"/>
        <v>744</v>
      </c>
      <c r="E18" s="632" t="s">
        <v>356</v>
      </c>
      <c r="F18" s="633">
        <v>103758.1796875</v>
      </c>
      <c r="G18" s="633"/>
      <c r="H18" s="634"/>
      <c r="I18" s="626"/>
      <c r="J18" s="635"/>
    </row>
    <row r="19" spans="1:10" ht="15">
      <c r="A19" s="626" t="s">
        <v>357</v>
      </c>
      <c r="B19" s="626"/>
      <c r="C19" s="632">
        <f>SUM(C7:C18)</f>
        <v>365</v>
      </c>
      <c r="D19" s="633">
        <f>SUM(D7:D18)</f>
        <v>8760</v>
      </c>
      <c r="E19" s="626"/>
      <c r="F19" s="633">
        <f>SUM(F7:F18)</f>
        <v>2559277.5078125</v>
      </c>
      <c r="G19" s="633"/>
      <c r="H19" s="636"/>
      <c r="I19" s="629"/>
      <c r="J19" s="626"/>
    </row>
    <row r="20" spans="1:10" ht="15">
      <c r="A20" s="626"/>
      <c r="B20" s="626"/>
      <c r="C20" s="632"/>
      <c r="D20" s="633"/>
      <c r="E20" s="626"/>
      <c r="F20" s="633"/>
      <c r="G20" s="637"/>
      <c r="H20" s="626"/>
      <c r="I20" s="629"/>
      <c r="J20" s="626"/>
    </row>
    <row r="21" spans="1:10" ht="15">
      <c r="A21" s="626"/>
      <c r="B21" s="626"/>
      <c r="C21" s="626"/>
      <c r="D21" s="626"/>
      <c r="E21" s="626"/>
      <c r="F21" s="638" t="s">
        <v>358</v>
      </c>
      <c r="G21" s="633">
        <f>SUM(F12:F15)</f>
        <v>1071584.296875</v>
      </c>
      <c r="H21" s="626" t="s">
        <v>2</v>
      </c>
      <c r="I21" s="626"/>
      <c r="J21" s="626"/>
    </row>
    <row r="22" spans="1:10" ht="15">
      <c r="A22" s="626"/>
      <c r="B22" s="626"/>
      <c r="C22" s="626"/>
      <c r="D22" s="626"/>
      <c r="E22" s="626"/>
      <c r="F22" s="638" t="s">
        <v>359</v>
      </c>
      <c r="G22" s="639">
        <f>G21/F19</f>
        <v>0.41870578458329005</v>
      </c>
      <c r="H22" s="626"/>
      <c r="I22" s="626"/>
      <c r="J22" s="626"/>
    </row>
    <row r="23" spans="1:10" ht="15">
      <c r="A23" s="626"/>
      <c r="B23" s="626"/>
      <c r="C23" s="626"/>
      <c r="D23" s="626"/>
      <c r="E23" s="626"/>
      <c r="F23" s="638" t="s">
        <v>359</v>
      </c>
      <c r="G23" s="638">
        <v>0.41870578458329005</v>
      </c>
      <c r="H23" s="626"/>
      <c r="I23" s="626"/>
      <c r="J23" s="626"/>
    </row>
    <row r="24" spans="1:10" ht="15">
      <c r="A24" s="626"/>
      <c r="B24" s="626"/>
      <c r="C24" s="626"/>
      <c r="D24" s="626"/>
      <c r="E24" s="626"/>
      <c r="F24" s="638" t="s">
        <v>360</v>
      </c>
      <c r="G24" s="638">
        <f>G23</f>
        <v>0.41870578458329005</v>
      </c>
      <c r="H24" s="626"/>
      <c r="I24" s="626"/>
      <c r="J24" s="626"/>
    </row>
    <row r="25" spans="1:10" ht="15">
      <c r="A25" s="626"/>
      <c r="B25" s="626"/>
      <c r="C25" s="626"/>
      <c r="D25" s="626"/>
      <c r="E25" s="626"/>
      <c r="F25" s="626"/>
      <c r="G25" s="626"/>
      <c r="H25" s="626"/>
      <c r="I25" s="626"/>
      <c r="J25" s="626"/>
    </row>
    <row r="26" spans="1:10" ht="15">
      <c r="A26" s="631" t="s">
        <v>348</v>
      </c>
      <c r="B26" s="626"/>
      <c r="C26" s="626"/>
      <c r="D26" s="626"/>
      <c r="E26" s="626"/>
      <c r="F26" s="626"/>
      <c r="G26" s="626"/>
      <c r="H26" s="626"/>
      <c r="I26" s="626"/>
      <c r="J26" s="626"/>
    </row>
    <row r="27" spans="1:10" ht="15">
      <c r="A27" s="626"/>
      <c r="B27" s="626"/>
      <c r="C27" s="626"/>
      <c r="D27" s="626"/>
      <c r="E27" s="626"/>
      <c r="F27" s="626"/>
      <c r="G27" s="626"/>
      <c r="H27" s="626"/>
      <c r="I27" s="626"/>
      <c r="J27" s="626"/>
    </row>
    <row r="28" spans="1:10" ht="15">
      <c r="A28" s="626"/>
      <c r="B28" s="626"/>
      <c r="C28" s="626"/>
      <c r="D28" s="626"/>
      <c r="E28" s="626"/>
      <c r="F28" s="626"/>
      <c r="G28" s="626"/>
      <c r="H28" s="626"/>
      <c r="I28" s="626"/>
      <c r="J28" s="626"/>
    </row>
    <row r="29" spans="1:10" ht="15">
      <c r="A29" s="626"/>
      <c r="B29" s="626"/>
      <c r="C29" s="626"/>
      <c r="D29" s="626"/>
      <c r="E29" s="626"/>
      <c r="F29" s="626"/>
      <c r="G29" s="626"/>
      <c r="H29" s="626"/>
      <c r="I29" s="626"/>
      <c r="J29" s="626"/>
    </row>
  </sheetData>
  <sheetProtection/>
  <printOptions/>
  <pageMargins left="0.7" right="0.7" top="0.75" bottom="0.75" header="0.3" footer="0.3"/>
  <pageSetup fitToHeight="1" fitToWidth="1" horizontalDpi="600" verticalDpi="600" orientation="landscape" r:id="rId3"/>
  <headerFooter>
    <oddHeader>&amp;L&amp;F
Worksheet: &amp;A
&amp;D</oddHeader>
    <oddFooter>&amp;C&amp;P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2018-06-04T20:42:19Z</dcterms:created>
  <dcterms:modified xsi:type="dcterms:W3CDTF">2018-06-04T20:42:28Z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{689C7B9D-AF19-4662-AE37-916D95514E76}</vt:lpwstr>
  </property>
</Properties>
</file>